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defaultThemeVersion="124226"/>
  <mc:AlternateContent xmlns:mc="http://schemas.openxmlformats.org/markup-compatibility/2006">
    <mc:Choice Requires="x15">
      <x15ac:absPath xmlns:x15ac="http://schemas.microsoft.com/office/spreadsheetml/2010/11/ac" url="D:\Herrikoa\Boîte à outils\Investissements\Outils\"/>
    </mc:Choice>
  </mc:AlternateContent>
  <xr:revisionPtr revIDLastSave="0" documentId="13_ncr:1_{891D37A0-F7BD-489B-B700-B22DC153C9DC}" xr6:coauthVersionLast="45" xr6:coauthVersionMax="45" xr10:uidLastSave="{00000000-0000-0000-0000-000000000000}"/>
  <bookViews>
    <workbookView xWindow="-108" yWindow="-108" windowWidth="23256" windowHeight="12576" tabRatio="592" xr2:uid="{00000000-000D-0000-FFFF-FFFF00000000}"/>
  </bookViews>
  <sheets>
    <sheet name="Synthèse" sheetId="2" r:id="rId1"/>
    <sheet name="Rentabilité 1er projet" sheetId="1" r:id="rId2"/>
    <sheet name="Rentabilité 2ème projet" sheetId="7" r:id="rId3"/>
    <sheet name="Rentabilité 3ème projet" sheetId="8" r:id="rId4"/>
  </sheets>
  <definedNames>
    <definedName name="_r">'Rentabilité 1er projet'!$E$32</definedName>
    <definedName name="a">'Rentabilité 1er projet'!$F$26</definedName>
    <definedName name="a_1">'Rentabilité 2ème projet'!$F$26</definedName>
    <definedName name="a_2">'Rentabilité 3ème projet'!$F$26</definedName>
    <definedName name="cf">'Rentabilité 1er projet'!$AB$25</definedName>
    <definedName name="cf_1">'Rentabilité 2ème projet'!$AB$25</definedName>
    <definedName name="cf_2">'Rentabilité 3ème projet'!$AB$25</definedName>
    <definedName name="cfa">'Rentabilité 1er projet'!$AB$26</definedName>
    <definedName name="cfa_1">'Rentabilité 2ème projet'!$AB$26</definedName>
    <definedName name="cfa_2">'Rentabilité 3ème projet'!$AB$26</definedName>
    <definedName name="d">'Rentabilité 1er projet'!$I$6</definedName>
    <definedName name="d_1">'Rentabilité 2ème projet'!$I$6</definedName>
    <definedName name="d_2">'Rentabilité 3ème projet'!$I$6</definedName>
    <definedName name="da">'Rentabilité 1er projet'!$L$7</definedName>
    <definedName name="da_1">'Rentabilité 2ème projet'!$L$7</definedName>
    <definedName name="da_2">'Rentabilité 3ème projet'!$L$7</definedName>
    <definedName name="k">'Rentabilité 1er projet'!$K$22</definedName>
    <definedName name="k_1">'Rentabilité 2ème projet'!$K$22</definedName>
    <definedName name="k_2">'Rentabilité 3ème projet'!$K$22</definedName>
    <definedName name="projet_1">'Rentabilité 1er projet'!$C$6</definedName>
    <definedName name="projet_2">'Rentabilité 2ème projet'!$C$6</definedName>
    <definedName name="projet_3">'Rentabilité 3ème projet'!$C$6</definedName>
    <definedName name="r_1">'Rentabilité 2ème projet'!$E$32</definedName>
    <definedName name="r_2">'Rentabilité 3ème projet'!$E$32</definedName>
    <definedName name="tb">'Rentabilité 1er projet'!$E$2</definedName>
    <definedName name="tri">'Rentabilité 1er projet'!$E$34</definedName>
    <definedName name="tri_1">'Rentabilité 2ème projet'!$E$34</definedName>
    <definedName name="tri_2">'Rentabilité 3ème projet'!$E$34</definedName>
    <definedName name="tx">'Rentabilité 1er projet'!$L$2</definedName>
    <definedName name="tx_1">'Rentabilité 2ème projet'!$L$2</definedName>
    <definedName name="tx_2">'Rentabilité 3ème projet'!$L$2</definedName>
    <definedName name="UM">'Rentabilité 1er projet'!$F$11</definedName>
    <definedName name="va">'Rentabilité 1er projet'!$F$30</definedName>
    <definedName name="va_1">'Rentabilité 2ème projet'!$F$30</definedName>
    <definedName name="va_2">'Rentabilité 3ème projet'!$F$30</definedName>
    <definedName name="_xlnm.Print_Area" localSheetId="1">'Rentabilité 1er projet'!$B$2:$AB$32</definedName>
    <definedName name="_xlnm.Print_Area" localSheetId="2">'Rentabilité 2ème projet'!$B$2:$AB$32</definedName>
    <definedName name="_xlnm.Print_Area" localSheetId="3">'Rentabilité 3ème projet'!$B$2:$AB$32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 i="7" l="1"/>
  <c r="B1" i="8"/>
  <c r="L4" i="1"/>
  <c r="L4" i="8"/>
  <c r="L4" i="7"/>
  <c r="H9" i="8"/>
  <c r="H9" i="7"/>
  <c r="L2" i="1" l="1"/>
  <c r="L11" i="8" l="1"/>
  <c r="L11" i="7"/>
  <c r="B9" i="1" l="1"/>
  <c r="E9" i="1"/>
  <c r="H9" i="1"/>
  <c r="M2" i="8" l="1"/>
  <c r="M2" i="7"/>
  <c r="M2" i="1"/>
  <c r="AB20" i="7" l="1"/>
  <c r="AB19" i="7"/>
  <c r="AB18" i="7"/>
  <c r="AB17" i="7"/>
  <c r="AB16" i="7"/>
  <c r="AB15" i="7"/>
  <c r="AB13" i="7"/>
  <c r="AB12" i="7"/>
  <c r="AA14" i="7"/>
  <c r="Z14" i="7"/>
  <c r="Y14" i="7"/>
  <c r="X14" i="7"/>
  <c r="W14" i="7"/>
  <c r="E2" i="8"/>
  <c r="AB20" i="1"/>
  <c r="AB19" i="1"/>
  <c r="AB18" i="1"/>
  <c r="AB17" i="1"/>
  <c r="AB16" i="1"/>
  <c r="AB15" i="1"/>
  <c r="AB13" i="1"/>
  <c r="AB12" i="1"/>
  <c r="AB14" i="1" s="1"/>
  <c r="AA14" i="1"/>
  <c r="Z14" i="1"/>
  <c r="Y14" i="1"/>
  <c r="X14" i="1"/>
  <c r="W14" i="1"/>
  <c r="AB14" i="7" l="1"/>
  <c r="E30" i="8"/>
  <c r="E28" i="8"/>
  <c r="AB20" i="8"/>
  <c r="AB19" i="8"/>
  <c r="AB18" i="8"/>
  <c r="AB17" i="8"/>
  <c r="AB16" i="8"/>
  <c r="AB15" i="8"/>
  <c r="AB13" i="8"/>
  <c r="AB12" i="8"/>
  <c r="AA14" i="8"/>
  <c r="Z14" i="8"/>
  <c r="Y14" i="8"/>
  <c r="X14" i="8"/>
  <c r="W14" i="8"/>
  <c r="E30" i="7" l="1"/>
  <c r="E28" i="7"/>
  <c r="E28" i="1"/>
  <c r="E30" i="1" l="1"/>
  <c r="J7" i="2" l="1"/>
  <c r="H7" i="2"/>
  <c r="F7" i="2"/>
  <c r="E2" i="7" l="1"/>
  <c r="L2" i="8" l="1"/>
  <c r="J12" i="2" s="1"/>
  <c r="L2" i="7"/>
  <c r="H12" i="2" s="1"/>
  <c r="K28" i="8"/>
  <c r="K26" i="8"/>
  <c r="E26" i="8"/>
  <c r="K25" i="8"/>
  <c r="K22" i="8"/>
  <c r="V14" i="8"/>
  <c r="U14" i="8"/>
  <c r="T14" i="8"/>
  <c r="S14" i="8"/>
  <c r="R14" i="8"/>
  <c r="Q14" i="8"/>
  <c r="P14" i="8"/>
  <c r="O14" i="8"/>
  <c r="N14" i="8"/>
  <c r="M14" i="8"/>
  <c r="F11" i="8"/>
  <c r="F26" i="8" s="1"/>
  <c r="B9" i="8" s="1"/>
  <c r="J7" i="8"/>
  <c r="K28" i="7"/>
  <c r="K26" i="7"/>
  <c r="F26" i="7"/>
  <c r="B9" i="7" s="1"/>
  <c r="E26" i="7"/>
  <c r="K25" i="7"/>
  <c r="K22" i="7"/>
  <c r="V14" i="7"/>
  <c r="U14" i="7"/>
  <c r="T14" i="7"/>
  <c r="S14" i="7"/>
  <c r="R14" i="7"/>
  <c r="Q14" i="7"/>
  <c r="P14" i="7"/>
  <c r="O14" i="7"/>
  <c r="N14" i="7"/>
  <c r="M14" i="7"/>
  <c r="F11" i="7"/>
  <c r="J7" i="7"/>
  <c r="C4" i="7" l="1"/>
  <c r="B4" i="7"/>
  <c r="C4" i="8"/>
  <c r="B4" i="8"/>
  <c r="V21" i="7"/>
  <c r="R21" i="7"/>
  <c r="X21" i="7"/>
  <c r="AA21" i="7"/>
  <c r="W21" i="7"/>
  <c r="Z21" i="7"/>
  <c r="Y21" i="7"/>
  <c r="X21" i="8"/>
  <c r="AA21" i="8"/>
  <c r="W21" i="8"/>
  <c r="Z21" i="8"/>
  <c r="Y21" i="8"/>
  <c r="U21" i="7"/>
  <c r="AB14" i="8"/>
  <c r="N21" i="7"/>
  <c r="M6" i="7"/>
  <c r="M7" i="7" s="1"/>
  <c r="T21" i="7"/>
  <c r="P21" i="7"/>
  <c r="Q21" i="7"/>
  <c r="L25" i="7"/>
  <c r="M21" i="7"/>
  <c r="U21" i="8"/>
  <c r="Q21" i="8"/>
  <c r="M21" i="8"/>
  <c r="L25" i="8"/>
  <c r="T21" i="8"/>
  <c r="S21" i="8"/>
  <c r="O21" i="8"/>
  <c r="M6" i="8"/>
  <c r="V21" i="8"/>
  <c r="R21" i="8"/>
  <c r="N21" i="8"/>
  <c r="P21" i="8"/>
  <c r="O21" i="7"/>
  <c r="S21" i="7"/>
  <c r="AB21" i="7" l="1"/>
  <c r="AB21" i="8"/>
  <c r="M22" i="7"/>
  <c r="N6" i="7"/>
  <c r="N7" i="7" s="1"/>
  <c r="N22" i="7" s="1"/>
  <c r="M7" i="8"/>
  <c r="M22" i="8" s="1"/>
  <c r="L11" i="1"/>
  <c r="K28" i="1"/>
  <c r="K26" i="1"/>
  <c r="M23" i="7" l="1"/>
  <c r="M23" i="8"/>
  <c r="N6" i="8"/>
  <c r="N23" i="7"/>
  <c r="O6" i="7"/>
  <c r="J7" i="1"/>
  <c r="M24" i="7" l="1"/>
  <c r="M25" i="7" s="1"/>
  <c r="N7" i="8"/>
  <c r="N22" i="8" s="1"/>
  <c r="M24" i="8"/>
  <c r="M25" i="8" s="1"/>
  <c r="O7" i="7"/>
  <c r="O22" i="7" s="1"/>
  <c r="N24" i="7"/>
  <c r="N25" i="7" s="1"/>
  <c r="N26" i="7" s="1"/>
  <c r="D16" i="2"/>
  <c r="D15" i="2"/>
  <c r="D13" i="2"/>
  <c r="D11" i="2"/>
  <c r="D9" i="2"/>
  <c r="E26" i="1"/>
  <c r="K25" i="1"/>
  <c r="F26" i="1"/>
  <c r="K22" i="1"/>
  <c r="P14" i="1"/>
  <c r="O14" i="1"/>
  <c r="M14" i="1"/>
  <c r="N14" i="1"/>
  <c r="Q14" i="1"/>
  <c r="R14" i="1"/>
  <c r="S14" i="1"/>
  <c r="T14" i="1"/>
  <c r="U14" i="1"/>
  <c r="V14" i="1"/>
  <c r="J10" i="2"/>
  <c r="H10" i="2"/>
  <c r="F10" i="2"/>
  <c r="B4" i="1" l="1"/>
  <c r="C4" i="1"/>
  <c r="M26" i="7"/>
  <c r="Z21" i="1"/>
  <c r="Y21" i="1"/>
  <c r="X21" i="1"/>
  <c r="AA21" i="1"/>
  <c r="W21" i="1"/>
  <c r="M26" i="8"/>
  <c r="N23" i="8"/>
  <c r="O6" i="8"/>
  <c r="O23" i="7"/>
  <c r="P6" i="7"/>
  <c r="V21" i="1"/>
  <c r="H9" i="2"/>
  <c r="O21" i="1"/>
  <c r="P21" i="1"/>
  <c r="F9" i="2"/>
  <c r="R21" i="1"/>
  <c r="F12" i="2"/>
  <c r="L25" i="1"/>
  <c r="S21" i="1"/>
  <c r="M21" i="1"/>
  <c r="N21" i="1"/>
  <c r="T21" i="1"/>
  <c r="M6" i="1"/>
  <c r="M7" i="1" s="1"/>
  <c r="N6" i="1" s="1"/>
  <c r="N7" i="1" s="1"/>
  <c r="Q21" i="1"/>
  <c r="U21" i="1"/>
  <c r="AB21" i="1" l="1"/>
  <c r="M28" i="8"/>
  <c r="O7" i="8"/>
  <c r="O22" i="8" s="1"/>
  <c r="N24" i="8"/>
  <c r="N25" i="8" s="1"/>
  <c r="M28" i="7"/>
  <c r="P7" i="7"/>
  <c r="P22" i="7" s="1"/>
  <c r="O24" i="7"/>
  <c r="O25" i="7" s="1"/>
  <c r="J9" i="2"/>
  <c r="M22" i="1"/>
  <c r="O6" i="1"/>
  <c r="O7" i="1" s="1"/>
  <c r="N22" i="1"/>
  <c r="O26" i="7" l="1"/>
  <c r="M23" i="1"/>
  <c r="N26" i="8"/>
  <c r="Q6" i="7"/>
  <c r="O23" i="8"/>
  <c r="P6" i="8"/>
  <c r="M30" i="8"/>
  <c r="N28" i="7"/>
  <c r="M30" i="7"/>
  <c r="P23" i="7"/>
  <c r="P6" i="1"/>
  <c r="P7" i="1" s="1"/>
  <c r="P22" i="1" s="1"/>
  <c r="O22" i="1"/>
  <c r="O23" i="1" s="1"/>
  <c r="O24" i="1" s="1"/>
  <c r="O25" i="1" s="1"/>
  <c r="N23" i="1"/>
  <c r="P24" i="7" l="1"/>
  <c r="P25" i="7" s="1"/>
  <c r="Q7" i="7"/>
  <c r="Q22" i="7" s="1"/>
  <c r="Q23" i="7" s="1"/>
  <c r="Q24" i="7" s="1"/>
  <c r="Q25" i="7" s="1"/>
  <c r="Q26" i="7" s="1"/>
  <c r="AA22" i="7"/>
  <c r="W22" i="7"/>
  <c r="Z22" i="7"/>
  <c r="Y22" i="7"/>
  <c r="X22" i="7"/>
  <c r="M24" i="1"/>
  <c r="M25" i="1" s="1"/>
  <c r="O24" i="8"/>
  <c r="O25" i="8" s="1"/>
  <c r="N28" i="8"/>
  <c r="N30" i="8" s="1"/>
  <c r="P7" i="8"/>
  <c r="P22" i="8" s="1"/>
  <c r="O28" i="7"/>
  <c r="N30" i="7"/>
  <c r="P23" i="1"/>
  <c r="N24" i="1"/>
  <c r="N25" i="1" s="1"/>
  <c r="O26" i="1"/>
  <c r="Q6" i="1"/>
  <c r="P26" i="7" l="1"/>
  <c r="P28" i="7" s="1"/>
  <c r="R6" i="7"/>
  <c r="X23" i="7"/>
  <c r="X24" i="7" s="1"/>
  <c r="X25" i="7" s="1"/>
  <c r="X26" i="7" s="1"/>
  <c r="AA23" i="7"/>
  <c r="AA24" i="7" s="1"/>
  <c r="AA25" i="7" s="1"/>
  <c r="AA26" i="7" s="1"/>
  <c r="Y23" i="7"/>
  <c r="Y24" i="7" s="1"/>
  <c r="Y25" i="7" s="1"/>
  <c r="Y26" i="7" s="1"/>
  <c r="Z23" i="7"/>
  <c r="Z24" i="7" s="1"/>
  <c r="Z25" i="7" s="1"/>
  <c r="Z26" i="7" s="1"/>
  <c r="W23" i="7"/>
  <c r="W24" i="7" s="1"/>
  <c r="W25" i="7" s="1"/>
  <c r="W26" i="7" s="1"/>
  <c r="M26" i="1"/>
  <c r="Q7" i="1"/>
  <c r="R6" i="1" s="1"/>
  <c r="R7" i="1" s="1"/>
  <c r="AA22" i="1"/>
  <c r="W22" i="1"/>
  <c r="X22" i="1"/>
  <c r="Z22" i="1"/>
  <c r="Y22" i="1"/>
  <c r="O26" i="8"/>
  <c r="Q6" i="8"/>
  <c r="P23" i="8"/>
  <c r="P24" i="8" s="1"/>
  <c r="P25" i="8" s="1"/>
  <c r="P26" i="8" s="1"/>
  <c r="R7" i="7"/>
  <c r="R22" i="7" s="1"/>
  <c r="O30" i="7"/>
  <c r="P24" i="1"/>
  <c r="P25" i="1" s="1"/>
  <c r="N26" i="1"/>
  <c r="Q22" i="1" l="1"/>
  <c r="M28" i="1"/>
  <c r="M30" i="1" s="1"/>
  <c r="Z23" i="1"/>
  <c r="Z24" i="1" s="1"/>
  <c r="Z25" i="1" s="1"/>
  <c r="Z26" i="1" s="1"/>
  <c r="X23" i="1"/>
  <c r="X24" i="1" s="1"/>
  <c r="X25" i="1" s="1"/>
  <c r="X26" i="1" s="1"/>
  <c r="Y23" i="1"/>
  <c r="Y24" i="1" s="1"/>
  <c r="Y25" i="1" s="1"/>
  <c r="Y26" i="1" s="1"/>
  <c r="AA23" i="1"/>
  <c r="AA24" i="1" s="1"/>
  <c r="AA25" i="1" s="1"/>
  <c r="AA26" i="1" s="1"/>
  <c r="W23" i="1"/>
  <c r="W24" i="1" s="1"/>
  <c r="W25" i="1" s="1"/>
  <c r="W26" i="1" s="1"/>
  <c r="O28" i="8"/>
  <c r="O30" i="8" s="1"/>
  <c r="Q7" i="8"/>
  <c r="Q22" i="8" s="1"/>
  <c r="Q23" i="8" s="1"/>
  <c r="Q24" i="8" s="1"/>
  <c r="Q25" i="8" s="1"/>
  <c r="AA22" i="8"/>
  <c r="W22" i="8"/>
  <c r="Z22" i="8"/>
  <c r="Y22" i="8"/>
  <c r="X22" i="8"/>
  <c r="R23" i="7"/>
  <c r="R24" i="7" s="1"/>
  <c r="R25" i="7" s="1"/>
  <c r="P30" i="7"/>
  <c r="Q28" i="7"/>
  <c r="S6" i="7"/>
  <c r="S6" i="1"/>
  <c r="S7" i="1" s="1"/>
  <c r="S22" i="1" s="1"/>
  <c r="S23" i="1" s="1"/>
  <c r="S24" i="1" s="1"/>
  <c r="S25" i="1" s="1"/>
  <c r="R22" i="1"/>
  <c r="Q23" i="1"/>
  <c r="P26" i="1"/>
  <c r="R26" i="7" l="1"/>
  <c r="R28" i="7" s="1"/>
  <c r="N28" i="1"/>
  <c r="Q24" i="1"/>
  <c r="Q25" i="1" s="1"/>
  <c r="Q26" i="1" s="1"/>
  <c r="Q26" i="8"/>
  <c r="X23" i="8"/>
  <c r="X24" i="8" s="1"/>
  <c r="X25" i="8" s="1"/>
  <c r="X26" i="8" s="1"/>
  <c r="AA23" i="8"/>
  <c r="Y23" i="8"/>
  <c r="Y24" i="8" s="1"/>
  <c r="Y25" i="8" s="1"/>
  <c r="Y26" i="8" s="1"/>
  <c r="Z23" i="8"/>
  <c r="Z24" i="8" s="1"/>
  <c r="Z25" i="8" s="1"/>
  <c r="Z26" i="8" s="1"/>
  <c r="R6" i="8"/>
  <c r="R7" i="8" s="1"/>
  <c r="R22" i="8" s="1"/>
  <c r="R23" i="8" s="1"/>
  <c r="R24" i="8" s="1"/>
  <c r="R25" i="8" s="1"/>
  <c r="R26" i="8" s="1"/>
  <c r="W23" i="8"/>
  <c r="W24" i="8" s="1"/>
  <c r="W25" i="8" s="1"/>
  <c r="W26" i="8" s="1"/>
  <c r="P28" i="8"/>
  <c r="S7" i="7"/>
  <c r="S22" i="7" s="1"/>
  <c r="Q30" i="7"/>
  <c r="T6" i="1"/>
  <c r="T7" i="1" s="1"/>
  <c r="S26" i="1"/>
  <c r="R23" i="1"/>
  <c r="R24" i="1" s="1"/>
  <c r="R25" i="1" s="1"/>
  <c r="O28" i="1" l="1"/>
  <c r="N30" i="1"/>
  <c r="AA24" i="8"/>
  <c r="AA25" i="8" s="1"/>
  <c r="S6" i="8"/>
  <c r="S7" i="8" s="1"/>
  <c r="S22" i="8" s="1"/>
  <c r="S23" i="8" s="1"/>
  <c r="S24" i="8" s="1"/>
  <c r="S25" i="8" s="1"/>
  <c r="S26" i="8" s="1"/>
  <c r="Q28" i="8"/>
  <c r="P30" i="8"/>
  <c r="R30" i="7"/>
  <c r="S23" i="7"/>
  <c r="T6" i="7"/>
  <c r="R26" i="1"/>
  <c r="U6" i="1"/>
  <c r="U7" i="1" s="1"/>
  <c r="U22" i="1" s="1"/>
  <c r="U23" i="1" s="1"/>
  <c r="U24" i="1" s="1"/>
  <c r="U25" i="1" s="1"/>
  <c r="T22" i="1"/>
  <c r="S24" i="7" l="1"/>
  <c r="S25" i="7" s="1"/>
  <c r="S26" i="7" s="1"/>
  <c r="S28" i="7" s="1"/>
  <c r="S30" i="7" s="1"/>
  <c r="P28" i="1"/>
  <c r="O30" i="1"/>
  <c r="AA26" i="8"/>
  <c r="T6" i="8"/>
  <c r="T7" i="8" s="1"/>
  <c r="T22" i="8" s="1"/>
  <c r="R28" i="8"/>
  <c r="Q30" i="8"/>
  <c r="T7" i="7"/>
  <c r="T22" i="7" s="1"/>
  <c r="T23" i="1"/>
  <c r="T24" i="1" s="1"/>
  <c r="T25" i="1" s="1"/>
  <c r="U26" i="1"/>
  <c r="V6" i="1"/>
  <c r="V7" i="1" s="1"/>
  <c r="Q28" i="1" l="1"/>
  <c r="P30" i="1"/>
  <c r="V22" i="1"/>
  <c r="AB22" i="1" s="1"/>
  <c r="T23" i="8"/>
  <c r="U6" i="8"/>
  <c r="R30" i="8"/>
  <c r="S28" i="8"/>
  <c r="T23" i="7"/>
  <c r="U6" i="7"/>
  <c r="T26" i="1"/>
  <c r="T24" i="7" l="1"/>
  <c r="T25" i="7" s="1"/>
  <c r="T26" i="7" s="1"/>
  <c r="T28" i="7" s="1"/>
  <c r="T30" i="7" s="1"/>
  <c r="W6" i="1"/>
  <c r="W7" i="1" s="1"/>
  <c r="V23" i="1"/>
  <c r="AB23" i="1" s="1"/>
  <c r="AB24" i="1" s="1"/>
  <c r="R28" i="1"/>
  <c r="Q30" i="1"/>
  <c r="T24" i="8"/>
  <c r="T25" i="8" s="1"/>
  <c r="U7" i="8"/>
  <c r="U22" i="8" s="1"/>
  <c r="S30" i="8"/>
  <c r="U7" i="7"/>
  <c r="U22" i="7" s="1"/>
  <c r="X6" i="1" l="1"/>
  <c r="X7" i="1" s="1"/>
  <c r="Y6" i="1" s="1"/>
  <c r="Y7" i="1" s="1"/>
  <c r="V24" i="1"/>
  <c r="V25" i="1" s="1"/>
  <c r="AB25" i="1" s="1"/>
  <c r="F11" i="2" s="1"/>
  <c r="R30" i="1"/>
  <c r="S28" i="1"/>
  <c r="T26" i="8"/>
  <c r="T28" i="8" s="1"/>
  <c r="T30" i="8" s="1"/>
  <c r="U23" i="8"/>
  <c r="V6" i="8"/>
  <c r="U23" i="7"/>
  <c r="V6" i="7"/>
  <c r="V26" i="1" l="1"/>
  <c r="AB26" i="1" s="1"/>
  <c r="F13" i="2" s="1"/>
  <c r="U24" i="7"/>
  <c r="U25" i="7" s="1"/>
  <c r="U26" i="7" s="1"/>
  <c r="U28" i="7" s="1"/>
  <c r="U30" i="7" s="1"/>
  <c r="V7" i="7"/>
  <c r="V22" i="7" s="1"/>
  <c r="AB22" i="7" s="1"/>
  <c r="E34" i="1"/>
  <c r="F19" i="2" s="1"/>
  <c r="T28" i="1"/>
  <c r="S30" i="1"/>
  <c r="Z6" i="1"/>
  <c r="Z7" i="1" s="1"/>
  <c r="U24" i="8"/>
  <c r="U25" i="8" s="1"/>
  <c r="V7" i="8"/>
  <c r="V22" i="8" s="1"/>
  <c r="AB22" i="8" s="1"/>
  <c r="V23" i="7" l="1"/>
  <c r="AB23" i="7" s="1"/>
  <c r="AB24" i="7" s="1"/>
  <c r="W6" i="7"/>
  <c r="W7" i="7" s="1"/>
  <c r="T30" i="1"/>
  <c r="U28" i="1"/>
  <c r="AA6" i="1"/>
  <c r="AA7" i="1" s="1"/>
  <c r="U26" i="8"/>
  <c r="U28" i="8" s="1"/>
  <c r="U30" i="8" s="1"/>
  <c r="W6" i="8"/>
  <c r="W7" i="8" s="1"/>
  <c r="V23" i="8"/>
  <c r="AB23" i="8" s="1"/>
  <c r="AB24" i="8" s="1"/>
  <c r="F15" i="2"/>
  <c r="F17" i="2"/>
  <c r="X6" i="7" l="1"/>
  <c r="X7" i="7" s="1"/>
  <c r="Y6" i="7" s="1"/>
  <c r="Y7" i="7" s="1"/>
  <c r="V24" i="7"/>
  <c r="V25" i="7" s="1"/>
  <c r="V28" i="1"/>
  <c r="U30" i="1"/>
  <c r="X6" i="8"/>
  <c r="X7" i="8" s="1"/>
  <c r="Y6" i="8" s="1"/>
  <c r="Y7" i="8" s="1"/>
  <c r="V24" i="8"/>
  <c r="V25" i="8" s="1"/>
  <c r="F18" i="2"/>
  <c r="F16" i="2"/>
  <c r="V26" i="8" l="1"/>
  <c r="AB26" i="8" s="1"/>
  <c r="E34" i="8"/>
  <c r="V26" i="7"/>
  <c r="AB26" i="7" s="1"/>
  <c r="AB25" i="7"/>
  <c r="E34" i="7"/>
  <c r="Z6" i="7"/>
  <c r="Z7" i="7" s="1"/>
  <c r="W28" i="1"/>
  <c r="X28" i="1" s="1"/>
  <c r="V30" i="1"/>
  <c r="AB25" i="8"/>
  <c r="Z6" i="8"/>
  <c r="Z7" i="8" s="1"/>
  <c r="V28" i="8" l="1"/>
  <c r="W28" i="8" s="1"/>
  <c r="X28" i="8" s="1"/>
  <c r="V28" i="7"/>
  <c r="W28" i="7" s="1"/>
  <c r="X28" i="7" s="1"/>
  <c r="AA6" i="7"/>
  <c r="AA7" i="7" s="1"/>
  <c r="W30" i="1"/>
  <c r="X30" i="1" s="1"/>
  <c r="Y28" i="1"/>
  <c r="AA6" i="8"/>
  <c r="AA7" i="8" s="1"/>
  <c r="J11" i="2"/>
  <c r="J19" i="2"/>
  <c r="H19" i="2"/>
  <c r="H13" i="2"/>
  <c r="H11" i="2"/>
  <c r="V30" i="8" l="1"/>
  <c r="W30" i="8" s="1"/>
  <c r="X30" i="8" s="1"/>
  <c r="V30" i="7"/>
  <c r="W30" i="7" s="1"/>
  <c r="X30" i="7" s="1"/>
  <c r="Y28" i="7"/>
  <c r="Z28" i="1"/>
  <c r="Y30" i="1"/>
  <c r="Y28" i="8"/>
  <c r="H15" i="2"/>
  <c r="H16" i="2" s="1"/>
  <c r="H17" i="2"/>
  <c r="Y30" i="7" l="1"/>
  <c r="Z28" i="7"/>
  <c r="Z30" i="1"/>
  <c r="AA28" i="1"/>
  <c r="Y30" i="8"/>
  <c r="Z28" i="8"/>
  <c r="J13" i="2"/>
  <c r="H18" i="2"/>
  <c r="Z30" i="7" l="1"/>
  <c r="AA28" i="7"/>
  <c r="AA30" i="1"/>
  <c r="E32" i="1" s="1"/>
  <c r="F14" i="2" s="1"/>
  <c r="F28" i="1"/>
  <c r="F30" i="1" s="1"/>
  <c r="AB28" i="1"/>
  <c r="Z30" i="8"/>
  <c r="AA28" i="8"/>
  <c r="J15" i="2"/>
  <c r="J16" i="2" s="1"/>
  <c r="J17" i="2"/>
  <c r="F28" i="8" l="1"/>
  <c r="F30" i="8" s="1"/>
  <c r="AB28" i="8"/>
  <c r="F28" i="7"/>
  <c r="F30" i="7" s="1"/>
  <c r="AB28" i="7"/>
  <c r="AA30" i="7"/>
  <c r="E32" i="7" s="1"/>
  <c r="H14" i="2" s="1"/>
  <c r="AA30" i="8"/>
  <c r="E32" i="8" s="1"/>
  <c r="J18" i="2"/>
  <c r="AB30" i="8" l="1"/>
  <c r="J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BERGARA</author>
    <author>sokoa</author>
  </authors>
  <commentList>
    <comment ref="L7" authorId="0" shapeId="0" xr:uid="{00000000-0006-0000-0000-000001000000}">
      <text>
        <r>
          <rPr>
            <b/>
            <sz val="10"/>
            <color indexed="18"/>
            <rFont val="Calibri"/>
            <family val="2"/>
            <scheme val="minor"/>
          </rPr>
          <t>Raisonner indépendamment du mode de financement</t>
        </r>
        <r>
          <rPr>
            <sz val="10"/>
            <color indexed="18"/>
            <rFont val="Calibri"/>
            <family val="2"/>
            <scheme val="minor"/>
          </rPr>
          <t xml:space="preserve">
Si l'on veut comparer la rentabilité d'un investissement au coût de financement, il ne faut pas les mélanger, mais au contraire les séparer. 
Ceci relève du bons sens.
</t>
        </r>
        <r>
          <rPr>
            <b/>
            <sz val="10"/>
            <color indexed="18"/>
            <rFont val="Calibri"/>
            <family val="2"/>
            <scheme val="minor"/>
          </rPr>
          <t>Il ne faut donc tenir compte que des flux d'exploitation et d'investissement et jamais des flux de financement.</t>
        </r>
      </text>
    </comment>
    <comment ref="L12" authorId="0" shapeId="0" xr:uid="{00000000-0006-0000-0000-000002000000}">
      <text>
        <r>
          <rPr>
            <sz val="10"/>
            <color indexed="18"/>
            <rFont val="Calibri"/>
            <family val="2"/>
            <scheme val="minor"/>
          </rPr>
          <t>Le taux d'actualisation est égal au taux de rentabilité minimum exigé par l'entreprise</t>
        </r>
        <r>
          <rPr>
            <sz val="8"/>
            <color indexed="81"/>
            <rFont val="Tahoma"/>
          </rPr>
          <t xml:space="preserve">
</t>
        </r>
      </text>
    </comment>
    <comment ref="L13" authorId="1" shapeId="0" xr:uid="{00000000-0006-0000-0000-000003000000}">
      <text>
        <r>
          <rPr>
            <sz val="10"/>
            <color indexed="18"/>
            <rFont val="Calibri"/>
            <family val="2"/>
          </rPr>
          <t xml:space="preserve">L'opération qui consiste à évaluer des capitaux à une date antérieure aux dates de disponibilités de ces capitaux est appelée : </t>
        </r>
        <r>
          <rPr>
            <b/>
            <u/>
            <sz val="10"/>
            <color indexed="18"/>
            <rFont val="Calibri"/>
            <family val="2"/>
          </rPr>
          <t>actualisation</t>
        </r>
        <r>
          <rPr>
            <b/>
            <sz val="10"/>
            <color indexed="18"/>
            <rFont val="Calibri"/>
            <family val="2"/>
          </rPr>
          <t xml:space="preserve">.
</t>
        </r>
        <r>
          <rPr>
            <sz val="10"/>
            <color indexed="18"/>
            <rFont val="Calibri"/>
            <family val="2"/>
          </rPr>
          <t>L'opération qui consiste à évaluer des capitaux à une date postérieure aux dates de disponibilités de ces capitaux est appelée :</t>
        </r>
        <r>
          <rPr>
            <b/>
            <sz val="10"/>
            <color indexed="18"/>
            <rFont val="Calibri"/>
            <family val="2"/>
          </rPr>
          <t xml:space="preserve"> </t>
        </r>
        <r>
          <rPr>
            <b/>
            <u/>
            <sz val="10"/>
            <color indexed="18"/>
            <rFont val="Calibri"/>
            <family val="2"/>
          </rPr>
          <t>capitalisation</t>
        </r>
        <r>
          <rPr>
            <b/>
            <sz val="10"/>
            <color indexed="18"/>
            <rFont val="Calibri"/>
            <family val="2"/>
          </rPr>
          <t xml:space="preserve">.
</t>
        </r>
        <r>
          <rPr>
            <sz val="10"/>
            <color indexed="18"/>
            <rFont val="Calibri"/>
            <family val="2"/>
          </rPr>
          <t>Le taux d'intérêt utilisé sera le</t>
        </r>
        <r>
          <rPr>
            <b/>
            <sz val="10"/>
            <color indexed="18"/>
            <rFont val="Calibri"/>
            <family val="2"/>
          </rPr>
          <t xml:space="preserve"> taux de rentabilité minimum exigé par l'entreprise</t>
        </r>
      </text>
    </comment>
    <comment ref="L14" authorId="1" shapeId="0" xr:uid="{00000000-0006-0000-0000-000004000000}">
      <text>
        <r>
          <rPr>
            <b/>
            <sz val="10"/>
            <color indexed="18"/>
            <rFont val="Calibri"/>
            <family val="2"/>
          </rPr>
          <t>Le délai de récupération du capital investi</t>
        </r>
        <r>
          <rPr>
            <sz val="10"/>
            <color indexed="18"/>
            <rFont val="Calibri"/>
            <family val="2"/>
          </rPr>
          <t xml:space="preserve"> est le temps nécessaire à la récupération du montant de l'investissement, c'est-à-dire le temps au bout duquel le montant cumulé des cash-flows actualisés est égal au capital investi.
* Pour qu'un projet d'investissement soit acceptable il faut que le délai de récupération soit inférieur à un délai fixé par l'entreprise. La fixation de ce délai est problématique et il n'existe pas de règles objectives permettant de justifier telle ou telle pratique.
* Un projet d'investissement est d'autant plus intéressant que le délai de récupération est plus court. Mais cette hypothèse n'est pas toujours vraie. (Cas des projets à longue durée de vie dont les cash-flows les plus importants se produisent assez tard)</t>
        </r>
        <r>
          <rPr>
            <sz val="8"/>
            <color indexed="81"/>
            <rFont val="Tahoma"/>
          </rPr>
          <t xml:space="preserve">
</t>
        </r>
      </text>
    </comment>
    <comment ref="L15" authorId="1" shapeId="0" xr:uid="{00000000-0006-0000-0000-000005000000}">
      <text>
        <r>
          <rPr>
            <sz val="10"/>
            <color indexed="18"/>
            <rFont val="Calibri"/>
            <family val="2"/>
            <scheme val="minor"/>
          </rPr>
          <t xml:space="preserve">On désigne par </t>
        </r>
        <r>
          <rPr>
            <b/>
            <sz val="10"/>
            <color indexed="18"/>
            <rFont val="Calibri"/>
            <family val="2"/>
            <scheme val="minor"/>
          </rPr>
          <t>valeur actuelle nette</t>
        </r>
        <r>
          <rPr>
            <sz val="10"/>
            <color indexed="18"/>
            <rFont val="Calibri"/>
            <family val="2"/>
            <scheme val="minor"/>
          </rPr>
          <t>, la différence entre le total des cash-flows actualisés et le montant de l'investissement.
* Pour qu'un projet d'investissement soit acceptable il faut que sa valeur actuelle nette soit positive.
* Un projet d'investissement est d'autant plus intéressant que sa valeur actuelle nette est grande.</t>
        </r>
      </text>
    </comment>
    <comment ref="L16" authorId="1" shapeId="0" xr:uid="{00000000-0006-0000-0000-000006000000}">
      <text>
        <r>
          <rPr>
            <sz val="10"/>
            <color indexed="18"/>
            <rFont val="Calibri"/>
            <family val="2"/>
          </rPr>
          <t xml:space="preserve">La méthode de </t>
        </r>
        <r>
          <rPr>
            <b/>
            <sz val="10"/>
            <color indexed="18"/>
            <rFont val="Calibri"/>
            <family val="2"/>
          </rPr>
          <t>l'annuité constante équivalente à la VAN</t>
        </r>
        <r>
          <rPr>
            <sz val="10"/>
            <color indexed="18"/>
            <rFont val="Calibri"/>
            <family val="2"/>
          </rPr>
          <t>, applicable en toutes circonstances, permet de déterminer le projet le plus rentable parmi des projets de durée différente</t>
        </r>
      </text>
    </comment>
    <comment ref="L17" authorId="0" shapeId="0" xr:uid="{00000000-0006-0000-0000-000007000000}">
      <text>
        <r>
          <rPr>
            <sz val="10"/>
            <color indexed="18"/>
            <rFont val="Calibri"/>
            <family val="2"/>
            <scheme val="minor"/>
          </rPr>
          <t xml:space="preserve">On appelle </t>
        </r>
        <r>
          <rPr>
            <b/>
            <sz val="10"/>
            <color indexed="18"/>
            <rFont val="Calibri"/>
            <family val="2"/>
            <scheme val="minor"/>
          </rPr>
          <t>indice de profitabilité</t>
        </r>
        <r>
          <rPr>
            <sz val="10"/>
            <color indexed="18"/>
            <rFont val="Calibri"/>
            <family val="2"/>
            <scheme val="minor"/>
          </rPr>
          <t xml:space="preserve"> le quotient de la somme des cash-flows actualisés par le montant de l'investissement.
* Pour qu'un projet d'investissement soit acceptable, il faut que son indice de profitabilité soit supérieur à 1.
* Un projet d'investissement est d'autant plus intéressant que son indice de profitabilité est plus grand.</t>
        </r>
        <r>
          <rPr>
            <sz val="10"/>
            <color indexed="81"/>
            <rFont val="Calibri"/>
            <family val="2"/>
            <scheme val="minor"/>
          </rPr>
          <t xml:space="preserve">
</t>
        </r>
      </text>
    </comment>
    <comment ref="L19" authorId="1" shapeId="0" xr:uid="{00000000-0006-0000-0000-000008000000}">
      <text>
        <r>
          <rPr>
            <sz val="10"/>
            <color indexed="18"/>
            <rFont val="Calibri"/>
            <family val="2"/>
          </rPr>
          <t xml:space="preserve">On désigne par </t>
        </r>
        <r>
          <rPr>
            <b/>
            <sz val="10"/>
            <color indexed="18"/>
            <rFont val="Calibri"/>
            <family val="2"/>
          </rPr>
          <t>taux de rentabilité interne</t>
        </r>
        <r>
          <rPr>
            <sz val="10"/>
            <color indexed="18"/>
            <rFont val="Calibri"/>
            <family val="2"/>
          </rPr>
          <t xml:space="preserve">, le taux pour lequel il y a équivalence entre le capital investi et l'ensemble des cash-flows. Cette définition peurt également s'énoncer :
Le taux de rentabilité interne est le taux d'actualisation pour lequel la VAN est nulle.
</t>
        </r>
        <r>
          <rPr>
            <u/>
            <sz val="10"/>
            <color indexed="18"/>
            <rFont val="Calibri"/>
            <family val="2"/>
          </rPr>
          <t xml:space="preserve">
Interprétation</t>
        </r>
        <r>
          <rPr>
            <sz val="10"/>
            <color indexed="18"/>
            <rFont val="Calibri"/>
            <family val="2"/>
          </rPr>
          <t xml:space="preserve"> : </t>
        </r>
        <r>
          <rPr>
            <b/>
            <sz val="10"/>
            <color indexed="18"/>
            <rFont val="Calibri"/>
            <family val="2"/>
          </rPr>
          <t>l'investissement peut être assimilé à un placement effectué</t>
        </r>
        <r>
          <rPr>
            <sz val="10"/>
            <color indexed="18"/>
            <rFont val="Calibri"/>
            <family val="2"/>
          </rPr>
          <t xml:space="preserve"> au taux égal au TRI. Donc, à ce taux, "l'échange" du capital investi contre les cash-flows est une opération neutre, équitable.
* Pour qu'un projet d'investissement soit acceptable, il faut que son TRI soit supérieur au taux de rentabilité minimum exigé par l'entreprise. Ce taux est appelé alors </t>
        </r>
        <r>
          <rPr>
            <b/>
            <i/>
            <sz val="10"/>
            <color indexed="18"/>
            <rFont val="Calibri"/>
            <family val="2"/>
          </rPr>
          <t>"taux de rejet"</t>
        </r>
        <r>
          <rPr>
            <sz val="10"/>
            <color indexed="18"/>
            <rFont val="Calibri"/>
            <family val="2"/>
          </rPr>
          <t>.</t>
        </r>
        <r>
          <rPr>
            <sz val="10"/>
            <color indexed="12"/>
            <rFont val="Calibri"/>
            <family val="2"/>
          </rPr>
          <t xml:space="preserve">
</t>
        </r>
        <r>
          <rPr>
            <sz val="10"/>
            <color indexed="18"/>
            <rFont val="Calibri"/>
            <family val="2"/>
          </rPr>
          <t>* Un projet d'investissement est d'autant plus intéressant que son TRI est élevé.</t>
        </r>
        <r>
          <rPr>
            <sz val="9"/>
            <color indexed="12"/>
            <rFont val="Times New Roman"/>
            <family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inf</author>
    <author>BERGARA</author>
    <author>sokoa</author>
  </authors>
  <commentList>
    <comment ref="B2" authorId="0" shapeId="0" xr:uid="{00000000-0006-0000-0100-000001000000}">
      <text>
        <r>
          <rPr>
            <b/>
            <sz val="10"/>
            <color indexed="12"/>
            <rFont val="Calibri"/>
            <family val="2"/>
            <scheme val="minor"/>
          </rPr>
          <t>Investir</t>
        </r>
        <r>
          <rPr>
            <sz val="10"/>
            <color indexed="12"/>
            <rFont val="Calibri"/>
            <family val="2"/>
            <scheme val="minor"/>
          </rPr>
          <t>, c'est engager un capital dans une opération de laquelle on attend, au cours de plusieurs années futures, une augmentation du revenu de l'entreprise.</t>
        </r>
      </text>
    </comment>
    <comment ref="C2" authorId="1" shapeId="0" xr:uid="{00000000-0006-0000-0100-000002000000}">
      <text>
        <r>
          <rPr>
            <sz val="10"/>
            <color indexed="12"/>
            <rFont val="Calibri"/>
            <family val="2"/>
          </rPr>
          <t>Le taux d'actualisation est égal au taux de rentabilité minimum exigé par l'entreprise</t>
        </r>
        <r>
          <rPr>
            <sz val="8"/>
            <color indexed="81"/>
            <rFont val="Tahoma"/>
          </rPr>
          <t xml:space="preserve">
</t>
        </r>
      </text>
    </comment>
    <comment ref="E2" authorId="2" shapeId="0" xr:uid="{00000000-0006-0000-0100-000003000000}">
      <text>
        <r>
          <rPr>
            <sz val="10"/>
            <color indexed="12"/>
            <rFont val="Calibri"/>
            <family val="2"/>
          </rPr>
          <t xml:space="preserve">L'opération qui consiste à évaluer des capitaux à : 
- une date antérieure aux dates de disponibilités de ces capitaux est appelée : </t>
        </r>
        <r>
          <rPr>
            <b/>
            <u/>
            <sz val="10"/>
            <color indexed="12"/>
            <rFont val="Calibri"/>
            <family val="2"/>
          </rPr>
          <t>actualisation</t>
        </r>
        <r>
          <rPr>
            <b/>
            <sz val="10"/>
            <color indexed="12"/>
            <rFont val="Calibri"/>
            <family val="2"/>
          </rPr>
          <t xml:space="preserve">.
- </t>
        </r>
        <r>
          <rPr>
            <sz val="10"/>
            <color indexed="12"/>
            <rFont val="Calibri"/>
            <family val="2"/>
          </rPr>
          <t>une date postérieure aux dates de disponibilités de ces capitaux est appelée :</t>
        </r>
        <r>
          <rPr>
            <b/>
            <sz val="10"/>
            <color indexed="12"/>
            <rFont val="Calibri"/>
            <family val="2"/>
          </rPr>
          <t xml:space="preserve"> </t>
        </r>
        <r>
          <rPr>
            <b/>
            <u/>
            <sz val="10"/>
            <color indexed="12"/>
            <rFont val="Calibri"/>
            <family val="2"/>
          </rPr>
          <t>capitalisation</t>
        </r>
        <r>
          <rPr>
            <b/>
            <sz val="10"/>
            <color indexed="12"/>
            <rFont val="Calibri"/>
            <family val="2"/>
          </rPr>
          <t xml:space="preserve">.
</t>
        </r>
        <r>
          <rPr>
            <sz val="10"/>
            <color indexed="12"/>
            <rFont val="Calibri"/>
            <family val="2"/>
          </rPr>
          <t xml:space="preserve">Un euro investi aujourd'dui, avec un taux de placement de 5%, vaudra 1,05 € dans un an. Et un euro reçu dans un an, avec le même taux de placement, vaut maintenant 1/1,05, soit 0,952 € : c'est l'actualisation qui permet de comparer un montant à des dates différentes.
Comme la logique de l'investissement est d'obtenr un bénéfice futur, le taux d'actualisation peut reposer sur les trois notions suivantes :
* </t>
        </r>
        <r>
          <rPr>
            <b/>
            <u/>
            <sz val="10"/>
            <color indexed="12"/>
            <rFont val="Calibri"/>
            <family val="2"/>
          </rPr>
          <t xml:space="preserve">Le coût d'opportunité
</t>
        </r>
        <r>
          <rPr>
            <sz val="10"/>
            <color indexed="12"/>
            <rFont val="Calibri"/>
            <family val="2"/>
          </rPr>
          <t xml:space="preserve">Avec ce coût, l'objectif est d'obtenir une rentabilité au moins égale à celle obtenue en plaçant sur les marchés financiers les fonds destinés à l'investissement. Le taux d'actualisation doit être au moins égal au placement le moins risqué (emprunt d'état) majoré d'une prime en fonction de la catégorie de risque du projet.
* </t>
        </r>
        <r>
          <rPr>
            <b/>
            <u/>
            <sz val="10"/>
            <color indexed="12"/>
            <rFont val="Calibri"/>
            <family val="2"/>
          </rPr>
          <t>Le coût du capital</t>
        </r>
        <r>
          <rPr>
            <sz val="10"/>
            <color indexed="12"/>
            <rFont val="Calibri"/>
            <family val="2"/>
          </rPr>
          <t xml:space="preserve">
Le taux de rentabilité de l'investissement doit être au minimum égal au coût du capital, c'est-à-dire le coût moyen pondéré des différentes sources de financement. Si le projet est plus risqué que les actifs actuels de l'entreprise, le coût du capital est majoré d'un certain pourcentage plus ou moins élevé selon l'estimation du risque. Il en sera de même si le projet est important et que son financement risque de modifier la structure du passif et donc le coût du capital.
* </t>
        </r>
        <r>
          <rPr>
            <b/>
            <u/>
            <sz val="10"/>
            <color indexed="12"/>
            <rFont val="Calibri"/>
            <family val="2"/>
          </rPr>
          <t>L'objectif de rentabilité</t>
        </r>
        <r>
          <rPr>
            <sz val="10"/>
            <color indexed="12"/>
            <rFont val="Calibri"/>
            <family val="2"/>
          </rPr>
          <t xml:space="preserve">
L'objectif de rentabilité d'un projet est fixé :
- soit de façon à obtenir de tout nouvel investissement une rentabilité au moins égale à celle des investissements déjà réalisés, par exemple un taux au moins égal au taux de rentabilité écon</t>
        </r>
        <r>
          <rPr>
            <sz val="9"/>
            <color indexed="12"/>
            <rFont val="Times New Roman"/>
            <family val="1"/>
          </rPr>
          <t xml:space="preserve">omique après impôt,
- </t>
        </r>
        <r>
          <rPr>
            <sz val="10"/>
            <color indexed="12"/>
            <rFont val="Calibri"/>
            <family val="2"/>
          </rPr>
          <t xml:space="preserve">soit en fonction des attentes des actionnaires, ce qui suppose que l'investissement est réalisé en tout ou en partie par fonds propres ou augmentation de capital. Ce peut être le taux de rentabilité financière.
</t>
        </r>
        <r>
          <rPr>
            <b/>
            <u/>
            <sz val="12"/>
            <color indexed="12"/>
            <rFont val="Calibri"/>
            <family val="2"/>
          </rPr>
          <t>Le choix du taux d'actualisation est une décision de politique financière</t>
        </r>
      </text>
    </comment>
    <comment ref="F2" authorId="0" shapeId="0" xr:uid="{00000000-0006-0000-0100-000004000000}">
      <text>
        <r>
          <rPr>
            <sz val="10"/>
            <color indexed="12"/>
            <rFont val="Calibri"/>
            <family val="2"/>
            <scheme val="minor"/>
          </rPr>
          <t>Il s'agit du niveau de risque lié à l'investissemen</t>
        </r>
        <r>
          <rPr>
            <sz val="8"/>
            <color indexed="12"/>
            <rFont val="Tahoma"/>
            <family val="2"/>
          </rPr>
          <t>t.
Il faut avoie en tête que les flux d'un projet très risqué viendront accroître le risque global de l'entreprise et doivent donc être actualisés à un taux plus élevé (et vice versa)</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inf</author>
    <author>BERGARA</author>
    <author>sokoa</author>
  </authors>
  <commentList>
    <comment ref="B2" authorId="0" shapeId="0" xr:uid="{00000000-0006-0000-0200-000001000000}">
      <text>
        <r>
          <rPr>
            <b/>
            <sz val="10"/>
            <color indexed="12"/>
            <rFont val="Calibri"/>
            <family val="2"/>
            <scheme val="minor"/>
          </rPr>
          <t>Investir</t>
        </r>
        <r>
          <rPr>
            <sz val="10"/>
            <color indexed="12"/>
            <rFont val="Calibri"/>
            <family val="2"/>
            <scheme val="minor"/>
          </rPr>
          <t xml:space="preserve">, c'est engager un capital dans une opération de laquelle on attend, au cours de plusieurs années futures, une augmentation du revenu de l'entreprise.
</t>
        </r>
      </text>
    </comment>
    <comment ref="C2" authorId="1" shapeId="0" xr:uid="{00000000-0006-0000-0200-000002000000}">
      <text>
        <r>
          <rPr>
            <sz val="10"/>
            <color indexed="12"/>
            <rFont val="Calibri"/>
            <family val="2"/>
          </rPr>
          <t>Le taux d'actualisation est égal au taux de rentabilité minimum exigé par l'entreprise</t>
        </r>
        <r>
          <rPr>
            <sz val="8"/>
            <color indexed="81"/>
            <rFont val="Tahoma"/>
          </rPr>
          <t xml:space="preserve">
</t>
        </r>
      </text>
    </comment>
    <comment ref="E2" authorId="2" shapeId="0" xr:uid="{00000000-0006-0000-0200-000003000000}">
      <text>
        <r>
          <rPr>
            <sz val="10"/>
            <color indexed="12"/>
            <rFont val="Calibri"/>
            <family val="2"/>
          </rPr>
          <t xml:space="preserve">L'opération qui consiste à évaluer des capitaux à : 
- une date antérieure aux dates de disponibilités de ces capitaux est appelée : </t>
        </r>
        <r>
          <rPr>
            <b/>
            <u/>
            <sz val="10"/>
            <color indexed="12"/>
            <rFont val="Calibri"/>
            <family val="2"/>
          </rPr>
          <t>actualisation</t>
        </r>
        <r>
          <rPr>
            <b/>
            <sz val="10"/>
            <color indexed="12"/>
            <rFont val="Calibri"/>
            <family val="2"/>
          </rPr>
          <t xml:space="preserve">.
- </t>
        </r>
        <r>
          <rPr>
            <sz val="10"/>
            <color indexed="12"/>
            <rFont val="Calibri"/>
            <family val="2"/>
          </rPr>
          <t>une date postérieure aux dates de disponibilités de ces capitaux est appelée :</t>
        </r>
        <r>
          <rPr>
            <b/>
            <sz val="10"/>
            <color indexed="12"/>
            <rFont val="Calibri"/>
            <family val="2"/>
          </rPr>
          <t xml:space="preserve"> </t>
        </r>
        <r>
          <rPr>
            <b/>
            <u/>
            <sz val="10"/>
            <color indexed="12"/>
            <rFont val="Calibri"/>
            <family val="2"/>
          </rPr>
          <t>capitalisation</t>
        </r>
        <r>
          <rPr>
            <b/>
            <sz val="10"/>
            <color indexed="12"/>
            <rFont val="Calibri"/>
            <family val="2"/>
          </rPr>
          <t xml:space="preserve">.
</t>
        </r>
        <r>
          <rPr>
            <sz val="10"/>
            <color indexed="12"/>
            <rFont val="Calibri"/>
            <family val="2"/>
          </rPr>
          <t xml:space="preserve">Un euro investi aujourd'dui, avec un taux de placement de 5%, vaudra 1,05 € dans un an. Et un euro reçu dans un an, avec le même taux de placement, vaut maintenant 1/1,05, soit 0,952 € : c'est l'actualisation qui permet de comparer un montant à des dates différentes.
Comme la logique de l'investissement est d'obtenr un bénéfice futur, le taux d'actualisation peut reposer sur les trois notions suivantes :
* </t>
        </r>
        <r>
          <rPr>
            <b/>
            <u/>
            <sz val="10"/>
            <color indexed="12"/>
            <rFont val="Calibri"/>
            <family val="2"/>
          </rPr>
          <t xml:space="preserve">Le coût d'opportunité
</t>
        </r>
        <r>
          <rPr>
            <sz val="10"/>
            <color indexed="12"/>
            <rFont val="Calibri"/>
            <family val="2"/>
          </rPr>
          <t xml:space="preserve">Avec ce coût, l'objectif est d'obtenir une rentabilité au moins égale à celle obtenue en plaçant sur les marchés financiers les fonds destinés à l'investissement. Le taux d'actualisation doit être au moins égal au placement le moins risqué (emprunt d'état) majoré d'une prime en fonction de la catégorie de risque du projet.
* </t>
        </r>
        <r>
          <rPr>
            <b/>
            <u/>
            <sz val="10"/>
            <color indexed="12"/>
            <rFont val="Calibri"/>
            <family val="2"/>
          </rPr>
          <t>Le coût du capital</t>
        </r>
        <r>
          <rPr>
            <sz val="10"/>
            <color indexed="12"/>
            <rFont val="Calibri"/>
            <family val="2"/>
          </rPr>
          <t xml:space="preserve">
Le taux de rentabilité de l'investissement doit être au minimum égal au coût du capital, c'est-à-dire le coût moyen pondéré des différentes sources de financement. Si le projet est plus risqué que les actifs actuels de l'entreprise, le coût du capital est majoré d'un certain pourcentage plus ou moins élevé selon l'estimation du risque. Il en sera de même si le projet est important et que son financement risque de modifier la structure du passif et donc le coût du capital.
* </t>
        </r>
        <r>
          <rPr>
            <b/>
            <u/>
            <sz val="10"/>
            <color indexed="12"/>
            <rFont val="Calibri"/>
            <family val="2"/>
          </rPr>
          <t>L'objectif de rentabilité</t>
        </r>
        <r>
          <rPr>
            <sz val="10"/>
            <color indexed="12"/>
            <rFont val="Calibri"/>
            <family val="2"/>
          </rPr>
          <t xml:space="preserve">
L'objectif de rentabilité d'un projet est fixé :
- soit de façon à obtenir de tout nouvel investissement une rentabilité au moins égale à celle des investissements déjà réalisés, par exemple un taux au moins égal au taux de rentabilité écon</t>
        </r>
        <r>
          <rPr>
            <sz val="9"/>
            <color indexed="12"/>
            <rFont val="Times New Roman"/>
            <family val="1"/>
          </rPr>
          <t xml:space="preserve">omique après impôt,
- </t>
        </r>
        <r>
          <rPr>
            <sz val="10"/>
            <color indexed="12"/>
            <rFont val="Calibri"/>
            <family val="2"/>
          </rPr>
          <t xml:space="preserve">soit en fonction des attentes des actionnaires, ce qui suppose que l'investissement est réalisé en tout ou en partie par fonds propres ou augmentation de capital. Ce peut être le taux de rentabilité financière.
</t>
        </r>
        <r>
          <rPr>
            <b/>
            <u/>
            <sz val="12"/>
            <color indexed="12"/>
            <rFont val="Calibri"/>
            <family val="2"/>
          </rPr>
          <t>Le choix du taux d'actualisation est une décision de politique financière</t>
        </r>
      </text>
    </comment>
    <comment ref="F2" authorId="0" shapeId="0" xr:uid="{00000000-0006-0000-0200-000004000000}">
      <text>
        <r>
          <rPr>
            <sz val="10"/>
            <color indexed="12"/>
            <rFont val="Calibri"/>
            <family val="2"/>
            <scheme val="minor"/>
          </rPr>
          <t>Il s'agit du niveau de risque lié à l'investissemen</t>
        </r>
        <r>
          <rPr>
            <sz val="8"/>
            <color indexed="12"/>
            <rFont val="Tahoma"/>
            <family val="2"/>
          </rPr>
          <t>t.
Il faut avoie en tête que les flux d'un projet très risqué viendront accroître le risque global de l'entreprise et doivent donc être actualisés à un taux plus élevé (et vice versa)</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inf</author>
    <author>BERGARA</author>
    <author>sokoa</author>
  </authors>
  <commentList>
    <comment ref="B2" authorId="0" shapeId="0" xr:uid="{00000000-0006-0000-0300-000001000000}">
      <text>
        <r>
          <rPr>
            <b/>
            <sz val="10"/>
            <color indexed="12"/>
            <rFont val="Calibri"/>
            <family val="2"/>
            <scheme val="minor"/>
          </rPr>
          <t>Investir</t>
        </r>
        <r>
          <rPr>
            <sz val="10"/>
            <color indexed="12"/>
            <rFont val="Calibri"/>
            <family val="2"/>
            <scheme val="minor"/>
          </rPr>
          <t xml:space="preserve">, c'est engager un capital dans une opération de laquelle on attend, au cours de plusieurs années futures, une augmentation du revenu de l'entreprise.
</t>
        </r>
      </text>
    </comment>
    <comment ref="C2" authorId="1" shapeId="0" xr:uid="{00000000-0006-0000-0300-000002000000}">
      <text>
        <r>
          <rPr>
            <sz val="10"/>
            <color indexed="12"/>
            <rFont val="Calibri"/>
            <family val="2"/>
          </rPr>
          <t>Le taux d'actualisation est égal au taux de rentabilité minimum exigé par l'entreprise</t>
        </r>
        <r>
          <rPr>
            <sz val="8"/>
            <color indexed="81"/>
            <rFont val="Tahoma"/>
          </rPr>
          <t xml:space="preserve">
</t>
        </r>
      </text>
    </comment>
    <comment ref="E2" authorId="2" shapeId="0" xr:uid="{00000000-0006-0000-0300-000003000000}">
      <text>
        <r>
          <rPr>
            <sz val="10"/>
            <color indexed="12"/>
            <rFont val="Calibri"/>
            <family val="2"/>
          </rPr>
          <t xml:space="preserve">L'opération qui consiste à évaluer des capitaux à : 
- une date antérieure aux dates de disponibilités de ces capitaux est appelée : </t>
        </r>
        <r>
          <rPr>
            <b/>
            <u/>
            <sz val="10"/>
            <color indexed="12"/>
            <rFont val="Calibri"/>
            <family val="2"/>
          </rPr>
          <t>actualisation</t>
        </r>
        <r>
          <rPr>
            <b/>
            <sz val="10"/>
            <color indexed="12"/>
            <rFont val="Calibri"/>
            <family val="2"/>
          </rPr>
          <t xml:space="preserve">.
- </t>
        </r>
        <r>
          <rPr>
            <sz val="10"/>
            <color indexed="12"/>
            <rFont val="Calibri"/>
            <family val="2"/>
          </rPr>
          <t>une date postérieure aux dates de disponibilités de ces capitaux est appelée :</t>
        </r>
        <r>
          <rPr>
            <b/>
            <sz val="10"/>
            <color indexed="12"/>
            <rFont val="Calibri"/>
            <family val="2"/>
          </rPr>
          <t xml:space="preserve"> </t>
        </r>
        <r>
          <rPr>
            <b/>
            <u/>
            <sz val="10"/>
            <color indexed="12"/>
            <rFont val="Calibri"/>
            <family val="2"/>
          </rPr>
          <t>capitalisation</t>
        </r>
        <r>
          <rPr>
            <b/>
            <sz val="10"/>
            <color indexed="12"/>
            <rFont val="Calibri"/>
            <family val="2"/>
          </rPr>
          <t xml:space="preserve">.
</t>
        </r>
        <r>
          <rPr>
            <sz val="10"/>
            <color indexed="12"/>
            <rFont val="Calibri"/>
            <family val="2"/>
          </rPr>
          <t xml:space="preserve">Un euro investi aujourd'dui, avec un taux de placement de 5%, vaudra 1,05 € dans un an. Et un euro reçu dans un an, avec le même taux de placement, vaut maintenant 1/1,05, soit 0,952 € : c'est l'actualisation qui permet de comparer un montant à des dates différentes.
Comme la logique de l'investissement est d'obtenr un bénéfice futur, le taux d'actualisation peut reposer sur les trois notions suivantes :
* </t>
        </r>
        <r>
          <rPr>
            <b/>
            <u/>
            <sz val="10"/>
            <color indexed="12"/>
            <rFont val="Calibri"/>
            <family val="2"/>
          </rPr>
          <t xml:space="preserve">Le coût d'opportunité
</t>
        </r>
        <r>
          <rPr>
            <sz val="10"/>
            <color indexed="12"/>
            <rFont val="Calibri"/>
            <family val="2"/>
          </rPr>
          <t xml:space="preserve">Avec ce coût, l'objectif est d'obtenir une rentabilité au moins égale à celle obtenue en plaçant sur les marchés financiers les fonds destinés à l'investissement. Le taux d'actualisation doit être au moins égal au placement le moins risqué (emprunt d'état) majoré d'une prime en fonction de la catégorie de risque du projet.
* </t>
        </r>
        <r>
          <rPr>
            <b/>
            <u/>
            <sz val="10"/>
            <color indexed="12"/>
            <rFont val="Calibri"/>
            <family val="2"/>
          </rPr>
          <t>Le coût du capital</t>
        </r>
        <r>
          <rPr>
            <sz val="10"/>
            <color indexed="12"/>
            <rFont val="Calibri"/>
            <family val="2"/>
          </rPr>
          <t xml:space="preserve">
Le taux de rentabilité de l'investissement doit être au minimum égal au coût du capital, c'est-à-dire le coût moyen pondéré des différentes sources de financement. Si le projet est plus risqué que les actifs actuels de l'entreprise, le coût du capital est majoré d'un certain pourcentage plus ou moins élevé selon l'estimation du risque. Il en sera de même si le projet est important et que son financement risque de modifier la structure du passif et donc le coût du capital.
* </t>
        </r>
        <r>
          <rPr>
            <b/>
            <u/>
            <sz val="10"/>
            <color indexed="12"/>
            <rFont val="Calibri"/>
            <family val="2"/>
          </rPr>
          <t>L'objectif de rentabilité</t>
        </r>
        <r>
          <rPr>
            <sz val="10"/>
            <color indexed="12"/>
            <rFont val="Calibri"/>
            <family val="2"/>
          </rPr>
          <t xml:space="preserve">
L'objectif de rentabilité d'un projet est fixé :
- soit de façon à obtenir de tout nouvel investissement une rentabilité au moins égale à celle des investissements déjà réalisés, par exemple un taux au moins égal au taux de rentabilité écon</t>
        </r>
        <r>
          <rPr>
            <sz val="9"/>
            <color indexed="12"/>
            <rFont val="Times New Roman"/>
            <family val="1"/>
          </rPr>
          <t xml:space="preserve">omique après impôt,
- </t>
        </r>
        <r>
          <rPr>
            <sz val="10"/>
            <color indexed="12"/>
            <rFont val="Calibri"/>
            <family val="2"/>
          </rPr>
          <t xml:space="preserve">soit en fonction des attentes des actionnaires, ce qui suppose que l'investissement est réalisé en tout ou en partie par fonds propres ou augmentation de capital. Ce peut être le taux de rentabilité financière.
</t>
        </r>
        <r>
          <rPr>
            <b/>
            <u/>
            <sz val="12"/>
            <color indexed="12"/>
            <rFont val="Calibri"/>
            <family val="2"/>
          </rPr>
          <t>Le choix du taux d'actualisation est une décision de politique financière</t>
        </r>
      </text>
    </comment>
    <comment ref="F2" authorId="0" shapeId="0" xr:uid="{00000000-0006-0000-0300-000004000000}">
      <text>
        <r>
          <rPr>
            <sz val="10"/>
            <color indexed="12"/>
            <rFont val="Calibri"/>
            <family val="2"/>
            <scheme val="minor"/>
          </rPr>
          <t>Il s'agit du niveau de risque lié à l'investissemen</t>
        </r>
        <r>
          <rPr>
            <sz val="8"/>
            <color indexed="12"/>
            <rFont val="Tahoma"/>
            <family val="2"/>
          </rPr>
          <t>t.
Il faut avoie en tête que les flux d'un projet très risqué viendront accroître le risque global de l'entreprise et doivent donc être actualisés à un taux plus élevé (et vice versa)</t>
        </r>
        <r>
          <rPr>
            <sz val="8"/>
            <color indexed="81"/>
            <rFont val="Tahoma"/>
            <family val="2"/>
          </rPr>
          <t xml:space="preserve">
</t>
        </r>
      </text>
    </comment>
  </commentList>
</comments>
</file>

<file path=xl/sharedStrings.xml><?xml version="1.0" encoding="utf-8"?>
<sst xmlns="http://schemas.openxmlformats.org/spreadsheetml/2006/main" count="159" uniqueCount="68">
  <si>
    <t>Total</t>
  </si>
  <si>
    <t>Frais d'entretien</t>
  </si>
  <si>
    <t>Energie</t>
  </si>
  <si>
    <t>Cash-flow prévus</t>
  </si>
  <si>
    <t xml:space="preserve">Durée d'utilisation prévue : </t>
  </si>
  <si>
    <t>Cash-flow actualisés</t>
  </si>
  <si>
    <t>Cumul des cash-flow actualisés</t>
  </si>
  <si>
    <t>Assurance</t>
  </si>
  <si>
    <t>Consommables</t>
  </si>
  <si>
    <t>Valeur résiduelle</t>
  </si>
  <si>
    <t>Amortissement économique</t>
  </si>
  <si>
    <t>Personnel</t>
  </si>
  <si>
    <t>Intérêts</t>
  </si>
  <si>
    <t>Projet d'investissements</t>
  </si>
  <si>
    <t>Coût total de l'investissement</t>
  </si>
  <si>
    <t>Durée d'utilisation prévue</t>
  </si>
  <si>
    <t>Taux d'actualisation</t>
  </si>
  <si>
    <t>Annuité équivalente correspondante</t>
  </si>
  <si>
    <t>Taux de profitabilité</t>
  </si>
  <si>
    <t>Taux de rentabilité interne</t>
  </si>
  <si>
    <t>Coût du 2ème projet</t>
  </si>
  <si>
    <t>Amort dérogatoire</t>
  </si>
  <si>
    <t>Total des produits imputables au projet</t>
  </si>
  <si>
    <t>Total des charges induites par le projet</t>
  </si>
  <si>
    <t>Coût du 3ème projet</t>
  </si>
  <si>
    <t>Frais d'entretien - maintenance</t>
  </si>
  <si>
    <t xml:space="preserve">Taux d'actualisation de base : </t>
  </si>
  <si>
    <t>Taux effectif retenu :</t>
  </si>
  <si>
    <t>A lire</t>
  </si>
  <si>
    <t xml:space="preserve"> </t>
  </si>
  <si>
    <t>Commentaire</t>
  </si>
  <si>
    <t>%</t>
  </si>
  <si>
    <t>Valeur actuelle nette</t>
  </si>
  <si>
    <t xml:space="preserve">Taux d'actualisation de base :  </t>
  </si>
  <si>
    <t>Chiffre d'affaires réalisé ou économie générée</t>
  </si>
  <si>
    <t>Indice de profitabilité ( &gt; 1 )</t>
  </si>
  <si>
    <t>Taux :</t>
  </si>
  <si>
    <t>Impôt sur les bénéfices</t>
  </si>
  <si>
    <t>Le terme "rentabilité économique" concerne la rentabilité avant financement</t>
  </si>
  <si>
    <t xml:space="preserve"> Amortissement dégressif ? </t>
  </si>
  <si>
    <t xml:space="preserve"> Amortissement dégressif ?</t>
  </si>
  <si>
    <t>Synthèse : rentabilité économique des projets d'investissements</t>
  </si>
  <si>
    <t xml:space="preserve">Dépenses d'investissement </t>
  </si>
  <si>
    <t xml:space="preserve">Niveau de risque :  </t>
  </si>
  <si>
    <t xml:space="preserve"> 1er</t>
  </si>
  <si>
    <t xml:space="preserve"> projet</t>
  </si>
  <si>
    <t xml:space="preserve"> Prix d'achat</t>
  </si>
  <si>
    <t xml:space="preserve"> Frais de transport</t>
  </si>
  <si>
    <t xml:space="preserve"> Frais d'installation et mise en service</t>
  </si>
  <si>
    <t xml:space="preserve"> Réorganisation</t>
  </si>
  <si>
    <t xml:space="preserve"> Formation du personnel</t>
  </si>
  <si>
    <t xml:space="preserve"> Coût de démontage de l'ancien matériel</t>
  </si>
  <si>
    <t xml:space="preserve"> Coût de démolition</t>
  </si>
  <si>
    <t xml:space="preserve"> Autres frais accessoire</t>
  </si>
  <si>
    <t xml:space="preserve"> Subvention reçue (-)</t>
  </si>
  <si>
    <t xml:space="preserve"> Valeur de revente de l'ancien matériel (-)</t>
  </si>
  <si>
    <t xml:space="preserve"> Coût du 1er projet</t>
  </si>
  <si>
    <t xml:space="preserve"> Valeur actuelle nette</t>
  </si>
  <si>
    <t>HT</t>
  </si>
  <si>
    <t xml:space="preserve"> 3ème</t>
  </si>
  <si>
    <t xml:space="preserve"> 2ème</t>
  </si>
  <si>
    <t>Produits - charges    (HT)</t>
  </si>
  <si>
    <t xml:space="preserve"> Année de récupération du capital investi</t>
  </si>
  <si>
    <t xml:space="preserve"> Taux de rentabité interne du projet</t>
  </si>
  <si>
    <t>Valeur actualisée des cash-flow</t>
  </si>
  <si>
    <t>Capital investi récupéré au cours de</t>
  </si>
  <si>
    <t xml:space="preserve"> -&gt;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</si>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</sst>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quot; &quot;"/>
    <numFmt numFmtId="165" formatCode="#,##0&quot; &quot;"/>
    <numFmt numFmtId="166" formatCode="0&quot; ans&quot;"/>
    <numFmt numFmtId="167" formatCode="0&quot; ème année&quot;"/>
    <numFmt numFmtId="168" formatCode="0.0%"/>
    <numFmt numFmtId="169" formatCode="&quot;An&quot;\ 0"/>
    <numFmt numFmtId="170" formatCode="&quot;Coefficient :&quot;\ 0.00"/>
    <numFmt numFmtId="171" formatCode="&quot;la&quot;\ 0&quot;° année&quot;"/>
    <numFmt numFmtId="172" formatCode="&quot;TRI de&quot;\ 0.00%"/>
  </numFmts>
  <fonts count="74" x14ac:knownFonts="1">
    <font>
      <sz val="10"/>
      <name val="Arial"/>
    </font>
    <font>
      <sz val="8"/>
      <color indexed="81"/>
      <name val="Tahoma"/>
    </font>
    <font>
      <sz val="8"/>
      <color indexed="12"/>
      <name val="Tahoma"/>
      <family val="2"/>
    </font>
    <font>
      <sz val="9"/>
      <color indexed="12"/>
      <name val="Times New Roman"/>
      <family val="1"/>
    </font>
    <font>
      <sz val="10"/>
      <name val="Calibri"/>
    </font>
    <font>
      <b/>
      <i/>
      <sz val="10"/>
      <color indexed="25"/>
      <name val="Calibri"/>
    </font>
    <font>
      <b/>
      <i/>
      <sz val="10"/>
      <color indexed="13"/>
      <name val="Calibri"/>
    </font>
    <font>
      <b/>
      <sz val="10"/>
      <color indexed="32"/>
      <name val="Calibri"/>
    </font>
    <font>
      <sz val="10"/>
      <color indexed="10"/>
      <name val="Calibri"/>
    </font>
    <font>
      <b/>
      <sz val="10"/>
      <name val="Calibri"/>
    </font>
    <font>
      <sz val="10"/>
      <name val="Calibri"/>
      <family val="2"/>
    </font>
    <font>
      <b/>
      <sz val="10"/>
      <name val="Calibri"/>
      <family val="2"/>
    </font>
    <font>
      <b/>
      <sz val="10"/>
      <color indexed="9"/>
      <name val="Calibri"/>
      <family val="2"/>
    </font>
    <font>
      <sz val="10"/>
      <color indexed="12"/>
      <name val="Calibri"/>
      <family val="2"/>
    </font>
    <font>
      <sz val="10"/>
      <color theme="1"/>
      <name val="Calibri"/>
      <family val="2"/>
      <scheme val="minor"/>
    </font>
    <font>
      <sz val="10"/>
      <color theme="0"/>
      <name val="Calibri"/>
      <family val="2"/>
      <scheme val="minor"/>
    </font>
    <font>
      <b/>
      <sz val="10"/>
      <color theme="0"/>
      <name val="Calibri"/>
      <family val="2"/>
      <scheme val="minor"/>
    </font>
    <font>
      <b/>
      <sz val="10"/>
      <color theme="0"/>
      <name val="Calibri"/>
      <family val="2"/>
    </font>
    <font>
      <sz val="8"/>
      <color indexed="81"/>
      <name val="Tahoma"/>
      <family val="2"/>
    </font>
    <font>
      <sz val="10"/>
      <color rgb="FF002060"/>
      <name val="Calibri"/>
      <family val="2"/>
      <scheme val="minor"/>
    </font>
    <font>
      <sz val="10"/>
      <color rgb="FF3366FF"/>
      <name val="Calibri"/>
      <family val="2"/>
    </font>
    <font>
      <sz val="10"/>
      <color rgb="FF002060"/>
      <name val="Calibri"/>
      <family val="2"/>
    </font>
    <font>
      <b/>
      <sz val="12"/>
      <color indexed="32"/>
      <name val="Calibri"/>
      <family val="2"/>
    </font>
    <font>
      <b/>
      <i/>
      <sz val="10"/>
      <color rgb="FF002060"/>
      <name val="Calibri"/>
      <family val="2"/>
      <scheme val="minor"/>
    </font>
    <font>
      <b/>
      <sz val="10"/>
      <color rgb="FF0000CC"/>
      <name val="Calibri"/>
      <family val="2"/>
      <scheme val="minor"/>
    </font>
    <font>
      <sz val="10"/>
      <color rgb="FF0000CC"/>
      <name val="Calibri"/>
      <family val="2"/>
      <scheme val="minor"/>
    </font>
    <font>
      <sz val="10"/>
      <color indexed="12"/>
      <name val="Calibri"/>
      <family val="2"/>
      <scheme val="minor"/>
    </font>
    <font>
      <b/>
      <u/>
      <sz val="10"/>
      <color indexed="12"/>
      <name val="Calibri"/>
      <family val="2"/>
    </font>
    <font>
      <b/>
      <sz val="10"/>
      <color indexed="12"/>
      <name val="Calibri"/>
      <family val="2"/>
    </font>
    <font>
      <b/>
      <sz val="10"/>
      <color indexed="12"/>
      <name val="Calibri"/>
      <family val="2"/>
      <scheme val="minor"/>
    </font>
    <font>
      <sz val="10"/>
      <color indexed="81"/>
      <name val="Calibri"/>
      <family val="2"/>
      <scheme val="minor"/>
    </font>
    <font>
      <b/>
      <sz val="12"/>
      <color theme="0"/>
      <name val="Calibri"/>
      <family val="2"/>
    </font>
    <font>
      <b/>
      <u/>
      <sz val="12"/>
      <color indexed="12"/>
      <name val="Calibri"/>
      <family val="2"/>
    </font>
    <font>
      <u/>
      <sz val="10"/>
      <color theme="10"/>
      <name val="Arial"/>
      <family val="2"/>
    </font>
    <font>
      <b/>
      <sz val="10"/>
      <color indexed="18"/>
      <name val="Calibri"/>
      <family val="2"/>
    </font>
    <font>
      <sz val="10"/>
      <color indexed="18"/>
      <name val="Calibri"/>
      <family val="2"/>
    </font>
    <font>
      <sz val="10"/>
      <color indexed="18"/>
      <name val="Calibri"/>
      <family val="2"/>
      <scheme val="minor"/>
    </font>
    <font>
      <b/>
      <sz val="10"/>
      <color indexed="18"/>
      <name val="Calibri"/>
      <family val="2"/>
      <scheme val="minor"/>
    </font>
    <font>
      <u/>
      <sz val="10"/>
      <color indexed="18"/>
      <name val="Calibri"/>
      <family val="2"/>
    </font>
    <font>
      <b/>
      <i/>
      <sz val="10"/>
      <color indexed="18"/>
      <name val="Calibri"/>
      <family val="2"/>
    </font>
    <font>
      <b/>
      <u/>
      <sz val="10"/>
      <color indexed="18"/>
      <name val="Calibri"/>
      <family val="2"/>
    </font>
    <font>
      <sz val="10"/>
      <color rgb="FF000099"/>
      <name val="Calibri"/>
      <family val="2"/>
    </font>
    <font>
      <sz val="10"/>
      <color rgb="FF3333FF"/>
      <name val="Calibri"/>
      <family val="2"/>
    </font>
    <font>
      <sz val="10"/>
      <color indexed="32"/>
      <name val="Calibri"/>
      <family val="2"/>
    </font>
    <font>
      <i/>
      <sz val="10"/>
      <color rgb="FF3333FF"/>
      <name val="Calibri"/>
      <family val="2"/>
    </font>
    <font>
      <sz val="10.5"/>
      <color rgb="FF002060"/>
      <name val="Calibri"/>
      <family val="2"/>
    </font>
    <font>
      <sz val="10"/>
      <name val="Arial"/>
      <family val="2"/>
    </font>
    <font>
      <i/>
      <sz val="10"/>
      <color rgb="FF002060"/>
      <name val="Calibri"/>
      <family val="2"/>
    </font>
    <font>
      <sz val="10"/>
      <color rgb="FF000099"/>
      <name val="Calibri"/>
      <family val="2"/>
      <scheme val="minor"/>
    </font>
    <font>
      <sz val="10"/>
      <color rgb="FFEBF9FF"/>
      <name val="Calibri"/>
      <family val="2"/>
      <scheme val="minor"/>
    </font>
    <font>
      <i/>
      <sz val="10"/>
      <color rgb="FF000099"/>
      <name val="Calibri"/>
      <family val="2"/>
      <scheme val="minor"/>
    </font>
    <font>
      <b/>
      <i/>
      <sz val="10"/>
      <color theme="0"/>
      <name val="Calibri"/>
      <family val="2"/>
      <scheme val="minor"/>
    </font>
    <font>
      <sz val="10"/>
      <color rgb="FFC00000"/>
      <name val="Calibri"/>
      <family val="2"/>
    </font>
    <font>
      <sz val="10"/>
      <color rgb="FFC00000"/>
      <name val="Arial"/>
      <family val="2"/>
    </font>
    <font>
      <i/>
      <sz val="10"/>
      <color rgb="FFC00000"/>
      <name val="Calibri"/>
      <family val="2"/>
    </font>
    <font>
      <b/>
      <i/>
      <sz val="10"/>
      <color rgb="FFC00000"/>
      <name val="Calibri"/>
      <family val="2"/>
    </font>
    <font>
      <sz val="10"/>
      <color rgb="FFC00000"/>
      <name val="Calibri"/>
      <family val="2"/>
      <scheme val="minor"/>
    </font>
    <font>
      <sz val="10"/>
      <color rgb="FF002060"/>
      <name val="Arial"/>
      <family val="2"/>
    </font>
    <font>
      <i/>
      <sz val="10"/>
      <color rgb="FF002060"/>
      <name val="Calibri"/>
      <family val="2"/>
      <scheme val="minor"/>
    </font>
    <font>
      <i/>
      <sz val="12"/>
      <color rgb="FF0000CC"/>
      <name val="Calibri"/>
      <family val="2"/>
      <scheme val="minor"/>
    </font>
    <font>
      <b/>
      <i/>
      <sz val="10"/>
      <color rgb="FFFF0000"/>
      <name val="Calibri"/>
      <family val="2"/>
    </font>
    <font>
      <sz val="7"/>
      <color theme="0"/>
      <name val="Calibri"/>
      <family val="2"/>
    </font>
    <font>
      <sz val="10"/>
      <name val="Calibri"/>
      <family val="2"/>
      <scheme val="minor"/>
    </font>
    <font>
      <b/>
      <u/>
      <sz val="10"/>
      <color rgb="FF002060"/>
      <name val="Calibri"/>
      <family val="2"/>
      <scheme val="minor"/>
    </font>
    <font>
      <b/>
      <u/>
      <sz val="10"/>
      <color rgb="FF002060"/>
      <name val="Calibri"/>
      <family val="2"/>
    </font>
    <font>
      <b/>
      <sz val="11"/>
      <color rgb="FF002060"/>
      <name val="Calibri"/>
      <family val="2"/>
      <scheme val="minor"/>
    </font>
    <font>
      <sz val="11"/>
      <color theme="0"/>
      <name val="Calibri"/>
      <family val="2"/>
      <scheme val="minor"/>
    </font>
    <font>
      <sz val="10"/>
      <color rgb="FF000099"/>
      <name val="Arial"/>
      <family val="2"/>
    </font>
    <font>
      <b/>
      <sz val="10"/>
      <color rgb="FFC00000"/>
      <name val="Calibri"/>
      <family val="2"/>
      <scheme val="minor"/>
    </font>
    <font>
      <b/>
      <sz val="10"/>
      <color rgb="FF002060"/>
      <name val="Calibri"/>
      <family val="2"/>
      <scheme val="minor"/>
    </font>
    <font>
      <i/>
      <sz val="10"/>
      <color rgb="FF0000CC"/>
      <name val="Calibri"/>
      <family val="2"/>
      <scheme val="minor"/>
    </font>
    <font>
      <i/>
      <sz val="10"/>
      <color rgb="FF000099"/>
      <name val="Calibri"/>
      <family val="2"/>
    </font>
    <font>
      <i/>
      <sz val="10"/>
      <color rgb="FF0000CC"/>
      <name val="Calibri"/>
      <family val="2"/>
    </font>
    <font>
      <i/>
      <sz val="10"/>
      <color indexed="32"/>
      <name val="Calibri"/>
      <family val="2"/>
    </font>
  </fonts>
  <fills count="24">
    <fill>
      <patternFill patternType="none"/>
    </fill>
    <fill>
      <patternFill patternType="gray125"/>
    </fill>
    <fill>
      <patternFill patternType="solid">
        <fgColor indexed="56"/>
        <bgColor indexed="64"/>
      </patternFill>
    </fill>
    <fill>
      <patternFill patternType="solid">
        <fgColor theme="5" tint="0.59999389629810485"/>
        <bgColor indexed="65"/>
      </patternFill>
    </fill>
    <fill>
      <patternFill patternType="solid">
        <fgColor theme="4" tint="0.39997558519241921"/>
        <bgColor indexed="65"/>
      </patternFill>
    </fill>
    <fill>
      <patternFill patternType="solid">
        <fgColor theme="4"/>
      </patternFill>
    </fill>
    <fill>
      <patternFill patternType="solid">
        <fgColor theme="5"/>
      </patternFill>
    </fill>
    <fill>
      <patternFill patternType="solid">
        <fgColor theme="7"/>
      </patternFill>
    </fill>
    <fill>
      <patternFill patternType="solid">
        <fgColor theme="8"/>
      </patternFill>
    </fill>
    <fill>
      <patternFill patternType="solid">
        <fgColor theme="0" tint="-4.9989318521683403E-2"/>
        <bgColor indexed="64"/>
      </patternFill>
    </fill>
    <fill>
      <patternFill patternType="solid">
        <fgColor rgb="FFFFFFCC"/>
        <bgColor indexed="64"/>
      </patternFill>
    </fill>
    <fill>
      <patternFill patternType="solid">
        <fgColor rgb="FF003366"/>
        <bgColor indexed="64"/>
      </patternFill>
    </fill>
    <fill>
      <patternFill patternType="solid">
        <fgColor theme="4"/>
        <bgColor indexed="64"/>
      </patternFill>
    </fill>
    <fill>
      <patternFill patternType="solid">
        <fgColor theme="0" tint="-0.499984740745262"/>
        <bgColor indexed="64"/>
      </patternFill>
    </fill>
    <fill>
      <patternFill patternType="solid">
        <fgColor theme="6" tint="0.599963377788628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BF9FF"/>
        <bgColor indexed="64"/>
      </patternFill>
    </fill>
    <fill>
      <patternFill patternType="solid">
        <fgColor rgb="FFFDE9D9"/>
        <bgColor indexed="64"/>
      </patternFill>
    </fill>
    <fill>
      <patternFill patternType="solid">
        <fgColor theme="0" tint="-0.14996795556505021"/>
        <bgColor indexed="64"/>
      </patternFill>
    </fill>
    <fill>
      <patternFill patternType="solid">
        <fgColor theme="8"/>
        <bgColor indexed="64"/>
      </patternFill>
    </fill>
    <fill>
      <patternFill patternType="solid">
        <fgColor rgb="FFDAEEF3"/>
        <bgColor indexed="64"/>
      </patternFill>
    </fill>
    <fill>
      <patternFill patternType="solid">
        <fgColor theme="5"/>
        <bgColor indexed="64"/>
      </patternFill>
    </fill>
    <fill>
      <patternFill patternType="solid">
        <fgColor rgb="FFEAEAEA"/>
        <bgColor indexed="64"/>
      </patternFill>
    </fill>
  </fills>
  <borders count="94">
    <border>
      <left/>
      <right/>
      <top/>
      <bottom/>
      <diagonal/>
    </border>
    <border>
      <left/>
      <right/>
      <top style="thin">
        <color theme="0" tint="-0.24994659260841701"/>
      </top>
      <bottom style="thin">
        <color theme="0" tint="-0.34998626667073579"/>
      </bottom>
      <diagonal/>
    </border>
    <border>
      <left/>
      <right/>
      <top style="thin">
        <color theme="0" tint="-0.24994659260841701"/>
      </top>
      <bottom style="thin">
        <color theme="0" tint="-0.24994659260841701"/>
      </bottom>
      <diagonal/>
    </border>
    <border>
      <left/>
      <right/>
      <top style="thin">
        <color theme="0" tint="-0.499984740745262"/>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op>
      <bottom/>
      <diagonal/>
    </border>
    <border>
      <left/>
      <right style="thin">
        <color theme="0" tint="-0.499984740745262"/>
      </right>
      <top/>
      <bottom/>
      <diagonal/>
    </border>
    <border>
      <left/>
      <right/>
      <top style="thin">
        <color indexed="64"/>
      </top>
      <bottom style="thin">
        <color theme="0" tint="-0.24994659260841701"/>
      </bottom>
      <diagonal/>
    </border>
    <border>
      <left/>
      <right style="thin">
        <color theme="0" tint="-0.499984740745262"/>
      </right>
      <top style="thin">
        <color theme="0" tint="-0.499984740745262"/>
      </top>
      <bottom style="thin">
        <color indexed="64"/>
      </bottom>
      <diagonal/>
    </border>
    <border>
      <left style="thin">
        <color theme="0" tint="-0.499984740745262"/>
      </left>
      <right/>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bottom>
      <diagonal/>
    </border>
    <border>
      <left/>
      <right style="thin">
        <color theme="0" tint="-0.499984740745262"/>
      </right>
      <top/>
      <bottom style="thin">
        <color theme="0"/>
      </bottom>
      <diagonal/>
    </border>
    <border>
      <left style="thin">
        <color theme="0" tint="-0.499984740745262"/>
      </left>
      <right/>
      <top style="thin">
        <color theme="0"/>
      </top>
      <bottom style="thin">
        <color theme="0"/>
      </bottom>
      <diagonal/>
    </border>
    <border>
      <left/>
      <right style="thin">
        <color theme="0" tint="-0.499984740745262"/>
      </right>
      <top style="thin">
        <color theme="0"/>
      </top>
      <bottom style="thin">
        <color theme="0"/>
      </bottom>
      <diagonal/>
    </border>
    <border>
      <left style="thin">
        <color theme="0" tint="-0.499984740745262"/>
      </left>
      <right/>
      <top style="thin">
        <color theme="0"/>
      </top>
      <bottom/>
      <diagonal/>
    </border>
    <border>
      <left/>
      <right style="thin">
        <color theme="0" tint="-0.499984740745262"/>
      </right>
      <top style="thin">
        <color theme="0"/>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bottom>
      <diagonal/>
    </border>
    <border>
      <left style="thin">
        <color theme="0" tint="-0.499984740745262"/>
      </left>
      <right style="thin">
        <color theme="0" tint="-0.499984740745262"/>
      </right>
      <top style="thin">
        <color theme="0"/>
      </top>
      <bottom style="thin">
        <color theme="0"/>
      </bottom>
      <diagonal/>
    </border>
    <border>
      <left style="thin">
        <color theme="0" tint="-0.499984740745262"/>
      </left>
      <right style="thin">
        <color theme="0" tint="-0.499984740745262"/>
      </right>
      <top style="thin">
        <color theme="0"/>
      </top>
      <bottom/>
      <diagonal/>
    </border>
    <border>
      <left style="thin">
        <color theme="0" tint="-0.499984740745262"/>
      </left>
      <right/>
      <top style="thin">
        <color theme="0" tint="-0.24994659260841701"/>
      </top>
      <bottom style="thin">
        <color theme="0" tint="-0.499984740745262"/>
      </bottom>
      <diagonal/>
    </border>
    <border>
      <left style="thin">
        <color theme="0" tint="-0.499984740745262"/>
      </left>
      <right/>
      <top style="thin">
        <color theme="0" tint="-0.34998626667073579"/>
      </top>
      <bottom style="thin">
        <color theme="0" tint="-0.499984740745262"/>
      </bottom>
      <diagonal/>
    </border>
    <border>
      <left/>
      <right style="thin">
        <color theme="0" tint="-0.499984740745262"/>
      </right>
      <top style="thin">
        <color theme="0" tint="-0.34998626667073579"/>
      </top>
      <bottom style="thin">
        <color theme="0" tint="-0.499984740745262"/>
      </bottom>
      <diagonal/>
    </border>
    <border>
      <left style="thin">
        <color theme="0" tint="-0.499984740745262"/>
      </left>
      <right style="thin">
        <color theme="0" tint="-0.499984740745262"/>
      </right>
      <top style="thin">
        <color theme="0" tint="-0.34998626667073579"/>
      </top>
      <bottom style="thin">
        <color theme="0" tint="-0.499984740745262"/>
      </bottom>
      <diagonal/>
    </border>
    <border>
      <left/>
      <right style="thin">
        <color theme="0" tint="-0.499984740745262"/>
      </right>
      <top style="thin">
        <color theme="0" tint="-0.24994659260841701"/>
      </top>
      <bottom style="thin">
        <color theme="0" tint="-0.24994659260841701"/>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24994659260841701"/>
      </left>
      <right/>
      <top style="thin">
        <color theme="0" tint="-0.499984740745262"/>
      </top>
      <bottom/>
      <diagonal/>
    </border>
    <border>
      <left/>
      <right style="thin">
        <color theme="0" tint="-0.24994659260841701"/>
      </right>
      <top style="thin">
        <color theme="0" tint="-0.499984740745262"/>
      </top>
      <bottom/>
      <diagonal/>
    </border>
    <border>
      <left style="thin">
        <color theme="0" tint="-0.24994659260841701"/>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24994659260841701"/>
      </left>
      <right/>
      <top/>
      <bottom style="thin">
        <color theme="0" tint="-0.499984740745262"/>
      </bottom>
      <diagonal/>
    </border>
    <border>
      <left style="thin">
        <color theme="0" tint="-0.499984740745262"/>
      </left>
      <right style="thin">
        <color theme="0" tint="-0.24994659260841701"/>
      </right>
      <top style="thin">
        <color theme="0" tint="-0.24994659260841701"/>
      </top>
      <bottom style="thin">
        <color theme="0" tint="-0.499984740745262"/>
      </bottom>
      <diagonal/>
    </border>
    <border>
      <left style="thin">
        <color theme="0" tint="-0.24994659260841701"/>
      </left>
      <right style="thin">
        <color theme="0" tint="-0.24994659260841701"/>
      </right>
      <top style="thin">
        <color theme="0" tint="-0.24994659260841701"/>
      </top>
      <bottom style="thin">
        <color theme="0" tint="-0.499984740745262"/>
      </bottom>
      <diagonal/>
    </border>
    <border>
      <left style="thin">
        <color theme="0" tint="-0.499984740745262"/>
      </left>
      <right/>
      <top style="thin">
        <color theme="0" tint="-0.499984740745262"/>
      </top>
      <bottom style="thin">
        <color theme="0" tint="-0.24994659260841701"/>
      </bottom>
      <diagonal/>
    </border>
    <border>
      <left/>
      <right style="thin">
        <color theme="0" tint="-0.24994659260841701"/>
      </right>
      <top style="thin">
        <color theme="0" tint="-0.499984740745262"/>
      </top>
      <bottom style="thin">
        <color theme="0" tint="-0.24994659260841701"/>
      </bottom>
      <diagonal/>
    </border>
    <border>
      <left style="thin">
        <color theme="0" tint="-0.24994659260841701"/>
      </left>
      <right style="thin">
        <color theme="0" tint="-0.499984740745262"/>
      </right>
      <top/>
      <bottom style="thin">
        <color theme="0" tint="-0.499984740745262"/>
      </bottom>
      <diagonal/>
    </border>
    <border>
      <left/>
      <right style="thin">
        <color theme="0" tint="-0.24994659260841701"/>
      </right>
      <top style="thin">
        <color theme="0" tint="-0.24994659260841701"/>
      </top>
      <bottom style="thin">
        <color theme="0" tint="-0.499984740745262"/>
      </bottom>
      <diagonal/>
    </border>
    <border>
      <left/>
      <right/>
      <top style="thin">
        <color theme="0" tint="-0.34998626667073579"/>
      </top>
      <bottom style="thin">
        <color theme="0" tint="-0.24994659260841701"/>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style="thin">
        <color theme="0" tint="-0.499984740745262"/>
      </left>
      <right/>
      <top style="thin">
        <color indexed="64"/>
      </top>
      <bottom style="thin">
        <color theme="0" tint="-0.24994659260841701"/>
      </bottom>
      <diagonal/>
    </border>
    <border>
      <left style="thin">
        <color theme="0" tint="-0.499984740745262"/>
      </left>
      <right/>
      <top style="thin">
        <color theme="0" tint="-0.24994659260841701"/>
      </top>
      <bottom style="thin">
        <color theme="0" tint="-0.24994659260841701"/>
      </bottom>
      <diagonal/>
    </border>
    <border>
      <left style="thin">
        <color theme="0" tint="-0.499984740745262"/>
      </left>
      <right/>
      <top style="thin">
        <color theme="0" tint="-0.24994659260841701"/>
      </top>
      <bottom style="thin">
        <color theme="0" tint="-0.34998626667073579"/>
      </bottom>
      <diagonal/>
    </border>
    <border>
      <left style="thin">
        <color theme="0" tint="-0.499984740745262"/>
      </left>
      <right/>
      <top style="thin">
        <color theme="0" tint="-0.34998626667073579"/>
      </top>
      <bottom style="thin">
        <color theme="0" tint="-0.24994659260841701"/>
      </bottom>
      <diagonal/>
    </border>
    <border>
      <left style="thin">
        <color theme="0" tint="-0.499984740745262"/>
      </left>
      <right/>
      <top style="thin">
        <color theme="0" tint="-0.24994659260841701"/>
      </top>
      <bottom/>
      <diagonal/>
    </border>
    <border>
      <left/>
      <right/>
      <top style="thin">
        <color theme="0" tint="-0.24994659260841701"/>
      </top>
      <bottom/>
      <diagonal/>
    </border>
    <border>
      <left/>
      <right style="thin">
        <color theme="0" tint="-0.499984740745262"/>
      </right>
      <top style="thin">
        <color indexed="64"/>
      </top>
      <bottom/>
      <diagonal/>
    </border>
    <border>
      <left style="thin">
        <color theme="0" tint="-0.34998626667073579"/>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499984740745262"/>
      </right>
      <top/>
      <bottom/>
      <diagonal/>
    </border>
    <border>
      <left style="thin">
        <color theme="0" tint="-0.34998626667073579"/>
      </left>
      <right style="thin">
        <color theme="0" tint="-0.499984740745262"/>
      </right>
      <top style="thin">
        <color theme="0" tint="-0.24994659260841701"/>
      </top>
      <bottom style="thin">
        <color theme="0" tint="-0.24994659260841701"/>
      </bottom>
      <diagonal/>
    </border>
    <border>
      <left style="thin">
        <color theme="0" tint="-0.34998626667073579"/>
      </left>
      <right style="thin">
        <color theme="0" tint="-0.499984740745262"/>
      </right>
      <top style="thin">
        <color theme="0" tint="-0.24994659260841701"/>
      </top>
      <bottom/>
      <diagonal/>
    </border>
    <border>
      <left style="thin">
        <color theme="0" tint="-0.34998626667073579"/>
      </left>
      <right style="thin">
        <color theme="0" tint="-0.499984740745262"/>
      </right>
      <top style="thin">
        <color theme="0" tint="-0.34998626667073579"/>
      </top>
      <bottom style="thin">
        <color theme="0" tint="-0.24994659260841701"/>
      </bottom>
      <diagonal/>
    </border>
    <border>
      <left style="thin">
        <color theme="0" tint="-0.499984740745262"/>
      </left>
      <right/>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499984740745262"/>
      </bottom>
      <diagonal/>
    </border>
    <border>
      <left/>
      <right style="thin">
        <color theme="0" tint="-0.34998626667073579"/>
      </right>
      <top style="thin">
        <color theme="0" tint="-0.499984740745262"/>
      </top>
      <bottom style="thin">
        <color theme="0" tint="-0.24994659260841701"/>
      </bottom>
      <diagonal/>
    </border>
    <border>
      <left/>
      <right style="thin">
        <color theme="0" tint="-0.34998626667073579"/>
      </right>
      <top style="thin">
        <color theme="0" tint="-0.24994659260841701"/>
      </top>
      <bottom style="thin">
        <color theme="0" tint="-0.24994659260841701"/>
      </bottom>
      <diagonal/>
    </border>
    <border>
      <left/>
      <right style="thin">
        <color theme="0" tint="-0.34998626667073579"/>
      </right>
      <top style="thin">
        <color theme="0" tint="-0.24994659260841701"/>
      </top>
      <bottom style="thin">
        <color theme="0" tint="-0.34998626667073579"/>
      </bottom>
      <diagonal/>
    </border>
    <border>
      <left/>
      <right style="thin">
        <color theme="0" tint="-0.34998626667073579"/>
      </right>
      <top style="thin">
        <color theme="0" tint="-0.34998626667073579"/>
      </top>
      <bottom style="thin">
        <color theme="0" tint="-0.24994659260841701"/>
      </bottom>
      <diagonal/>
    </border>
    <border>
      <left/>
      <right style="thin">
        <color theme="0" tint="-0.34998626667073579"/>
      </right>
      <top style="thin">
        <color theme="0" tint="-0.499984740745262"/>
      </top>
      <bottom style="thin">
        <color theme="0" tint="-0.499984740745262"/>
      </bottom>
      <diagonal/>
    </border>
    <border>
      <left/>
      <right style="thin">
        <color theme="0" tint="-0.499984740745262"/>
      </right>
      <top style="thin">
        <color theme="0" tint="-0.24994659260841701"/>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thin">
        <color theme="0" tint="-0.24994659260841701"/>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left>
      <right style="thin">
        <color theme="0" tint="-0.499984740745262"/>
      </right>
      <top style="thin">
        <color theme="0" tint="-0.499984740745262"/>
      </top>
      <bottom style="thin">
        <color theme="0" tint="-0.499984740745262"/>
      </bottom>
      <diagonal/>
    </border>
    <border>
      <left/>
      <right style="thin">
        <color theme="0" tint="-0.34998626667073579"/>
      </right>
      <top style="thin">
        <color indexed="64"/>
      </top>
      <bottom/>
      <diagonal/>
    </border>
    <border>
      <left/>
      <right style="thin">
        <color theme="0" tint="-0.34998626667073579"/>
      </right>
      <top style="thin">
        <color theme="0" tint="-0.24994659260841701"/>
      </top>
      <bottom/>
      <diagonal/>
    </border>
    <border>
      <left/>
      <right style="thin">
        <color theme="0"/>
      </right>
      <top style="thin">
        <color theme="0" tint="-0.499984740745262"/>
      </top>
      <bottom style="thin">
        <color theme="0" tint="-0.499984740745262"/>
      </bottom>
      <diagonal/>
    </border>
    <border>
      <left style="thin">
        <color theme="0"/>
      </left>
      <right style="thin">
        <color theme="0"/>
      </right>
      <top style="thin">
        <color theme="0" tint="-0.499984740745262"/>
      </top>
      <bottom style="thin">
        <color theme="0" tint="-0.499984740745262"/>
      </bottom>
      <diagonal/>
    </border>
    <border>
      <left style="thin">
        <color theme="0" tint="-0.24994659260841701"/>
      </left>
      <right/>
      <top style="thin">
        <color theme="0" tint="-0.24994659260841701"/>
      </top>
      <bottom style="thin">
        <color theme="0" tint="-0.499984740745262"/>
      </bottom>
      <diagonal/>
    </border>
    <border>
      <left style="thin">
        <color theme="0" tint="-0.34998626667073579"/>
      </left>
      <right style="thin">
        <color theme="0" tint="-0.34998626667073579"/>
      </right>
      <top style="thin">
        <color theme="0" tint="-0.499984740745262"/>
      </top>
      <bottom style="thin">
        <color theme="0" tint="-0.24994659260841701"/>
      </bottom>
      <diagonal/>
    </border>
    <border>
      <left style="thin">
        <color theme="0" tint="-0.34998626667073579"/>
      </left>
      <right style="thin">
        <color theme="0" tint="-0.34998626667073579"/>
      </right>
      <top style="thin">
        <color theme="0" tint="-0.24994659260841701"/>
      </top>
      <bottom style="thin">
        <color theme="0" tint="-0.499984740745262"/>
      </bottom>
      <diagonal/>
    </border>
    <border>
      <left style="thin">
        <color theme="0" tint="-0.34998626667073579"/>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right style="thin">
        <color theme="0"/>
      </right>
      <top style="thin">
        <color theme="0" tint="-0.24994659260841701"/>
      </top>
      <bottom style="thin">
        <color theme="0" tint="-0.499984740745262"/>
      </bottom>
      <diagonal/>
    </border>
    <border>
      <left style="thin">
        <color theme="0"/>
      </left>
      <right/>
      <top style="thin">
        <color theme="0" tint="-0.24994659260841701"/>
      </top>
      <bottom style="thin">
        <color theme="0" tint="-0.499984740745262"/>
      </bottom>
      <diagonal/>
    </border>
    <border>
      <left style="thin">
        <color theme="0" tint="-0.34998626667073579"/>
      </left>
      <right style="thin">
        <color theme="0" tint="-0.499984740745262"/>
      </right>
      <top style="thin">
        <color theme="0" tint="-0.24994659260841701"/>
      </top>
      <bottom style="thin">
        <color theme="0" tint="-0.499984740745262"/>
      </bottom>
      <diagonal/>
    </border>
    <border>
      <left style="thin">
        <color theme="0" tint="-0.24994659260841701"/>
      </left>
      <right/>
      <top style="thin">
        <color theme="0" tint="-0.24994659260841701"/>
      </top>
      <bottom/>
      <diagonal/>
    </border>
    <border>
      <left style="thin">
        <color theme="0" tint="-0.24994659260841701"/>
      </left>
      <right style="thin">
        <color theme="0" tint="-0.34998626667073579"/>
      </right>
      <top style="thin">
        <color theme="0" tint="-0.499984740745262"/>
      </top>
      <bottom style="thin">
        <color indexed="64"/>
      </bottom>
      <diagonal/>
    </border>
    <border>
      <left style="thin">
        <color theme="0" tint="-0.24994659260841701"/>
      </left>
      <right style="thin">
        <color theme="0" tint="-0.24994659260841701"/>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theme="0" tint="-0.24994659260841701"/>
      </bottom>
      <diagonal/>
    </border>
    <border>
      <left/>
      <right style="thin">
        <color theme="0" tint="-0.499984740745262"/>
      </right>
      <top style="thin">
        <color theme="0" tint="-0.499984740745262"/>
      </top>
      <bottom style="thin">
        <color theme="0" tint="-0.24994659260841701"/>
      </bottom>
      <diagonal/>
    </border>
    <border>
      <left style="thin">
        <color theme="0" tint="-0.499984740745262"/>
      </left>
      <right style="thin">
        <color theme="0" tint="-0.499984740745262"/>
      </right>
      <top style="thin">
        <color theme="0" tint="-0.24994659260841701"/>
      </top>
      <bottom style="thin">
        <color theme="0" tint="-0.24994659260841701"/>
      </bottom>
      <diagonal/>
    </border>
  </borders>
  <cellStyleXfs count="8">
    <xf numFmtId="0" fontId="0" fillId="0" borderId="0"/>
    <xf numFmtId="0" fontId="14"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33" fillId="0" borderId="0" applyNumberFormat="0" applyFill="0" applyBorder="0" applyAlignment="0" applyProtection="0"/>
  </cellStyleXfs>
  <cellXfs count="262">
    <xf numFmtId="0" fontId="0" fillId="0" borderId="0" xfId="0"/>
    <xf numFmtId="0" fontId="4" fillId="0" borderId="0" xfId="0" applyFont="1" applyProtection="1">
      <protection locked="0"/>
    </xf>
    <xf numFmtId="0" fontId="4" fillId="0" borderId="0" xfId="0" applyFont="1" applyBorder="1" applyProtection="1">
      <protection locked="0"/>
    </xf>
    <xf numFmtId="0" fontId="4" fillId="0" borderId="0" xfId="0" applyFont="1" applyAlignment="1" applyProtection="1">
      <alignment vertical="center"/>
      <protection locked="0"/>
    </xf>
    <xf numFmtId="164" fontId="4" fillId="0" borderId="0" xfId="0" applyNumberFormat="1" applyFont="1" applyProtection="1">
      <protection locked="0"/>
    </xf>
    <xf numFmtId="0" fontId="4" fillId="0" borderId="0" xfId="0" applyFont="1" applyFill="1" applyAlignment="1" applyProtection="1">
      <alignment vertical="center"/>
      <protection locked="0"/>
    </xf>
    <xf numFmtId="2" fontId="4" fillId="0" borderId="0" xfId="0" applyNumberFormat="1" applyFont="1" applyProtection="1">
      <protection locked="0"/>
    </xf>
    <xf numFmtId="0" fontId="7" fillId="0" borderId="0" xfId="0" applyFont="1" applyAlignment="1" applyProtection="1">
      <alignment horizontal="right" vertical="center"/>
      <protection locked="0"/>
    </xf>
    <xf numFmtId="0" fontId="9" fillId="0" borderId="0" xfId="0" applyFont="1" applyFill="1" applyAlignment="1" applyProtection="1">
      <alignment horizontal="right" vertical="center"/>
      <protection locked="0"/>
    </xf>
    <xf numFmtId="0" fontId="5" fillId="0" borderId="0" xfId="0" applyFont="1" applyFill="1" applyAlignment="1" applyProtection="1">
      <alignment horizontal="right" vertical="center" indent="1"/>
      <protection locked="0"/>
    </xf>
    <xf numFmtId="10" fontId="6" fillId="0" borderId="0" xfId="0" applyNumberFormat="1" applyFont="1" applyFill="1" applyBorder="1" applyAlignment="1" applyProtection="1">
      <alignment horizontal="center" vertical="center"/>
      <protection hidden="1"/>
    </xf>
    <xf numFmtId="0" fontId="10" fillId="0" borderId="0" xfId="0" applyFont="1" applyProtection="1">
      <protection locked="0"/>
    </xf>
    <xf numFmtId="0" fontId="10" fillId="0" borderId="0" xfId="0" applyFont="1" applyBorder="1" applyProtection="1">
      <protection locked="0"/>
    </xf>
    <xf numFmtId="9" fontId="10" fillId="0" borderId="0" xfId="0" applyNumberFormat="1" applyFont="1" applyProtection="1">
      <protection locked="0"/>
    </xf>
    <xf numFmtId="0" fontId="11" fillId="0" borderId="0" xfId="0" applyFont="1" applyAlignment="1" applyProtection="1">
      <alignment vertical="center"/>
      <protection locked="0"/>
    </xf>
    <xf numFmtId="0" fontId="11" fillId="0" borderId="0" xfId="0" applyFont="1" applyProtection="1">
      <protection locked="0"/>
    </xf>
    <xf numFmtId="0" fontId="10" fillId="0" borderId="0" xfId="0" applyFont="1" applyBorder="1" applyAlignment="1" applyProtection="1">
      <alignment horizontal="left" indent="1"/>
      <protection locked="0"/>
    </xf>
    <xf numFmtId="0" fontId="10" fillId="0" borderId="0" xfId="0" applyFont="1" applyAlignment="1" applyProtection="1">
      <protection locked="0"/>
    </xf>
    <xf numFmtId="0" fontId="10" fillId="0" borderId="0" xfId="0" applyFont="1" applyBorder="1" applyAlignment="1" applyProtection="1">
      <protection locked="0"/>
    </xf>
    <xf numFmtId="0" fontId="20" fillId="0" borderId="0" xfId="0" applyFont="1" applyBorder="1" applyProtection="1">
      <protection locked="0"/>
    </xf>
    <xf numFmtId="0" fontId="11" fillId="14" borderId="0" xfId="0" applyFont="1" applyFill="1" applyAlignment="1" applyProtection="1">
      <alignment horizontal="center" vertical="center"/>
      <protection locked="0"/>
    </xf>
    <xf numFmtId="169" fontId="24" fillId="0" borderId="5" xfId="6" applyNumberFormat="1" applyFont="1" applyFill="1" applyBorder="1" applyAlignment="1" applyProtection="1">
      <alignment horizontal="center" vertical="center"/>
      <protection hidden="1"/>
    </xf>
    <xf numFmtId="164" fontId="24" fillId="0" borderId="0" xfId="6" applyNumberFormat="1" applyFont="1" applyFill="1" applyBorder="1" applyAlignment="1" applyProtection="1">
      <alignment horizontal="right" vertical="center" wrapText="1" indent="1"/>
      <protection locked="0"/>
    </xf>
    <xf numFmtId="0" fontId="25" fillId="0" borderId="0" xfId="0" applyFont="1" applyFill="1" applyBorder="1" applyAlignment="1">
      <alignment horizontal="right" vertical="center" wrapText="1" indent="1"/>
    </xf>
    <xf numFmtId="0" fontId="21" fillId="0" borderId="0" xfId="0" applyFont="1" applyAlignment="1" applyProtection="1">
      <alignment horizontal="right" vertical="center"/>
      <protection hidden="1"/>
    </xf>
    <xf numFmtId="0" fontId="21" fillId="0" borderId="0" xfId="0" applyFont="1" applyProtection="1">
      <protection locked="0"/>
    </xf>
    <xf numFmtId="0" fontId="21" fillId="0" borderId="0" xfId="0" applyFont="1" applyAlignment="1" applyProtection="1">
      <alignment horizontal="right" vertical="center"/>
      <protection locked="0" hidden="1"/>
    </xf>
    <xf numFmtId="0" fontId="41" fillId="0" borderId="0" xfId="0" applyFont="1" applyAlignment="1" applyProtection="1">
      <alignment horizontal="right" vertical="center"/>
      <protection hidden="1"/>
    </xf>
    <xf numFmtId="0" fontId="43" fillId="0" borderId="9" xfId="0" applyFont="1" applyBorder="1" applyAlignment="1" applyProtection="1">
      <alignment horizontal="left" vertical="center" indent="1"/>
      <protection hidden="1"/>
    </xf>
    <xf numFmtId="0" fontId="43" fillId="0" borderId="6" xfId="0" applyFont="1" applyBorder="1" applyAlignment="1" applyProtection="1">
      <alignment vertical="center"/>
      <protection hidden="1"/>
    </xf>
    <xf numFmtId="164" fontId="17" fillId="11" borderId="14" xfId="0" applyNumberFormat="1" applyFont="1" applyFill="1" applyBorder="1" applyAlignment="1" applyProtection="1">
      <alignment horizontal="left" vertical="center" indent="1"/>
      <protection hidden="1"/>
    </xf>
    <xf numFmtId="164" fontId="17" fillId="11" borderId="15" xfId="0" applyNumberFormat="1" applyFont="1" applyFill="1" applyBorder="1" applyAlignment="1" applyProtection="1">
      <alignment vertical="center"/>
      <protection hidden="1"/>
    </xf>
    <xf numFmtId="10" fontId="44" fillId="0" borderId="18" xfId="0" applyNumberFormat="1" applyFont="1" applyBorder="1" applyAlignment="1" applyProtection="1">
      <alignment horizontal="center" vertical="center"/>
      <protection hidden="1"/>
    </xf>
    <xf numFmtId="165" fontId="12" fillId="11" borderId="20" xfId="0" applyNumberFormat="1" applyFont="1" applyFill="1" applyBorder="1" applyAlignment="1" applyProtection="1">
      <alignment horizontal="center" vertical="center"/>
      <protection hidden="1"/>
    </xf>
    <xf numFmtId="165" fontId="12" fillId="2" borderId="20" xfId="0" applyNumberFormat="1" applyFont="1" applyFill="1" applyBorder="1" applyAlignment="1" applyProtection="1">
      <alignment horizontal="center" vertical="center"/>
      <protection hidden="1"/>
    </xf>
    <xf numFmtId="166" fontId="43" fillId="0" borderId="18" xfId="0" applyNumberFormat="1" applyFont="1" applyBorder="1" applyAlignment="1" applyProtection="1">
      <alignment horizontal="center" vertical="center"/>
      <protection hidden="1"/>
    </xf>
    <xf numFmtId="0" fontId="10" fillId="0" borderId="18" xfId="0" applyFont="1" applyBorder="1" applyProtection="1">
      <protection locked="0"/>
    </xf>
    <xf numFmtId="0" fontId="19" fillId="9" borderId="6" xfId="0" applyFont="1" applyFill="1" applyBorder="1" applyAlignment="1" applyProtection="1">
      <alignment vertical="top"/>
      <protection hidden="1"/>
    </xf>
    <xf numFmtId="10" fontId="23" fillId="0" borderId="5" xfId="5" applyNumberFormat="1" applyFont="1" applyFill="1" applyBorder="1" applyAlignment="1" applyProtection="1">
      <alignment horizontal="right" vertical="center" wrapText="1" indent="1"/>
      <protection hidden="1"/>
    </xf>
    <xf numFmtId="0" fontId="10" fillId="0" borderId="27" xfId="0" applyFont="1" applyBorder="1" applyProtection="1">
      <protection locked="0"/>
    </xf>
    <xf numFmtId="0" fontId="10" fillId="0" borderId="28" xfId="0" applyFont="1" applyBorder="1" applyProtection="1">
      <protection locked="0"/>
    </xf>
    <xf numFmtId="0" fontId="10" fillId="0" borderId="28" xfId="0" applyFont="1" applyBorder="1" applyAlignment="1" applyProtection="1">
      <protection locked="0"/>
    </xf>
    <xf numFmtId="0" fontId="10" fillId="0" borderId="29" xfId="0" applyFont="1" applyBorder="1" applyProtection="1">
      <protection locked="0"/>
    </xf>
    <xf numFmtId="0" fontId="10" fillId="0" borderId="9" xfId="0" applyFont="1" applyBorder="1" applyProtection="1">
      <protection locked="0"/>
    </xf>
    <xf numFmtId="0" fontId="10" fillId="0" borderId="6" xfId="0" applyFont="1" applyBorder="1" applyProtection="1">
      <protection locked="0"/>
    </xf>
    <xf numFmtId="0" fontId="10" fillId="0" borderId="33" xfId="0" applyFont="1" applyBorder="1" applyProtection="1">
      <protection locked="0"/>
    </xf>
    <xf numFmtId="0" fontId="10" fillId="0" borderId="34" xfId="0" applyFont="1" applyBorder="1" applyProtection="1">
      <protection locked="0"/>
    </xf>
    <xf numFmtId="0" fontId="10" fillId="0" borderId="34" xfId="0" applyFont="1" applyBorder="1" applyAlignment="1" applyProtection="1">
      <protection locked="0"/>
    </xf>
    <xf numFmtId="10" fontId="10" fillId="0" borderId="34" xfId="0" applyNumberFormat="1" applyFont="1" applyBorder="1" applyProtection="1">
      <protection locked="0"/>
    </xf>
    <xf numFmtId="0" fontId="10" fillId="0" borderId="35" xfId="0" applyFont="1" applyBorder="1" applyProtection="1">
      <protection locked="0"/>
    </xf>
    <xf numFmtId="165" fontId="10" fillId="0" borderId="55" xfId="0" applyNumberFormat="1" applyFont="1" applyFill="1" applyBorder="1" applyAlignment="1" applyProtection="1">
      <alignment vertical="center"/>
      <protection locked="0"/>
    </xf>
    <xf numFmtId="165" fontId="10" fillId="0" borderId="56" xfId="0" applyNumberFormat="1" applyFont="1" applyFill="1" applyBorder="1" applyAlignment="1" applyProtection="1">
      <alignment vertical="center"/>
      <protection locked="0"/>
    </xf>
    <xf numFmtId="165" fontId="10" fillId="0" borderId="57" xfId="0" applyNumberFormat="1" applyFont="1" applyFill="1" applyBorder="1" applyAlignment="1" applyProtection="1">
      <alignment vertical="center"/>
      <protection locked="0"/>
    </xf>
    <xf numFmtId="165" fontId="8" fillId="0" borderId="57" xfId="0" applyNumberFormat="1" applyFont="1" applyFill="1" applyBorder="1" applyAlignment="1" applyProtection="1">
      <alignment vertical="center"/>
      <protection locked="0"/>
    </xf>
    <xf numFmtId="0" fontId="4" fillId="0" borderId="55" xfId="0" applyFont="1" applyBorder="1" applyProtection="1">
      <protection locked="0"/>
    </xf>
    <xf numFmtId="165" fontId="10" fillId="0" borderId="58" xfId="0" applyNumberFormat="1" applyFont="1" applyFill="1" applyBorder="1" applyAlignment="1" applyProtection="1">
      <alignment vertical="center"/>
      <protection locked="0"/>
    </xf>
    <xf numFmtId="165" fontId="10" fillId="0" borderId="55" xfId="0" applyNumberFormat="1" applyFont="1" applyBorder="1" applyProtection="1">
      <protection locked="0"/>
    </xf>
    <xf numFmtId="0" fontId="47" fillId="9" borderId="4" xfId="0" applyFont="1" applyFill="1" applyBorder="1" applyAlignment="1" applyProtection="1">
      <alignment horizontal="center" vertical="center"/>
      <protection locked="0"/>
    </xf>
    <xf numFmtId="164" fontId="24" fillId="0" borderId="5" xfId="6" applyNumberFormat="1" applyFont="1" applyFill="1" applyBorder="1" applyAlignment="1" applyProtection="1">
      <alignment vertical="center" wrapText="1"/>
      <protection hidden="1"/>
    </xf>
    <xf numFmtId="0" fontId="25" fillId="0" borderId="5" xfId="0" applyFont="1" applyFill="1" applyBorder="1" applyAlignment="1" applyProtection="1">
      <alignment vertical="center" wrapText="1"/>
      <protection hidden="1"/>
    </xf>
    <xf numFmtId="0" fontId="21" fillId="9" borderId="27" xfId="0" applyFont="1" applyFill="1" applyBorder="1" applyAlignment="1" applyProtection="1">
      <protection hidden="1"/>
    </xf>
    <xf numFmtId="0" fontId="21" fillId="9" borderId="33" xfId="0" applyFont="1" applyFill="1" applyBorder="1" applyAlignment="1" applyProtection="1">
      <alignment vertical="top"/>
      <protection hidden="1"/>
    </xf>
    <xf numFmtId="0" fontId="4" fillId="0" borderId="0" xfId="0" applyFont="1" applyAlignment="1" applyProtection="1">
      <alignment horizontal="left" indent="1"/>
      <protection locked="0"/>
    </xf>
    <xf numFmtId="0" fontId="16" fillId="11" borderId="44" xfId="4" applyFont="1" applyFill="1" applyBorder="1" applyAlignment="1" applyProtection="1">
      <alignment horizontal="left" vertical="center" indent="1"/>
      <protection locked="0"/>
    </xf>
    <xf numFmtId="165" fontId="17" fillId="11" borderId="75" xfId="0" applyNumberFormat="1" applyFont="1" applyFill="1" applyBorder="1" applyAlignment="1" applyProtection="1">
      <alignment vertical="center"/>
      <protection hidden="1"/>
    </xf>
    <xf numFmtId="165" fontId="54" fillId="0" borderId="70" xfId="0" applyNumberFormat="1" applyFont="1" applyBorder="1" applyAlignment="1" applyProtection="1">
      <alignment vertical="center"/>
      <protection locked="0"/>
    </xf>
    <xf numFmtId="165" fontId="54" fillId="0" borderId="74" xfId="0" applyNumberFormat="1" applyFont="1" applyBorder="1" applyAlignment="1" applyProtection="1">
      <alignment vertical="center"/>
      <protection locked="0"/>
    </xf>
    <xf numFmtId="165" fontId="54" fillId="0" borderId="6" xfId="0" applyNumberFormat="1" applyFont="1" applyBorder="1" applyAlignment="1" applyProtection="1">
      <alignment vertical="center"/>
      <protection locked="0"/>
    </xf>
    <xf numFmtId="165" fontId="54" fillId="10" borderId="6" xfId="0" applyNumberFormat="1" applyFont="1" applyFill="1" applyBorder="1" applyAlignment="1" applyProtection="1">
      <alignment vertical="center"/>
      <protection hidden="1"/>
    </xf>
    <xf numFmtId="165" fontId="54" fillId="0" borderId="71" xfId="0" applyNumberFormat="1" applyFont="1" applyBorder="1" applyAlignment="1" applyProtection="1">
      <alignment vertical="center"/>
      <protection locked="0"/>
    </xf>
    <xf numFmtId="165" fontId="54" fillId="0" borderId="63" xfId="0" applyNumberFormat="1" applyFont="1" applyBorder="1" applyAlignment="1" applyProtection="1">
      <alignment vertical="center"/>
      <protection locked="0"/>
    </xf>
    <xf numFmtId="165" fontId="54" fillId="0" borderId="26" xfId="0" applyNumberFormat="1" applyFont="1" applyBorder="1" applyAlignment="1" applyProtection="1">
      <alignment vertical="center"/>
      <protection locked="0"/>
    </xf>
    <xf numFmtId="165" fontId="54" fillId="10" borderId="26" xfId="0" applyNumberFormat="1" applyFont="1" applyFill="1" applyBorder="1" applyAlignment="1" applyProtection="1">
      <alignment vertical="center"/>
      <protection hidden="1"/>
    </xf>
    <xf numFmtId="165" fontId="54" fillId="0" borderId="70" xfId="0" applyNumberFormat="1" applyFont="1" applyBorder="1" applyAlignment="1" applyProtection="1">
      <alignment vertical="center"/>
      <protection hidden="1"/>
    </xf>
    <xf numFmtId="165" fontId="54" fillId="0" borderId="74" xfId="0" applyNumberFormat="1" applyFont="1" applyBorder="1" applyAlignment="1" applyProtection="1">
      <alignment vertical="center"/>
      <protection hidden="1"/>
    </xf>
    <xf numFmtId="165" fontId="54" fillId="0" borderId="6" xfId="0" applyNumberFormat="1" applyFont="1" applyBorder="1" applyAlignment="1" applyProtection="1">
      <alignment vertical="center"/>
      <protection hidden="1"/>
    </xf>
    <xf numFmtId="0" fontId="52" fillId="0" borderId="48" xfId="0" applyFont="1" applyBorder="1" applyAlignment="1" applyProtection="1">
      <alignment horizontal="left" vertical="center" indent="1"/>
      <protection locked="0"/>
    </xf>
    <xf numFmtId="0" fontId="52" fillId="0" borderId="2" xfId="0" applyFont="1" applyBorder="1" applyAlignment="1" applyProtection="1">
      <alignment horizontal="left" vertical="center" indent="1"/>
      <protection locked="0"/>
    </xf>
    <xf numFmtId="165" fontId="54" fillId="0" borderId="71" xfId="0" applyNumberFormat="1" applyFont="1" applyBorder="1" applyAlignment="1" applyProtection="1">
      <alignment vertical="center"/>
      <protection hidden="1"/>
    </xf>
    <xf numFmtId="165" fontId="54" fillId="0" borderId="63" xfId="0" applyNumberFormat="1" applyFont="1" applyBorder="1" applyAlignment="1" applyProtection="1">
      <alignment vertical="center"/>
      <protection hidden="1"/>
    </xf>
    <xf numFmtId="165" fontId="54" fillId="0" borderId="26" xfId="0" applyNumberFormat="1" applyFont="1" applyBorder="1" applyAlignment="1" applyProtection="1">
      <alignment vertical="center"/>
      <protection hidden="1"/>
    </xf>
    <xf numFmtId="165" fontId="55" fillId="0" borderId="70" xfId="0" applyNumberFormat="1" applyFont="1" applyBorder="1" applyAlignment="1" applyProtection="1">
      <alignment vertical="center"/>
      <protection hidden="1"/>
    </xf>
    <xf numFmtId="165" fontId="54" fillId="18" borderId="69" xfId="0" applyNumberFormat="1" applyFont="1" applyFill="1" applyBorder="1" applyAlignment="1" applyProtection="1">
      <alignment vertical="center"/>
      <protection hidden="1"/>
    </xf>
    <xf numFmtId="165" fontId="54" fillId="16" borderId="69" xfId="0" applyNumberFormat="1" applyFont="1" applyFill="1" applyBorder="1" applyAlignment="1" applyProtection="1">
      <alignment vertical="center"/>
      <protection hidden="1"/>
    </xf>
    <xf numFmtId="165" fontId="54" fillId="16" borderId="77" xfId="0" applyNumberFormat="1" applyFont="1" applyFill="1" applyBorder="1" applyAlignment="1" applyProtection="1">
      <alignment vertical="center"/>
      <protection hidden="1"/>
    </xf>
    <xf numFmtId="165" fontId="54" fillId="16" borderId="67" xfId="0" applyNumberFormat="1" applyFont="1" applyFill="1" applyBorder="1" applyAlignment="1" applyProtection="1">
      <alignment vertical="center"/>
      <protection hidden="1"/>
    </xf>
    <xf numFmtId="165" fontId="47" fillId="0" borderId="68" xfId="0" applyNumberFormat="1" applyFont="1" applyBorder="1" applyAlignment="1" applyProtection="1">
      <alignment vertical="center"/>
      <protection locked="0"/>
    </xf>
    <xf numFmtId="165" fontId="47" fillId="0" borderId="76" xfId="0" applyNumberFormat="1" applyFont="1" applyBorder="1" applyAlignment="1" applyProtection="1">
      <alignment vertical="center"/>
      <protection locked="0"/>
    </xf>
    <xf numFmtId="165" fontId="47" fillId="0" borderId="53" xfId="0" applyNumberFormat="1" applyFont="1" applyBorder="1" applyAlignment="1" applyProtection="1">
      <alignment vertical="center"/>
      <protection locked="0"/>
    </xf>
    <xf numFmtId="165" fontId="47" fillId="10" borderId="53" xfId="0" applyNumberFormat="1" applyFont="1" applyFill="1" applyBorder="1" applyAlignment="1" applyProtection="1">
      <alignment vertical="center"/>
      <protection hidden="1"/>
    </xf>
    <xf numFmtId="165" fontId="47" fillId="0" borderId="69" xfId="0" applyNumberFormat="1" applyFont="1" applyBorder="1" applyAlignment="1" applyProtection="1">
      <alignment vertical="center"/>
      <protection locked="0"/>
    </xf>
    <xf numFmtId="165" fontId="47" fillId="0" borderId="77" xfId="0" applyNumberFormat="1" applyFont="1" applyBorder="1" applyAlignment="1" applyProtection="1">
      <alignment vertical="center"/>
      <protection locked="0"/>
    </xf>
    <xf numFmtId="165" fontId="47" fillId="0" borderId="67" xfId="0" applyNumberFormat="1" applyFont="1" applyBorder="1" applyAlignment="1" applyProtection="1">
      <alignment vertical="center"/>
      <protection locked="0"/>
    </xf>
    <xf numFmtId="165" fontId="47" fillId="10" borderId="67" xfId="0" applyNumberFormat="1" applyFont="1" applyFill="1" applyBorder="1" applyAlignment="1" applyProtection="1">
      <alignment vertical="center"/>
      <protection hidden="1"/>
    </xf>
    <xf numFmtId="165" fontId="47" fillId="9" borderId="71" xfId="0" applyNumberFormat="1" applyFont="1" applyFill="1" applyBorder="1" applyAlignment="1" applyProtection="1">
      <alignment vertical="center"/>
      <protection hidden="1"/>
    </xf>
    <xf numFmtId="165" fontId="47" fillId="9" borderId="63" xfId="0" applyNumberFormat="1" applyFont="1" applyFill="1" applyBorder="1" applyAlignment="1" applyProtection="1">
      <alignment vertical="center"/>
      <protection hidden="1"/>
    </xf>
    <xf numFmtId="165" fontId="47" fillId="9" borderId="26" xfId="0" applyNumberFormat="1" applyFont="1" applyFill="1" applyBorder="1" applyAlignment="1" applyProtection="1">
      <alignment vertical="center"/>
      <protection hidden="1"/>
    </xf>
    <xf numFmtId="165" fontId="54" fillId="0" borderId="71" xfId="0" applyNumberFormat="1" applyFont="1" applyFill="1" applyBorder="1" applyAlignment="1" applyProtection="1">
      <alignment vertical="center"/>
      <protection locked="0"/>
    </xf>
    <xf numFmtId="0" fontId="21" fillId="9" borderId="30" xfId="0" applyFont="1" applyFill="1" applyBorder="1" applyAlignment="1" applyProtection="1">
      <alignment horizontal="center" vertical="center"/>
      <protection locked="0"/>
    </xf>
    <xf numFmtId="166" fontId="21" fillId="9" borderId="80" xfId="0" applyNumberFormat="1" applyFont="1" applyFill="1" applyBorder="1" applyAlignment="1" applyProtection="1">
      <alignment horizontal="center" vertical="center"/>
      <protection locked="0"/>
    </xf>
    <xf numFmtId="165" fontId="21" fillId="9" borderId="81" xfId="0" applyNumberFormat="1" applyFont="1" applyFill="1" applyBorder="1" applyAlignment="1" applyProtection="1">
      <alignment vertical="center"/>
      <protection hidden="1"/>
    </xf>
    <xf numFmtId="165" fontId="21" fillId="9" borderId="82" xfId="0" applyNumberFormat="1" applyFont="1" applyFill="1" applyBorder="1" applyAlignment="1" applyProtection="1">
      <alignment vertical="center"/>
      <protection hidden="1"/>
    </xf>
    <xf numFmtId="164" fontId="43" fillId="0" borderId="0" xfId="0" applyNumberFormat="1" applyFont="1" applyFill="1" applyBorder="1" applyAlignment="1" applyProtection="1">
      <alignment vertical="center"/>
      <protection locked="0"/>
    </xf>
    <xf numFmtId="171" fontId="48" fillId="9" borderId="19" xfId="6" applyNumberFormat="1" applyFont="1" applyFill="1" applyBorder="1" applyAlignment="1" applyProtection="1">
      <alignment horizontal="center" vertical="center"/>
      <protection hidden="1"/>
    </xf>
    <xf numFmtId="0" fontId="48" fillId="9" borderId="13" xfId="0" applyFont="1" applyFill="1" applyBorder="1" applyAlignment="1" applyProtection="1">
      <alignment vertical="center" wrapText="1"/>
      <protection hidden="1"/>
    </xf>
    <xf numFmtId="164" fontId="48" fillId="9" borderId="12" xfId="6" applyNumberFormat="1" applyFont="1" applyFill="1" applyBorder="1" applyAlignment="1" applyProtection="1">
      <alignment horizontal="left" vertical="center" wrapText="1" indent="1"/>
      <protection hidden="1"/>
    </xf>
    <xf numFmtId="0" fontId="41" fillId="0" borderId="0" xfId="0" applyFont="1" applyAlignment="1" applyProtection="1">
      <alignment horizontal="center" vertical="center"/>
      <protection hidden="1"/>
    </xf>
    <xf numFmtId="0" fontId="61" fillId="0" borderId="0" xfId="0" applyFont="1" applyAlignment="1" applyProtection="1">
      <alignment horizontal="center" vertical="center"/>
      <protection hidden="1"/>
    </xf>
    <xf numFmtId="0" fontId="63" fillId="19" borderId="4" xfId="7" applyFont="1" applyFill="1" applyBorder="1" applyAlignment="1" applyProtection="1">
      <alignment horizontal="left" vertical="center" wrapText="1" indent="1"/>
      <protection hidden="1"/>
    </xf>
    <xf numFmtId="0" fontId="64" fillId="19" borderId="4" xfId="7" applyFont="1" applyFill="1" applyBorder="1" applyAlignment="1" applyProtection="1">
      <alignment horizontal="left" vertical="center" wrapText="1" indent="1"/>
      <protection hidden="1"/>
    </xf>
    <xf numFmtId="164" fontId="17" fillId="20" borderId="10" xfId="0" applyNumberFormat="1" applyFont="1" applyFill="1" applyBorder="1" applyAlignment="1" applyProtection="1">
      <alignment horizontal="left" vertical="center" indent="1"/>
      <protection hidden="1"/>
    </xf>
    <xf numFmtId="164" fontId="17" fillId="20" borderId="11" xfId="0" applyNumberFormat="1" applyFont="1" applyFill="1" applyBorder="1" applyAlignment="1" applyProtection="1">
      <alignment vertical="center"/>
      <protection hidden="1"/>
    </xf>
    <xf numFmtId="164" fontId="17" fillId="12" borderId="14" xfId="0" applyNumberFormat="1" applyFont="1" applyFill="1" applyBorder="1" applyAlignment="1" applyProtection="1">
      <alignment horizontal="left" vertical="center" indent="1"/>
      <protection hidden="1"/>
    </xf>
    <xf numFmtId="164" fontId="17" fillId="12" borderId="15" xfId="0" applyNumberFormat="1" applyFont="1" applyFill="1" applyBorder="1" applyAlignment="1" applyProtection="1">
      <alignment vertical="center"/>
      <protection hidden="1"/>
    </xf>
    <xf numFmtId="165" fontId="12" fillId="12" borderId="20" xfId="0" applyNumberFormat="1" applyFont="1" applyFill="1" applyBorder="1" applyAlignment="1" applyProtection="1">
      <alignment horizontal="center" vertical="center"/>
      <protection hidden="1"/>
    </xf>
    <xf numFmtId="0" fontId="48" fillId="17" borderId="52" xfId="0" applyFont="1" applyFill="1" applyBorder="1" applyAlignment="1" applyProtection="1">
      <alignment horizontal="center" vertical="center"/>
      <protection hidden="1"/>
    </xf>
    <xf numFmtId="165" fontId="49" fillId="17" borderId="52" xfId="2" applyNumberFormat="1" applyFont="1" applyFill="1" applyBorder="1" applyAlignment="1" applyProtection="1">
      <alignment vertical="center"/>
      <protection hidden="1"/>
    </xf>
    <xf numFmtId="165" fontId="50" fillId="17" borderId="83" xfId="2" applyNumberFormat="1" applyFont="1" applyFill="1" applyBorder="1" applyAlignment="1" applyProtection="1">
      <alignment vertical="center"/>
      <protection hidden="1"/>
    </xf>
    <xf numFmtId="165" fontId="50" fillId="17" borderId="84" xfId="2" applyNumberFormat="1" applyFont="1" applyFill="1" applyBorder="1" applyAlignment="1" applyProtection="1">
      <alignment vertical="center"/>
      <protection hidden="1"/>
    </xf>
    <xf numFmtId="165" fontId="54" fillId="0" borderId="0" xfId="0" applyNumberFormat="1" applyFont="1" applyBorder="1" applyAlignment="1" applyProtection="1">
      <alignment vertical="center"/>
      <protection hidden="1"/>
    </xf>
    <xf numFmtId="165" fontId="54" fillId="0" borderId="2" xfId="0" applyNumberFormat="1" applyFont="1" applyBorder="1" applyAlignment="1" applyProtection="1">
      <alignment vertical="center"/>
      <protection hidden="1"/>
    </xf>
    <xf numFmtId="165" fontId="54" fillId="16" borderId="52" xfId="0" applyNumberFormat="1" applyFont="1" applyFill="1" applyBorder="1" applyAlignment="1" applyProtection="1">
      <alignment vertical="center"/>
      <protection hidden="1"/>
    </xf>
    <xf numFmtId="165" fontId="50" fillId="17" borderId="88" xfId="2" applyNumberFormat="1" applyFont="1" applyFill="1" applyBorder="1" applyAlignment="1" applyProtection="1">
      <alignment vertical="center"/>
      <protection hidden="1"/>
    </xf>
    <xf numFmtId="165" fontId="54" fillId="10" borderId="57" xfId="0" applyNumberFormat="1" applyFont="1" applyFill="1" applyBorder="1" applyAlignment="1" applyProtection="1">
      <alignment vertical="center"/>
      <protection hidden="1"/>
    </xf>
    <xf numFmtId="165" fontId="54" fillId="10" borderId="56" xfId="0" applyNumberFormat="1" applyFont="1" applyFill="1" applyBorder="1" applyAlignment="1" applyProtection="1">
      <alignment vertical="center"/>
      <protection hidden="1"/>
    </xf>
    <xf numFmtId="165" fontId="54" fillId="10" borderId="55" xfId="0" applyNumberFormat="1" applyFont="1" applyFill="1" applyBorder="1" applyAlignment="1" applyProtection="1">
      <alignment vertical="center"/>
      <protection hidden="1"/>
    </xf>
    <xf numFmtId="165" fontId="54" fillId="16" borderId="57" xfId="0" applyNumberFormat="1" applyFont="1" applyFill="1" applyBorder="1" applyAlignment="1" applyProtection="1">
      <alignment vertical="center"/>
      <protection hidden="1"/>
    </xf>
    <xf numFmtId="165" fontId="50" fillId="17" borderId="57" xfId="2" applyNumberFormat="1" applyFont="1" applyFill="1" applyBorder="1" applyAlignment="1" applyProtection="1">
      <alignment vertical="center"/>
      <protection hidden="1"/>
    </xf>
    <xf numFmtId="165" fontId="16" fillId="20" borderId="44" xfId="5" applyNumberFormat="1" applyFont="1" applyFill="1" applyBorder="1" applyAlignment="1" applyProtection="1">
      <alignment horizontal="center" vertical="center"/>
      <protection hidden="1"/>
    </xf>
    <xf numFmtId="165" fontId="16" fillId="20" borderId="78" xfId="5" applyNumberFormat="1" applyFont="1" applyFill="1" applyBorder="1" applyAlignment="1" applyProtection="1">
      <alignment vertical="center"/>
      <protection hidden="1"/>
    </xf>
    <xf numFmtId="165" fontId="51" fillId="20" borderId="79" xfId="5" applyNumberFormat="1" applyFont="1" applyFill="1" applyBorder="1" applyAlignment="1" applyProtection="1">
      <alignment vertical="center"/>
      <protection hidden="1"/>
    </xf>
    <xf numFmtId="165" fontId="51" fillId="20" borderId="75" xfId="5" applyNumberFormat="1" applyFont="1" applyFill="1" applyBorder="1" applyAlignment="1" applyProtection="1">
      <alignment vertical="center"/>
      <protection hidden="1"/>
    </xf>
    <xf numFmtId="0" fontId="68" fillId="16" borderId="61" xfId="4" applyFont="1" applyFill="1" applyBorder="1" applyAlignment="1" applyProtection="1">
      <alignment horizontal="left" vertical="center" indent="1"/>
      <protection locked="0"/>
    </xf>
    <xf numFmtId="165" fontId="68" fillId="16" borderId="87" xfId="4" applyNumberFormat="1" applyFont="1" applyFill="1" applyBorder="1" applyAlignment="1" applyProtection="1">
      <alignment vertical="center"/>
      <protection hidden="1"/>
    </xf>
    <xf numFmtId="165" fontId="16" fillId="20" borderId="44" xfId="5" applyNumberFormat="1" applyFont="1" applyFill="1" applyBorder="1" applyAlignment="1" applyProtection="1">
      <alignment horizontal="left" vertical="center" indent="1"/>
      <protection hidden="1"/>
    </xf>
    <xf numFmtId="165" fontId="16" fillId="20" borderId="75" xfId="5" applyNumberFormat="1" applyFont="1" applyFill="1" applyBorder="1" applyAlignment="1" applyProtection="1">
      <alignment vertical="center"/>
      <protection hidden="1"/>
    </xf>
    <xf numFmtId="0" fontId="15" fillId="22" borderId="66" xfId="4" applyFont="1" applyFill="1" applyBorder="1" applyAlignment="1" applyProtection="1">
      <alignment horizontal="left" vertical="center" wrapText="1" indent="1"/>
      <protection hidden="1"/>
    </xf>
    <xf numFmtId="0" fontId="66" fillId="22" borderId="54" xfId="4" applyFont="1" applyFill="1" applyBorder="1" applyAlignment="1" applyProtection="1">
      <alignment horizontal="center" vertical="center"/>
      <protection locked="0"/>
    </xf>
    <xf numFmtId="0" fontId="19" fillId="23" borderId="46" xfId="3" applyFont="1" applyFill="1" applyBorder="1" applyAlignment="1" applyProtection="1">
      <alignment horizontal="left" vertical="center" indent="1"/>
      <protection hidden="1"/>
    </xf>
    <xf numFmtId="0" fontId="69" fillId="23" borderId="8" xfId="3" applyFont="1" applyFill="1" applyBorder="1" applyAlignment="1" applyProtection="1">
      <alignment horizontal="center" vertical="center"/>
      <protection hidden="1"/>
    </xf>
    <xf numFmtId="169" fontId="41" fillId="23" borderId="46" xfId="0" applyNumberFormat="1" applyFont="1" applyFill="1" applyBorder="1" applyAlignment="1" applyProtection="1">
      <alignment horizontal="center" vertical="center"/>
      <protection hidden="1"/>
    </xf>
    <xf numFmtId="169" fontId="41" fillId="23" borderId="90" xfId="0" applyNumberFormat="1" applyFont="1" applyFill="1" applyBorder="1" applyAlignment="1" applyProtection="1">
      <alignment horizontal="center" vertical="center"/>
      <protection hidden="1"/>
    </xf>
    <xf numFmtId="169" fontId="41" fillId="23" borderId="89" xfId="0" applyNumberFormat="1" applyFont="1" applyFill="1" applyBorder="1" applyAlignment="1" applyProtection="1">
      <alignment horizontal="center" vertical="center"/>
      <protection hidden="1"/>
    </xf>
    <xf numFmtId="0" fontId="66" fillId="22" borderId="54" xfId="4" applyFont="1" applyFill="1" applyBorder="1" applyAlignment="1" applyProtection="1">
      <alignment horizontal="center" vertical="center"/>
      <protection hidden="1"/>
    </xf>
    <xf numFmtId="165" fontId="48" fillId="21" borderId="61" xfId="3" applyNumberFormat="1" applyFont="1" applyFill="1" applyBorder="1" applyAlignment="1" applyProtection="1">
      <alignment horizontal="center" vertical="center"/>
      <protection hidden="1"/>
    </xf>
    <xf numFmtId="165" fontId="48" fillId="21" borderId="85" xfId="3" applyNumberFormat="1" applyFont="1" applyFill="1" applyBorder="1" applyAlignment="1" applyProtection="1">
      <alignment vertical="center"/>
      <protection hidden="1"/>
    </xf>
    <xf numFmtId="165" fontId="50" fillId="21" borderId="86" xfId="3" applyNumberFormat="1" applyFont="1" applyFill="1" applyBorder="1" applyAlignment="1" applyProtection="1">
      <alignment vertical="center"/>
      <protection hidden="1"/>
    </xf>
    <xf numFmtId="165" fontId="50" fillId="21" borderId="38" xfId="3" applyNumberFormat="1" applyFont="1" applyFill="1" applyBorder="1" applyAlignment="1" applyProtection="1">
      <alignment vertical="center"/>
      <protection hidden="1"/>
    </xf>
    <xf numFmtId="165" fontId="50" fillId="21" borderId="80" xfId="3" applyNumberFormat="1" applyFont="1" applyFill="1" applyBorder="1" applyAlignment="1" applyProtection="1">
      <alignment vertical="center"/>
      <protection hidden="1"/>
    </xf>
    <xf numFmtId="165" fontId="50" fillId="21" borderId="87" xfId="3" applyNumberFormat="1" applyFont="1" applyFill="1" applyBorder="1" applyAlignment="1" applyProtection="1">
      <alignment vertical="center"/>
      <protection hidden="1"/>
    </xf>
    <xf numFmtId="10" fontId="54" fillId="0" borderId="0" xfId="0" applyNumberFormat="1" applyFont="1" applyFill="1" applyBorder="1" applyAlignment="1" applyProtection="1">
      <alignment horizontal="center" vertical="center"/>
      <protection locked="0"/>
    </xf>
    <xf numFmtId="0" fontId="54" fillId="0" borderId="0" xfId="0" applyFont="1" applyBorder="1" applyAlignment="1" applyProtection="1">
      <alignment horizontal="right" vertical="center"/>
      <protection locked="0"/>
    </xf>
    <xf numFmtId="165" fontId="17" fillId="20" borderId="4" xfId="0" applyNumberFormat="1" applyFont="1" applyFill="1" applyBorder="1" applyAlignment="1" applyProtection="1">
      <alignment horizontal="center" vertical="center"/>
      <protection hidden="1"/>
    </xf>
    <xf numFmtId="0" fontId="71" fillId="9" borderId="21" xfId="0" applyFont="1" applyFill="1" applyBorder="1" applyAlignment="1" applyProtection="1">
      <alignment horizontal="center"/>
      <protection hidden="1"/>
    </xf>
    <xf numFmtId="0" fontId="58" fillId="9" borderId="9" xfId="0" applyFont="1" applyFill="1" applyBorder="1" applyAlignment="1" applyProtection="1">
      <alignment horizontal="left" vertical="top" indent="1"/>
      <protection hidden="1"/>
    </xf>
    <xf numFmtId="168" fontId="71" fillId="9" borderId="18" xfId="0" applyNumberFormat="1" applyFont="1" applyFill="1" applyBorder="1" applyAlignment="1" applyProtection="1">
      <alignment horizontal="center" vertical="top"/>
      <protection hidden="1"/>
    </xf>
    <xf numFmtId="0" fontId="70" fillId="9" borderId="23" xfId="5" applyFont="1" applyFill="1" applyBorder="1" applyAlignment="1" applyProtection="1">
      <alignment horizontal="left" vertical="center" indent="1"/>
      <protection hidden="1"/>
    </xf>
    <xf numFmtId="0" fontId="70" fillId="9" borderId="24" xfId="5" applyFont="1" applyFill="1" applyBorder="1" applyAlignment="1" applyProtection="1">
      <alignment vertical="center"/>
      <protection hidden="1"/>
    </xf>
    <xf numFmtId="10" fontId="72" fillId="9" borderId="25" xfId="0" applyNumberFormat="1" applyFont="1" applyFill="1" applyBorder="1" applyAlignment="1" applyProtection="1">
      <alignment horizontal="center" vertical="center"/>
      <protection hidden="1"/>
    </xf>
    <xf numFmtId="0" fontId="68" fillId="16" borderId="39" xfId="4" applyFont="1" applyFill="1" applyBorder="1" applyAlignment="1" applyProtection="1">
      <alignment horizontal="left" vertical="center" indent="1"/>
      <protection hidden="1"/>
    </xf>
    <xf numFmtId="165" fontId="68" fillId="16" borderId="91" xfId="4" applyNumberFormat="1" applyFont="1" applyFill="1" applyBorder="1" applyAlignment="1" applyProtection="1">
      <alignment horizontal="center" vertical="center"/>
      <protection hidden="1"/>
    </xf>
    <xf numFmtId="0" fontId="68" fillId="16" borderId="92" xfId="4" applyFont="1" applyFill="1" applyBorder="1" applyAlignment="1" applyProtection="1">
      <alignment vertical="center"/>
      <protection hidden="1"/>
    </xf>
    <xf numFmtId="164" fontId="21" fillId="15" borderId="48" xfId="0" applyNumberFormat="1" applyFont="1" applyFill="1" applyBorder="1" applyAlignment="1" applyProtection="1">
      <alignment horizontal="left" vertical="center" indent="1"/>
      <protection hidden="1"/>
    </xf>
    <xf numFmtId="164" fontId="21" fillId="15" borderId="26" xfId="0" applyNumberFormat="1" applyFont="1" applyFill="1" applyBorder="1" applyAlignment="1" applyProtection="1">
      <alignment vertical="center"/>
      <protection hidden="1"/>
    </xf>
    <xf numFmtId="165" fontId="62" fillId="15" borderId="93" xfId="1" applyNumberFormat="1" applyFont="1" applyFill="1" applyBorder="1" applyAlignment="1" applyProtection="1">
      <alignment horizontal="center" vertical="center"/>
      <protection hidden="1"/>
    </xf>
    <xf numFmtId="10" fontId="50" fillId="9" borderId="4" xfId="4" applyNumberFormat="1" applyFont="1" applyFill="1" applyBorder="1" applyAlignment="1" applyProtection="1">
      <alignment horizontal="center" vertical="center"/>
      <protection hidden="1"/>
    </xf>
    <xf numFmtId="10" fontId="48" fillId="9" borderId="4" xfId="4" applyNumberFormat="1" applyFont="1" applyFill="1" applyBorder="1" applyAlignment="1" applyProtection="1">
      <alignment horizontal="center" vertical="center"/>
      <protection hidden="1"/>
    </xf>
    <xf numFmtId="10" fontId="71" fillId="9" borderId="4" xfId="0" applyNumberFormat="1" applyFont="1" applyFill="1" applyBorder="1" applyAlignment="1" applyProtection="1">
      <alignment horizontal="center" vertical="center"/>
      <protection locked="0"/>
    </xf>
    <xf numFmtId="0" fontId="22" fillId="0" borderId="0" xfId="0" applyFont="1" applyFill="1" applyBorder="1" applyAlignment="1" applyProtection="1">
      <alignment vertical="center" wrapText="1"/>
      <protection locked="0"/>
    </xf>
    <xf numFmtId="0" fontId="58" fillId="9" borderId="16" xfId="0" applyFont="1" applyFill="1" applyBorder="1" applyAlignment="1" applyProtection="1">
      <alignment horizontal="left" indent="1"/>
      <protection hidden="1"/>
    </xf>
    <xf numFmtId="0" fontId="19" fillId="9" borderId="17" xfId="0" applyFont="1" applyFill="1" applyBorder="1" applyAlignment="1" applyProtection="1">
      <alignment horizontal="left" indent="1"/>
      <protection hidden="1"/>
    </xf>
    <xf numFmtId="0" fontId="65" fillId="19" borderId="10" xfId="3" applyFont="1" applyFill="1" applyBorder="1" applyAlignment="1" applyProtection="1">
      <alignment horizontal="center" vertical="center"/>
      <protection hidden="1"/>
    </xf>
    <xf numFmtId="0" fontId="65" fillId="19" borderId="11" xfId="3" applyFont="1" applyFill="1" applyBorder="1" applyAlignment="1" applyProtection="1">
      <alignment horizontal="center" vertical="center"/>
      <protection hidden="1"/>
    </xf>
    <xf numFmtId="0" fontId="44" fillId="0" borderId="9" xfId="0" applyFont="1" applyBorder="1" applyAlignment="1" applyProtection="1">
      <alignment horizontal="left" vertical="center" indent="1"/>
      <protection hidden="1"/>
    </xf>
    <xf numFmtId="0" fontId="42" fillId="0" borderId="6" xfId="0" applyFont="1" applyBorder="1" applyAlignment="1" applyProtection="1">
      <alignment horizontal="left" vertical="center" indent="1"/>
      <protection hidden="1"/>
    </xf>
    <xf numFmtId="0" fontId="31" fillId="13" borderId="10" xfId="0" applyFont="1" applyFill="1" applyBorder="1" applyAlignment="1" applyProtection="1">
      <alignment horizontal="center" vertical="center"/>
      <protection hidden="1"/>
    </xf>
    <xf numFmtId="0" fontId="31" fillId="13" borderId="44" xfId="0" applyFont="1" applyFill="1" applyBorder="1" applyAlignment="1" applyProtection="1">
      <alignment horizontal="center" vertical="center"/>
      <protection hidden="1"/>
    </xf>
    <xf numFmtId="0" fontId="31" fillId="13" borderId="11" xfId="0" applyFont="1" applyFill="1" applyBorder="1" applyAlignment="1" applyProtection="1">
      <alignment horizontal="center" vertical="center"/>
      <protection hidden="1"/>
    </xf>
    <xf numFmtId="0" fontId="45" fillId="0" borderId="0" xfId="0" applyFont="1" applyBorder="1" applyAlignment="1" applyProtection="1">
      <alignment horizontal="center" vertical="center"/>
      <protection hidden="1"/>
    </xf>
    <xf numFmtId="0" fontId="71" fillId="0" borderId="0" xfId="0" applyFont="1" applyAlignment="1" applyProtection="1">
      <alignment horizontal="right" vertical="top"/>
      <protection hidden="1"/>
    </xf>
    <xf numFmtId="164" fontId="16" fillId="20" borderId="10" xfId="5" applyNumberFormat="1" applyFont="1" applyFill="1" applyBorder="1" applyAlignment="1" applyProtection="1">
      <alignment horizontal="left" vertical="center" wrapText="1" indent="1"/>
      <protection hidden="1"/>
    </xf>
    <xf numFmtId="164" fontId="16" fillId="20" borderId="44" xfId="5" applyNumberFormat="1" applyFont="1" applyFill="1" applyBorder="1" applyAlignment="1" applyProtection="1">
      <alignment horizontal="left" vertical="center" wrapText="1" indent="1"/>
      <protection hidden="1"/>
    </xf>
    <xf numFmtId="164" fontId="17" fillId="11" borderId="10" xfId="0" applyNumberFormat="1" applyFont="1" applyFill="1" applyBorder="1" applyAlignment="1" applyProtection="1">
      <alignment horizontal="left" vertical="center" indent="1"/>
      <protection hidden="1"/>
    </xf>
    <xf numFmtId="0" fontId="0" fillId="0" borderId="44" xfId="0" applyBorder="1" applyAlignment="1">
      <alignment horizontal="left" vertical="center" indent="1"/>
    </xf>
    <xf numFmtId="0" fontId="21" fillId="0" borderId="48" xfId="0" applyFont="1" applyBorder="1" applyAlignment="1" applyProtection="1">
      <alignment horizontal="left" vertical="center" indent="1"/>
      <protection locked="0"/>
    </xf>
    <xf numFmtId="0" fontId="0" fillId="0" borderId="2" xfId="0" applyBorder="1" applyAlignment="1">
      <alignment horizontal="left" vertical="center" indent="1"/>
    </xf>
    <xf numFmtId="0" fontId="0" fillId="0" borderId="63" xfId="0" applyBorder="1" applyAlignment="1">
      <alignment horizontal="left" indent="1"/>
    </xf>
    <xf numFmtId="0" fontId="19" fillId="23" borderId="45" xfId="3" applyFont="1" applyFill="1" applyBorder="1" applyAlignment="1" applyProtection="1">
      <alignment horizontal="center" vertical="center"/>
      <protection hidden="1"/>
    </xf>
    <xf numFmtId="0" fontId="19" fillId="23" borderId="46" xfId="3" applyFont="1" applyFill="1" applyBorder="1" applyAlignment="1" applyProtection="1">
      <alignment horizontal="center" vertical="center"/>
      <protection hidden="1"/>
    </xf>
    <xf numFmtId="0" fontId="21" fillId="0" borderId="51" xfId="0" applyFont="1" applyBorder="1" applyAlignment="1" applyProtection="1">
      <alignment horizontal="left" vertical="center" indent="1"/>
      <protection locked="0"/>
    </xf>
    <xf numFmtId="0" fontId="0" fillId="0" borderId="52" xfId="0" applyBorder="1" applyAlignment="1">
      <alignment horizontal="left" vertical="center" indent="1"/>
    </xf>
    <xf numFmtId="0" fontId="0" fillId="0" borderId="77" xfId="0" applyBorder="1" applyAlignment="1">
      <alignment horizontal="left" indent="1"/>
    </xf>
    <xf numFmtId="167" fontId="48" fillId="17" borderId="72" xfId="6" applyNumberFormat="1" applyFont="1" applyFill="1" applyBorder="1" applyAlignment="1" applyProtection="1">
      <alignment horizontal="center" vertical="center"/>
      <protection hidden="1"/>
    </xf>
    <xf numFmtId="167" fontId="48" fillId="17" borderId="73" xfId="6" applyNumberFormat="1" applyFont="1" applyFill="1" applyBorder="1" applyAlignment="1" applyProtection="1">
      <alignment horizontal="center" vertical="center"/>
      <protection hidden="1"/>
    </xf>
    <xf numFmtId="164" fontId="48" fillId="0" borderId="0" xfId="6" applyNumberFormat="1" applyFont="1" applyFill="1" applyBorder="1" applyAlignment="1" applyProtection="1">
      <alignment horizontal="left" vertical="center" wrapText="1"/>
      <protection hidden="1"/>
    </xf>
    <xf numFmtId="0" fontId="47" fillId="0" borderId="0" xfId="0" applyFont="1" applyBorder="1" applyAlignment="1" applyProtection="1">
      <alignment horizontal="right" vertical="center"/>
      <protection hidden="1"/>
    </xf>
    <xf numFmtId="0" fontId="19" fillId="9" borderId="28" xfId="0" applyFont="1" applyFill="1" applyBorder="1" applyAlignment="1" applyProtection="1">
      <alignment horizontal="left" vertical="center"/>
      <protection locked="0"/>
    </xf>
    <xf numFmtId="0" fontId="46" fillId="0" borderId="29" xfId="0" applyFont="1" applyBorder="1" applyAlignment="1" applyProtection="1">
      <alignment horizontal="left" vertical="center"/>
      <protection locked="0"/>
    </xf>
    <xf numFmtId="0" fontId="19" fillId="9" borderId="34" xfId="0" applyFont="1" applyFill="1" applyBorder="1" applyAlignment="1" applyProtection="1">
      <alignment horizontal="left" vertical="center"/>
      <protection locked="0"/>
    </xf>
    <xf numFmtId="0" fontId="46" fillId="0" borderId="35" xfId="0" applyFont="1" applyBorder="1" applyAlignment="1" applyProtection="1">
      <alignment horizontal="left" vertical="center"/>
      <protection locked="0"/>
    </xf>
    <xf numFmtId="0" fontId="21" fillId="0" borderId="39" xfId="0" applyFont="1" applyBorder="1" applyAlignment="1" applyProtection="1">
      <alignment horizontal="left" vertical="center" indent="1"/>
      <protection locked="0"/>
    </xf>
    <xf numFmtId="0" fontId="0" fillId="0" borderId="3" xfId="0" applyBorder="1" applyAlignment="1">
      <alignment horizontal="left" vertical="center" indent="1"/>
    </xf>
    <xf numFmtId="0" fontId="0" fillId="0" borderId="62" xfId="0" applyBorder="1" applyAlignment="1">
      <alignment horizontal="left" indent="1"/>
    </xf>
    <xf numFmtId="0" fontId="0" fillId="0" borderId="63" xfId="0" applyBorder="1" applyAlignment="1">
      <alignment horizontal="left" vertical="center" indent="1"/>
    </xf>
    <xf numFmtId="0" fontId="15" fillId="22" borderId="10" xfId="4" applyFont="1" applyFill="1" applyBorder="1" applyAlignment="1" applyProtection="1">
      <alignment horizontal="center" vertical="center" wrapText="1"/>
      <protection hidden="1"/>
    </xf>
    <xf numFmtId="0" fontId="15" fillId="22" borderId="44" xfId="4" applyFont="1" applyFill="1" applyBorder="1" applyAlignment="1" applyProtection="1">
      <alignment horizontal="center" vertical="center" wrapText="1"/>
      <protection hidden="1"/>
    </xf>
    <xf numFmtId="0" fontId="52" fillId="0" borderId="48" xfId="0" applyFont="1" applyBorder="1" applyAlignment="1" applyProtection="1">
      <alignment horizontal="left" vertical="center" indent="1"/>
      <protection locked="0"/>
    </xf>
    <xf numFmtId="0" fontId="53" fillId="0" borderId="2" xfId="0" applyFont="1" applyBorder="1" applyAlignment="1">
      <alignment horizontal="left" vertical="center" indent="1"/>
    </xf>
    <xf numFmtId="166" fontId="21" fillId="9" borderId="28" xfId="0" applyNumberFormat="1" applyFont="1" applyFill="1" applyBorder="1" applyAlignment="1" applyProtection="1">
      <alignment horizontal="left" vertical="center" wrapText="1" indent="1"/>
      <protection hidden="1"/>
    </xf>
    <xf numFmtId="166" fontId="21" fillId="9" borderId="34" xfId="0" applyNumberFormat="1" applyFont="1" applyFill="1" applyBorder="1" applyAlignment="1" applyProtection="1">
      <alignment horizontal="left" vertical="center" wrapText="1" indent="1"/>
      <protection hidden="1"/>
    </xf>
    <xf numFmtId="166" fontId="21" fillId="9" borderId="30" xfId="0" applyNumberFormat="1" applyFont="1" applyFill="1" applyBorder="1" applyAlignment="1" applyProtection="1">
      <alignment horizontal="center" vertical="center"/>
      <protection locked="0"/>
    </xf>
    <xf numFmtId="166" fontId="21" fillId="9" borderId="36" xfId="0" applyNumberFormat="1" applyFont="1" applyFill="1" applyBorder="1" applyAlignment="1" applyProtection="1">
      <alignment horizontal="center" vertical="center"/>
      <protection locked="0"/>
    </xf>
    <xf numFmtId="0" fontId="52" fillId="0" borderId="59" xfId="0" applyFont="1" applyBorder="1" applyAlignment="1" applyProtection="1">
      <alignment horizontal="left" vertical="center" indent="1"/>
      <protection locked="0"/>
    </xf>
    <xf numFmtId="0" fontId="53" fillId="0" borderId="60" xfId="0" applyFont="1" applyBorder="1" applyAlignment="1">
      <alignment horizontal="left" vertical="center" indent="1"/>
    </xf>
    <xf numFmtId="0" fontId="21" fillId="9" borderId="27" xfId="0" applyFont="1" applyFill="1" applyBorder="1" applyAlignment="1" applyProtection="1">
      <alignment horizontal="left" vertical="center" wrapText="1"/>
      <protection locked="0"/>
    </xf>
    <xf numFmtId="0" fontId="21" fillId="9" borderId="31" xfId="0" applyFont="1" applyFill="1" applyBorder="1" applyAlignment="1" applyProtection="1">
      <alignment horizontal="left" vertical="center" wrapText="1"/>
      <protection locked="0"/>
    </xf>
    <xf numFmtId="0" fontId="21" fillId="9" borderId="37" xfId="0" applyFont="1" applyFill="1" applyBorder="1" applyAlignment="1" applyProtection="1">
      <alignment horizontal="left" vertical="center" wrapText="1"/>
      <protection hidden="1"/>
    </xf>
    <xf numFmtId="0" fontId="21" fillId="9" borderId="38" xfId="0" applyFont="1" applyFill="1" applyBorder="1" applyAlignment="1" applyProtection="1">
      <alignment horizontal="left" vertical="center" wrapText="1"/>
      <protection hidden="1"/>
    </xf>
    <xf numFmtId="0" fontId="47" fillId="0" borderId="0" xfId="0" applyFont="1" applyFill="1" applyBorder="1" applyAlignment="1" applyProtection="1">
      <alignment horizontal="left" vertical="center" wrapText="1" indent="1"/>
      <protection locked="0"/>
    </xf>
    <xf numFmtId="0" fontId="60" fillId="0" borderId="0" xfId="0" applyFont="1" applyBorder="1" applyAlignment="1" applyProtection="1">
      <alignment horizontal="left" vertical="center"/>
      <protection hidden="1"/>
    </xf>
    <xf numFmtId="0" fontId="0" fillId="0" borderId="0" xfId="0" applyBorder="1" applyAlignment="1" applyProtection="1">
      <alignment horizontal="left" vertical="center"/>
      <protection hidden="1"/>
    </xf>
    <xf numFmtId="0" fontId="19" fillId="9" borderId="48" xfId="0" applyFont="1" applyFill="1" applyBorder="1" applyAlignment="1" applyProtection="1">
      <alignment horizontal="left" vertical="center" indent="1"/>
      <protection hidden="1"/>
    </xf>
    <xf numFmtId="0" fontId="19" fillId="9" borderId="2" xfId="0" applyFont="1" applyFill="1" applyBorder="1" applyAlignment="1" applyProtection="1">
      <alignment horizontal="left" vertical="center" indent="1"/>
      <protection hidden="1"/>
    </xf>
    <xf numFmtId="0" fontId="59" fillId="0" borderId="9" xfId="0" applyFont="1" applyBorder="1" applyAlignment="1" applyProtection="1">
      <alignment horizontal="left" vertical="center" indent="1"/>
      <protection hidden="1"/>
    </xf>
    <xf numFmtId="0" fontId="25" fillId="0" borderId="0" xfId="0" applyFont="1" applyAlignment="1" applyProtection="1">
      <alignment horizontal="left" indent="1"/>
      <protection hidden="1"/>
    </xf>
    <xf numFmtId="172" fontId="70" fillId="17" borderId="72" xfId="5" applyNumberFormat="1" applyFont="1" applyFill="1" applyBorder="1" applyAlignment="1" applyProtection="1">
      <alignment horizontal="center" vertical="center"/>
      <protection hidden="1"/>
    </xf>
    <xf numFmtId="172" fontId="70" fillId="17" borderId="73" xfId="5" applyNumberFormat="1" applyFont="1" applyFill="1" applyBorder="1" applyAlignment="1" applyProtection="1">
      <alignment horizontal="center" vertical="center"/>
      <protection hidden="1"/>
    </xf>
    <xf numFmtId="0" fontId="19" fillId="0" borderId="0" xfId="4" applyFont="1" applyFill="1" applyBorder="1" applyAlignment="1" applyProtection="1">
      <alignment horizontal="left" vertical="center" wrapText="1" indent="3"/>
      <protection locked="0"/>
    </xf>
    <xf numFmtId="0" fontId="68" fillId="16" borderId="22" xfId="4" applyFont="1" applyFill="1" applyBorder="1" applyAlignment="1" applyProtection="1">
      <alignment horizontal="left" vertical="center" indent="1"/>
      <protection hidden="1"/>
    </xf>
    <xf numFmtId="0" fontId="53" fillId="16" borderId="61" xfId="0" applyFont="1" applyFill="1" applyBorder="1" applyAlignment="1" applyProtection="1">
      <alignment horizontal="left" vertical="center" indent="1"/>
      <protection hidden="1"/>
    </xf>
    <xf numFmtId="0" fontId="48" fillId="0" borderId="48" xfId="0" applyFont="1" applyBorder="1" applyAlignment="1" applyProtection="1">
      <alignment horizontal="left" vertical="center" indent="1"/>
      <protection locked="0"/>
    </xf>
    <xf numFmtId="164" fontId="48" fillId="21" borderId="22" xfId="3" applyNumberFormat="1" applyFont="1" applyFill="1" applyBorder="1" applyAlignment="1" applyProtection="1">
      <alignment horizontal="left" vertical="center" wrapText="1" indent="1"/>
      <protection hidden="1"/>
    </xf>
    <xf numFmtId="0" fontId="67" fillId="21" borderId="61" xfId="0" applyFont="1" applyFill="1" applyBorder="1" applyAlignment="1" applyProtection="1">
      <alignment horizontal="left" vertical="center" wrapText="1" indent="1"/>
      <protection hidden="1"/>
    </xf>
    <xf numFmtId="170" fontId="52" fillId="0" borderId="2" xfId="0" applyNumberFormat="1" applyFont="1" applyBorder="1" applyAlignment="1" applyProtection="1">
      <alignment horizontal="center" vertical="center"/>
      <protection hidden="1"/>
    </xf>
    <xf numFmtId="0" fontId="52" fillId="0" borderId="51" xfId="0" applyFont="1" applyBorder="1" applyAlignment="1" applyProtection="1">
      <alignment horizontal="left" vertical="center" indent="1"/>
      <protection locked="0"/>
    </xf>
    <xf numFmtId="0" fontId="53" fillId="0" borderId="52" xfId="0" applyFont="1" applyBorder="1" applyAlignment="1">
      <alignment horizontal="left" vertical="center" indent="1"/>
    </xf>
    <xf numFmtId="0" fontId="19" fillId="0" borderId="47" xfId="0" applyFont="1" applyBorder="1" applyAlignment="1" applyProtection="1">
      <alignment horizontal="left" vertical="center" indent="1"/>
      <protection locked="0"/>
    </xf>
    <xf numFmtId="0" fontId="57" fillId="0" borderId="7" xfId="0" applyFont="1" applyBorder="1" applyAlignment="1" applyProtection="1">
      <alignment horizontal="left" vertical="center" indent="1"/>
      <protection locked="0"/>
    </xf>
    <xf numFmtId="0" fontId="19" fillId="0" borderId="51" xfId="0" applyFont="1" applyBorder="1" applyAlignment="1" applyProtection="1">
      <alignment horizontal="left" vertical="center" indent="1"/>
      <protection locked="0"/>
    </xf>
    <xf numFmtId="0" fontId="57" fillId="0" borderId="52" xfId="0" applyFont="1" applyBorder="1" applyAlignment="1">
      <alignment horizontal="left" vertical="center" indent="1"/>
    </xf>
    <xf numFmtId="0" fontId="48" fillId="0" borderId="50" xfId="0" applyFont="1" applyBorder="1" applyAlignment="1" applyProtection="1">
      <alignment horizontal="left" vertical="center" indent="1"/>
      <protection locked="0"/>
    </xf>
    <xf numFmtId="0" fontId="0" fillId="0" borderId="43" xfId="0" applyBorder="1" applyAlignment="1">
      <alignment horizontal="left" vertical="center" indent="1"/>
    </xf>
    <xf numFmtId="0" fontId="0" fillId="0" borderId="65" xfId="0" applyBorder="1" applyAlignment="1">
      <alignment horizontal="left" indent="1"/>
    </xf>
    <xf numFmtId="0" fontId="4" fillId="0" borderId="49" xfId="0" applyFont="1" applyBorder="1" applyAlignment="1" applyProtection="1">
      <alignment horizontal="left" vertical="center" indent="1"/>
      <protection locked="0"/>
    </xf>
    <xf numFmtId="0" fontId="0" fillId="0" borderId="1" xfId="0" applyBorder="1" applyAlignment="1">
      <alignment horizontal="left" vertical="center" indent="1"/>
    </xf>
    <xf numFmtId="0" fontId="0" fillId="0" borderId="64" xfId="0" applyBorder="1" applyAlignment="1">
      <alignment horizontal="left" indent="1"/>
    </xf>
    <xf numFmtId="0" fontId="56" fillId="16" borderId="51" xfId="0" applyFont="1" applyFill="1" applyBorder="1" applyAlignment="1" applyProtection="1">
      <alignment horizontal="left" vertical="center" indent="1"/>
      <protection hidden="1"/>
    </xf>
    <xf numFmtId="0" fontId="56" fillId="16" borderId="52" xfId="0" applyFont="1" applyFill="1" applyBorder="1" applyAlignment="1" applyProtection="1">
      <alignment horizontal="left" vertical="center" indent="1"/>
      <protection hidden="1"/>
    </xf>
    <xf numFmtId="164" fontId="48" fillId="17" borderId="51" xfId="2" applyNumberFormat="1" applyFont="1" applyFill="1" applyBorder="1" applyAlignment="1" applyProtection="1">
      <alignment horizontal="left" vertical="center" wrapText="1" indent="1"/>
      <protection hidden="1"/>
    </xf>
    <xf numFmtId="164" fontId="48" fillId="17" borderId="52" xfId="2" applyNumberFormat="1" applyFont="1" applyFill="1" applyBorder="1" applyAlignment="1" applyProtection="1">
      <alignment horizontal="left" vertical="center" wrapText="1" indent="1"/>
      <protection hidden="1"/>
    </xf>
    <xf numFmtId="0" fontId="41" fillId="0" borderId="0" xfId="0" applyFont="1" applyAlignment="1" applyProtection="1">
      <alignment vertical="center"/>
      <protection locked="0"/>
    </xf>
    <xf numFmtId="0" fontId="41" fillId="0" borderId="74" xfId="0" applyFont="1" applyBorder="1" applyAlignment="1" applyProtection="1">
      <alignment vertical="center"/>
      <protection locked="0"/>
    </xf>
    <xf numFmtId="0" fontId="47" fillId="0" borderId="6" xfId="0" applyFont="1" applyFill="1" applyBorder="1" applyAlignment="1" applyProtection="1">
      <alignment horizontal="left" vertical="center" wrapText="1" indent="1"/>
      <protection locked="0"/>
    </xf>
    <xf numFmtId="0" fontId="71" fillId="0" borderId="0" xfId="0" applyFont="1" applyAlignment="1" applyProtection="1">
      <alignment horizontal="right" vertical="center"/>
      <protection hidden="1"/>
    </xf>
    <xf numFmtId="0" fontId="73" fillId="0" borderId="0" xfId="0" applyFont="1" applyFill="1" applyBorder="1" applyAlignment="1" applyProtection="1">
      <alignment horizontal="right" vertical="center" wrapText="1"/>
      <protection hidden="1"/>
    </xf>
    <xf numFmtId="166" fontId="21" fillId="9" borderId="32" xfId="0" applyNumberFormat="1" applyFont="1" applyFill="1" applyBorder="1" applyAlignment="1" applyProtection="1">
      <alignment horizontal="center" vertical="center"/>
      <protection locked="0"/>
    </xf>
    <xf numFmtId="166" fontId="21" fillId="9" borderId="41" xfId="0" applyNumberFormat="1" applyFont="1" applyFill="1" applyBorder="1" applyAlignment="1" applyProtection="1">
      <alignment horizontal="center" vertical="center"/>
      <protection locked="0"/>
    </xf>
    <xf numFmtId="0" fontId="21" fillId="9" borderId="39" xfId="0" applyFont="1" applyFill="1" applyBorder="1" applyAlignment="1" applyProtection="1">
      <alignment horizontal="left" vertical="center" wrapText="1"/>
      <protection locked="0"/>
    </xf>
    <xf numFmtId="0" fontId="21" fillId="9" borderId="40" xfId="0" applyFont="1" applyFill="1" applyBorder="1" applyAlignment="1" applyProtection="1">
      <alignment horizontal="left" vertical="center" wrapText="1"/>
      <protection locked="0"/>
    </xf>
    <xf numFmtId="0" fontId="21" fillId="9" borderId="22" xfId="0" applyFont="1" applyFill="1" applyBorder="1" applyAlignment="1" applyProtection="1">
      <alignment horizontal="left" vertical="center" wrapText="1"/>
      <protection hidden="1"/>
    </xf>
    <xf numFmtId="0" fontId="21" fillId="9" borderId="42" xfId="0" applyFont="1" applyFill="1" applyBorder="1" applyAlignment="1" applyProtection="1">
      <alignment horizontal="left" vertical="center" wrapText="1"/>
      <protection hidden="1"/>
    </xf>
    <xf numFmtId="164" fontId="24" fillId="0" borderId="5" xfId="6" applyNumberFormat="1" applyFont="1" applyFill="1" applyBorder="1" applyAlignment="1" applyProtection="1">
      <alignment horizontal="right" vertical="center" wrapText="1" indent="1"/>
      <protection hidden="1"/>
    </xf>
  </cellXfs>
  <cellStyles count="8">
    <cellStyle name="40 % - Accent2" xfId="1" builtinId="35"/>
    <cellStyle name="60 % - Accent1" xfId="2" builtinId="32"/>
    <cellStyle name="Accent1" xfId="3" builtinId="29"/>
    <cellStyle name="Accent2" xfId="4" builtinId="33"/>
    <cellStyle name="Accent4" xfId="5" builtinId="41"/>
    <cellStyle name="Accent5" xfId="6" builtinId="45"/>
    <cellStyle name="Lien hypertexte" xfId="7" builtinId="8"/>
    <cellStyle name="Normal" xfId="0" builtinId="0"/>
  </cellStyles>
  <dxfs count="84">
    <dxf>
      <fill>
        <patternFill>
          <bgColor rgb="FFFFFF66"/>
        </patternFill>
      </fill>
    </dxf>
    <dxf>
      <font>
        <color theme="0"/>
      </font>
      <fill>
        <patternFill>
          <bgColor rgb="FFFF0000"/>
        </patternFill>
      </fill>
    </dxf>
    <dxf>
      <font>
        <color theme="0"/>
      </font>
    </dxf>
    <dxf>
      <font>
        <color rgb="FFEBF9FF"/>
      </font>
    </dxf>
    <dxf>
      <font>
        <color theme="8"/>
      </font>
    </dxf>
    <dxf>
      <font>
        <color rgb="FFDAEEF3"/>
      </font>
    </dxf>
    <dxf>
      <font>
        <color rgb="FFEBF9FF"/>
      </font>
    </dxf>
    <dxf>
      <font>
        <color theme="8"/>
      </font>
    </dxf>
    <dxf>
      <font>
        <color theme="4" tint="0.39994506668294322"/>
      </font>
    </dxf>
    <dxf>
      <font>
        <color theme="4"/>
      </font>
    </dxf>
    <dxf>
      <font>
        <color theme="4" tint="0.39994506668294322"/>
      </font>
    </dxf>
    <dxf>
      <font>
        <color rgb="FFDAEEF3"/>
      </font>
    </dxf>
    <dxf>
      <font>
        <color theme="4" tint="0.39994506668294322"/>
      </font>
    </dxf>
    <dxf>
      <font>
        <color rgb="FFEAEAEA"/>
      </font>
    </dxf>
    <dxf>
      <font>
        <color theme="8"/>
      </font>
    </dxf>
    <dxf>
      <font>
        <color theme="4" tint="0.39994506668294322"/>
      </font>
    </dxf>
    <dxf>
      <fill>
        <patternFill>
          <bgColor theme="6" tint="0.59996337778862885"/>
        </patternFill>
      </fill>
    </dxf>
    <dxf>
      <fill>
        <patternFill>
          <bgColor rgb="FFFFFFCC"/>
        </patternFill>
      </fill>
    </dxf>
    <dxf>
      <font>
        <color theme="0"/>
      </font>
    </dxf>
    <dxf>
      <font>
        <color theme="0"/>
      </font>
    </dxf>
    <dxf>
      <font>
        <condense val="0"/>
        <extend val="0"/>
        <color indexed="9"/>
      </font>
      <fill>
        <patternFill patternType="none">
          <bgColor auto="1"/>
        </patternFill>
      </fill>
      <border>
        <left/>
        <right/>
        <top/>
        <bottom/>
      </border>
    </dxf>
    <dxf>
      <fill>
        <patternFill>
          <bgColor rgb="FFFFFFCC"/>
        </patternFill>
      </fill>
    </dxf>
    <dxf>
      <font>
        <color theme="0" tint="-4.9989318521683403E-2"/>
      </font>
    </dxf>
    <dxf>
      <font>
        <color theme="0" tint="-4.9989318521683403E-2"/>
      </font>
    </dxf>
    <dxf>
      <font>
        <color theme="0"/>
      </font>
    </dxf>
    <dxf>
      <font>
        <condense val="0"/>
        <extend val="0"/>
        <color indexed="9"/>
      </font>
      <fill>
        <patternFill patternType="none">
          <bgColor auto="1"/>
        </patternFill>
      </fill>
      <border>
        <left/>
        <right/>
        <top/>
        <bottom/>
      </border>
    </dxf>
    <dxf>
      <fill>
        <patternFill>
          <bgColor rgb="FFFFFF66"/>
        </patternFill>
      </fill>
    </dxf>
    <dxf>
      <font>
        <color theme="0"/>
      </font>
      <fill>
        <patternFill>
          <bgColor rgb="FFFF0000"/>
        </patternFill>
      </fill>
    </dxf>
    <dxf>
      <fill>
        <patternFill>
          <bgColor theme="6" tint="0.59996337778862885"/>
        </patternFill>
      </fill>
    </dxf>
    <dxf>
      <font>
        <color theme="0"/>
      </font>
    </dxf>
    <dxf>
      <font>
        <color rgb="FFEBF9FF"/>
      </font>
    </dxf>
    <dxf>
      <font>
        <color theme="8"/>
      </font>
    </dxf>
    <dxf>
      <font>
        <color rgb="FFDAEEF3"/>
      </font>
    </dxf>
    <dxf>
      <font>
        <color rgb="FFEBF9FF"/>
      </font>
    </dxf>
    <dxf>
      <font>
        <color theme="8"/>
      </font>
    </dxf>
    <dxf>
      <font>
        <color theme="4" tint="0.39994506668294322"/>
      </font>
    </dxf>
    <dxf>
      <font>
        <color theme="4"/>
      </font>
    </dxf>
    <dxf>
      <font>
        <color theme="4" tint="0.39994506668294322"/>
      </font>
    </dxf>
    <dxf>
      <font>
        <color rgb="FFDAEEF3"/>
      </font>
    </dxf>
    <dxf>
      <font>
        <color theme="4" tint="0.39994506668294322"/>
      </font>
    </dxf>
    <dxf>
      <font>
        <color rgb="FFEAEAEA"/>
      </font>
    </dxf>
    <dxf>
      <font>
        <color theme="8"/>
      </font>
    </dxf>
    <dxf>
      <font>
        <color theme="4" tint="0.39994506668294322"/>
      </font>
    </dxf>
    <dxf>
      <fill>
        <patternFill>
          <bgColor rgb="FFFFFFCC"/>
        </patternFill>
      </fill>
    </dxf>
    <dxf>
      <font>
        <color theme="0"/>
      </font>
    </dxf>
    <dxf>
      <font>
        <color theme="0"/>
      </font>
    </dxf>
    <dxf>
      <font>
        <condense val="0"/>
        <extend val="0"/>
        <color indexed="9"/>
      </font>
      <fill>
        <patternFill patternType="none">
          <bgColor auto="1"/>
        </patternFill>
      </fill>
      <border>
        <left/>
        <right/>
        <top/>
        <bottom/>
      </border>
    </dxf>
    <dxf>
      <fill>
        <patternFill>
          <bgColor rgb="FFFFFFCC"/>
        </patternFill>
      </fill>
    </dxf>
    <dxf>
      <font>
        <color theme="0" tint="-4.9989318521683403E-2"/>
      </font>
    </dxf>
    <dxf>
      <font>
        <color theme="0" tint="-4.9989318521683403E-2"/>
      </font>
    </dxf>
    <dxf>
      <font>
        <color theme="0"/>
      </font>
    </dxf>
    <dxf>
      <font>
        <condense val="0"/>
        <extend val="0"/>
        <color indexed="9"/>
      </font>
      <fill>
        <patternFill patternType="none">
          <bgColor auto="1"/>
        </patternFill>
      </fill>
      <border>
        <left/>
        <right/>
        <top/>
        <bottom/>
      </border>
    </dxf>
    <dxf>
      <fill>
        <patternFill>
          <bgColor rgb="FFFFFF66"/>
        </patternFill>
      </fill>
    </dxf>
    <dxf>
      <font>
        <color theme="0"/>
      </font>
      <fill>
        <patternFill>
          <bgColor rgb="FFFF0000"/>
        </patternFill>
      </fill>
    </dxf>
    <dxf>
      <fill>
        <patternFill>
          <bgColor rgb="FFFFFFCC"/>
        </patternFill>
      </fill>
    </dxf>
    <dxf>
      <font>
        <color rgb="FFEAEAEA"/>
      </font>
    </dxf>
    <dxf>
      <font>
        <color rgb="FFEBF9FF"/>
      </font>
    </dxf>
    <dxf>
      <font>
        <color theme="8"/>
      </font>
    </dxf>
    <dxf>
      <font>
        <color theme="0"/>
      </font>
    </dxf>
    <dxf>
      <font>
        <color rgb="FFDAEEF3"/>
      </font>
    </dxf>
    <dxf>
      <font>
        <condense val="0"/>
        <extend val="0"/>
        <color indexed="9"/>
      </font>
      <fill>
        <patternFill patternType="none">
          <bgColor auto="1"/>
        </patternFill>
      </fill>
      <border>
        <left/>
        <right/>
        <top/>
        <bottom/>
      </border>
    </dxf>
    <dxf>
      <font>
        <color theme="8"/>
      </font>
    </dxf>
    <dxf>
      <font>
        <color theme="4" tint="0.39994506668294322"/>
      </font>
    </dxf>
    <dxf>
      <font>
        <color rgb="FFEBF9FF"/>
      </font>
    </dxf>
    <dxf>
      <fill>
        <patternFill>
          <bgColor rgb="FFFFFFCC"/>
        </patternFill>
      </fill>
    </dxf>
    <dxf>
      <fill>
        <patternFill>
          <bgColor rgb="FFFFFFCC"/>
        </patternFill>
      </fill>
    </dxf>
    <dxf>
      <font>
        <color theme="0"/>
      </font>
    </dxf>
    <dxf>
      <font>
        <color theme="8"/>
      </font>
    </dxf>
    <dxf>
      <font>
        <color theme="0" tint="-4.9989318521683403E-2"/>
      </font>
    </dxf>
    <dxf>
      <font>
        <color theme="4" tint="0.39994506668294322"/>
      </font>
    </dxf>
    <dxf>
      <font>
        <color theme="4"/>
      </font>
    </dxf>
    <dxf>
      <font>
        <color theme="4" tint="0.39994506668294322"/>
      </font>
    </dxf>
    <dxf>
      <fill>
        <patternFill>
          <bgColor rgb="FFFFFFCC"/>
        </patternFill>
      </fill>
    </dxf>
    <dxf>
      <font>
        <color theme="0"/>
      </font>
    </dxf>
    <dxf>
      <font>
        <color rgb="FFDAEEF3"/>
      </font>
    </dxf>
    <dxf>
      <font>
        <condense val="0"/>
        <extend val="0"/>
        <color indexed="9"/>
      </font>
      <fill>
        <patternFill patternType="none">
          <bgColor auto="1"/>
        </patternFill>
      </fill>
      <border>
        <left/>
        <right/>
        <top/>
        <bottom/>
      </border>
    </dxf>
    <dxf>
      <font>
        <color theme="4" tint="0.39994506668294322"/>
      </font>
    </dxf>
    <dxf>
      <font>
        <color theme="0"/>
      </font>
    </dxf>
    <dxf>
      <font>
        <color theme="8"/>
      </font>
    </dxf>
    <dxf>
      <font>
        <b/>
        <i/>
        <condense val="0"/>
        <extend val="0"/>
        <color indexed="10"/>
      </font>
      <fill>
        <patternFill>
          <bgColor theme="9" tint="0.79998168889431442"/>
        </patternFill>
      </fill>
    </dxf>
    <dxf>
      <font>
        <b/>
        <i/>
        <condense val="0"/>
        <extend val="0"/>
        <color indexed="10"/>
      </font>
      <fill>
        <patternFill>
          <bgColor theme="9" tint="0.79998168889431442"/>
        </patternFill>
      </fill>
    </dxf>
    <dxf>
      <font>
        <color theme="4" tint="0.79998168889431442"/>
      </font>
    </dxf>
    <dxf>
      <font>
        <b/>
        <i val="0"/>
        <color theme="0"/>
      </font>
      <fill>
        <patternFill>
          <bgColor rgb="FF660033"/>
        </patternFill>
      </fill>
    </dxf>
    <dxf>
      <font>
        <color theme="0" tint="-4.9989318521683403E-2"/>
      </font>
    </dxf>
  </dxfs>
  <tableStyles count="0" defaultTableStyle="TableStyleMedium9" defaultPivotStyle="PivotStyleLight16"/>
  <colors>
    <mruColors>
      <color rgb="FFFFFF66"/>
      <color rgb="FF000099"/>
      <color rgb="FFFFFFCC"/>
      <color rgb="FFDAEEF3"/>
      <color rgb="FF0000CC"/>
      <color rgb="FFEAEAEA"/>
      <color rgb="FFEBF9FF"/>
      <color rgb="FFFFFF99"/>
      <color rgb="FF003366"/>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L22"/>
  <sheetViews>
    <sheetView showGridLines="0" showRowColHeaders="0" tabSelected="1" workbookViewId="0">
      <selection activeCell="J13" sqref="J13"/>
    </sheetView>
  </sheetViews>
  <sheetFormatPr baseColWidth="10" defaultColWidth="11.44140625" defaultRowHeight="13.8" x14ac:dyDescent="0.3"/>
  <cols>
    <col min="1" max="2" width="1.6640625" style="11" customWidth="1"/>
    <col min="3" max="3" width="31.88671875" style="11" customWidth="1"/>
    <col min="4" max="4" width="3.6640625" style="17" customWidth="1"/>
    <col min="5" max="5" width="0.88671875" style="11" customWidth="1"/>
    <col min="6" max="6" width="20.6640625" style="11" customWidth="1"/>
    <col min="7" max="7" width="0.88671875" style="11" customWidth="1"/>
    <col min="8" max="8" width="20.6640625" style="11" customWidth="1"/>
    <col min="9" max="9" width="0.88671875" style="11" customWidth="1"/>
    <col min="10" max="10" width="20.6640625" style="11" customWidth="1"/>
    <col min="11" max="11" width="1.6640625" style="11" customWidth="1"/>
    <col min="12" max="12" width="12.5546875" style="11" customWidth="1"/>
    <col min="13" max="16384" width="11.44140625" style="11"/>
  </cols>
  <sheetData>
    <row r="1" spans="2:12" ht="6" customHeight="1" x14ac:dyDescent="0.3"/>
    <row r="2" spans="2:12" ht="21.9" customHeight="1" x14ac:dyDescent="0.3">
      <c r="B2" s="175" t="s">
        <v>41</v>
      </c>
      <c r="C2" s="176"/>
      <c r="D2" s="176"/>
      <c r="E2" s="176"/>
      <c r="F2" s="176"/>
      <c r="G2" s="176"/>
      <c r="H2" s="176"/>
      <c r="I2" s="176"/>
      <c r="J2" s="176"/>
      <c r="K2" s="177"/>
    </row>
    <row r="3" spans="2:12" ht="3" customHeight="1" x14ac:dyDescent="0.3">
      <c r="B3" s="12"/>
      <c r="C3" s="12"/>
      <c r="D3" s="18"/>
      <c r="E3" s="12"/>
      <c r="F3" s="12"/>
      <c r="G3" s="12"/>
      <c r="H3" s="12"/>
      <c r="I3" s="12"/>
      <c r="J3" s="12"/>
      <c r="K3" s="12"/>
    </row>
    <row r="4" spans="2:12" ht="15" customHeight="1" x14ac:dyDescent="0.3">
      <c r="B4" s="178" t="s">
        <v>38</v>
      </c>
      <c r="C4" s="178"/>
      <c r="D4" s="178"/>
      <c r="E4" s="178"/>
      <c r="F4" s="178"/>
      <c r="G4" s="178"/>
      <c r="H4" s="178"/>
      <c r="I4" s="178"/>
      <c r="J4" s="178"/>
      <c r="K4" s="178"/>
    </row>
    <row r="5" spans="2:12" ht="3" customHeight="1" x14ac:dyDescent="0.3">
      <c r="B5" s="12"/>
      <c r="C5" s="12"/>
      <c r="D5" s="18"/>
      <c r="E5" s="12"/>
      <c r="F5" s="12"/>
      <c r="G5" s="12"/>
      <c r="H5" s="12"/>
      <c r="I5" s="12"/>
      <c r="J5" s="12"/>
      <c r="K5" s="12"/>
    </row>
    <row r="6" spans="2:12" ht="9" customHeight="1" x14ac:dyDescent="0.3">
      <c r="B6" s="39"/>
      <c r="C6" s="40"/>
      <c r="D6" s="41"/>
      <c r="E6" s="40"/>
      <c r="F6" s="40"/>
      <c r="G6" s="40"/>
      <c r="H6" s="40"/>
      <c r="I6" s="40"/>
      <c r="J6" s="40"/>
      <c r="K6" s="42"/>
    </row>
    <row r="7" spans="2:12" ht="30" customHeight="1" x14ac:dyDescent="0.3">
      <c r="B7" s="43"/>
      <c r="C7" s="171" t="s">
        <v>13</v>
      </c>
      <c r="D7" s="172"/>
      <c r="E7" s="12"/>
      <c r="F7" s="108" t="str">
        <f>IF(ISBLANK(projet_1)," ",projet_1)</f>
        <v xml:space="preserve"> </v>
      </c>
      <c r="G7" s="12"/>
      <c r="H7" s="108" t="str">
        <f>IF(ISBLANK(projet_2)," ",projet_2)</f>
        <v xml:space="preserve"> </v>
      </c>
      <c r="I7" s="12"/>
      <c r="J7" s="109" t="str">
        <f>IF(ISBLANK(projet_3)," ",projet_3)</f>
        <v xml:space="preserve"> </v>
      </c>
      <c r="K7" s="44"/>
      <c r="L7" s="26" t="s">
        <v>30</v>
      </c>
    </row>
    <row r="8" spans="2:12" ht="6" customHeight="1" x14ac:dyDescent="0.3">
      <c r="B8" s="43"/>
      <c r="C8" s="16"/>
      <c r="D8" s="18"/>
      <c r="E8" s="12"/>
      <c r="F8" s="12"/>
      <c r="G8" s="12"/>
      <c r="H8" s="12"/>
      <c r="I8" s="12"/>
      <c r="J8" s="12"/>
      <c r="K8" s="44"/>
    </row>
    <row r="9" spans="2:12" ht="24.9" customHeight="1" x14ac:dyDescent="0.3">
      <c r="B9" s="43"/>
      <c r="C9" s="159" t="s">
        <v>14</v>
      </c>
      <c r="D9" s="161" t="str">
        <f>IF(ISBLANK(UM)," ",UM)</f>
        <v>€</v>
      </c>
      <c r="E9" s="12"/>
      <c r="F9" s="160" t="str">
        <f>IF(a=0," ",a)</f>
        <v xml:space="preserve"> </v>
      </c>
      <c r="G9" s="12"/>
      <c r="H9" s="160" t="str">
        <f>IF(a_1=0," ",a_1)</f>
        <v xml:space="preserve"> </v>
      </c>
      <c r="I9" s="12"/>
      <c r="J9" s="160" t="str">
        <f>IF(a_2=0," ",a_2)</f>
        <v xml:space="preserve"> </v>
      </c>
      <c r="K9" s="44"/>
    </row>
    <row r="10" spans="2:12" ht="21.9" customHeight="1" x14ac:dyDescent="0.3">
      <c r="B10" s="43"/>
      <c r="C10" s="28" t="s">
        <v>15</v>
      </c>
      <c r="D10" s="29"/>
      <c r="E10" s="12"/>
      <c r="F10" s="35" t="str">
        <f>IF(ISBLANK(d)," ",d)</f>
        <v xml:space="preserve"> </v>
      </c>
      <c r="G10" s="12"/>
      <c r="H10" s="35" t="str">
        <f>IF(ISBLANK(d_1)," ",d_1)</f>
        <v xml:space="preserve"> </v>
      </c>
      <c r="I10" s="12"/>
      <c r="J10" s="35" t="str">
        <f>IF(ISBLANK(d_2)," ",d_2)</f>
        <v xml:space="preserve"> </v>
      </c>
      <c r="K10" s="44"/>
    </row>
    <row r="11" spans="2:12" ht="24.9" customHeight="1" x14ac:dyDescent="0.3">
      <c r="B11" s="43"/>
      <c r="C11" s="162" t="s">
        <v>3</v>
      </c>
      <c r="D11" s="163" t="str">
        <f>IF(ISBLANK(UM)," ",UM)</f>
        <v>€</v>
      </c>
      <c r="E11" s="12"/>
      <c r="F11" s="164">
        <f>cf</f>
        <v>0</v>
      </c>
      <c r="G11" s="12"/>
      <c r="H11" s="164">
        <f>cf_1</f>
        <v>0</v>
      </c>
      <c r="I11" s="12"/>
      <c r="J11" s="164">
        <f>cf_2</f>
        <v>0</v>
      </c>
      <c r="K11" s="44"/>
    </row>
    <row r="12" spans="2:12" ht="21.9" customHeight="1" x14ac:dyDescent="0.3">
      <c r="B12" s="43"/>
      <c r="C12" s="173" t="s">
        <v>16</v>
      </c>
      <c r="D12" s="174"/>
      <c r="E12" s="19"/>
      <c r="F12" s="32">
        <f>tx</f>
        <v>0</v>
      </c>
      <c r="G12" s="19"/>
      <c r="H12" s="32">
        <f>tx_1</f>
        <v>0</v>
      </c>
      <c r="I12" s="19"/>
      <c r="J12" s="32">
        <f>tx_2</f>
        <v>0</v>
      </c>
      <c r="K12" s="44"/>
      <c r="L12" s="24" t="s">
        <v>30</v>
      </c>
    </row>
    <row r="13" spans="2:12" ht="24.9" customHeight="1" x14ac:dyDescent="0.3">
      <c r="B13" s="43"/>
      <c r="C13" s="110" t="s">
        <v>5</v>
      </c>
      <c r="D13" s="111" t="str">
        <f>IF(ISBLANK(UM)," ",UM)</f>
        <v>€</v>
      </c>
      <c r="E13" s="12"/>
      <c r="F13" s="152">
        <f>cfa</f>
        <v>0</v>
      </c>
      <c r="G13" s="12"/>
      <c r="H13" s="152">
        <f>cfa_1</f>
        <v>0</v>
      </c>
      <c r="I13" s="12"/>
      <c r="J13" s="152">
        <f>cfa_2</f>
        <v>0</v>
      </c>
      <c r="K13" s="44"/>
      <c r="L13" s="24" t="s">
        <v>30</v>
      </c>
    </row>
    <row r="14" spans="2:12" ht="21.9" customHeight="1" x14ac:dyDescent="0.3">
      <c r="B14" s="43"/>
      <c r="C14" s="105" t="s">
        <v>65</v>
      </c>
      <c r="D14" s="104" t="s">
        <v>66</v>
      </c>
      <c r="E14" s="102"/>
      <c r="F14" s="103">
        <f>_r</f>
        <v>0</v>
      </c>
      <c r="G14" s="102"/>
      <c r="H14" s="103">
        <f>r_1</f>
        <v>0</v>
      </c>
      <c r="I14" s="12"/>
      <c r="J14" s="103">
        <f>r_2</f>
        <v>0</v>
      </c>
      <c r="K14" s="44"/>
      <c r="L14" s="24" t="s">
        <v>30</v>
      </c>
    </row>
    <row r="15" spans="2:12" ht="24.9" customHeight="1" x14ac:dyDescent="0.3">
      <c r="B15" s="43"/>
      <c r="C15" s="30" t="s">
        <v>32</v>
      </c>
      <c r="D15" s="31" t="str">
        <f>IF(ISBLANK(UM)," ",UM)</f>
        <v>€</v>
      </c>
      <c r="E15" s="12"/>
      <c r="F15" s="33" t="str">
        <f>IF(ISERROR(F13-F9)," ",F13-F9)</f>
        <v xml:space="preserve"> </v>
      </c>
      <c r="G15" s="12"/>
      <c r="H15" s="33" t="str">
        <f>IF(ISERROR(H13-H9)," ",H13-H9)</f>
        <v xml:space="preserve"> </v>
      </c>
      <c r="I15" s="12"/>
      <c r="J15" s="34" t="str">
        <f>IF(ISERROR(J13-J9)," ",J13-J9)</f>
        <v xml:space="preserve"> </v>
      </c>
      <c r="K15" s="44"/>
      <c r="L15" s="24" t="s">
        <v>30</v>
      </c>
    </row>
    <row r="16" spans="2:12" ht="24.9" customHeight="1" x14ac:dyDescent="0.3">
      <c r="B16" s="43"/>
      <c r="C16" s="112" t="s">
        <v>17</v>
      </c>
      <c r="D16" s="113" t="str">
        <f>IF(ISBLANK(UM)," ",UM)</f>
        <v>€</v>
      </c>
      <c r="E16" s="12"/>
      <c r="F16" s="114" t="str">
        <f>IF(ISERROR(IF(a=0," ",(F15*F12)/(1-(POWER((1+F12),-F10)))))," ",IF(a=0," ",(F15*F12)/(1-(POWER((1+F12),-F10)))))</f>
        <v xml:space="preserve"> </v>
      </c>
      <c r="G16" s="12"/>
      <c r="H16" s="114" t="str">
        <f>IF(ISERROR(IF(a_1=0," ",(H15*H12)/(1-(POWER((1+H12),-H10)))))," ",IF(a_1=0," ",(H15*H12)/(1-(POWER((1+H12),-H10)))))</f>
        <v xml:space="preserve"> </v>
      </c>
      <c r="I16" s="12"/>
      <c r="J16" s="114" t="str">
        <f>IF(ISERROR(IF(a_2=0," ",(J15*J12)/(1-(POWER((1+J12),-J10)))))," ",IF(a_2=0," ",(J15*J12)/(1-(POWER((1+J12),-J10)))))</f>
        <v xml:space="preserve"> </v>
      </c>
      <c r="K16" s="44"/>
      <c r="L16" s="24" t="s">
        <v>30</v>
      </c>
    </row>
    <row r="17" spans="2:12" ht="18" customHeight="1" x14ac:dyDescent="0.3">
      <c r="B17" s="43"/>
      <c r="C17" s="169" t="s">
        <v>35</v>
      </c>
      <c r="D17" s="170"/>
      <c r="E17" s="12"/>
      <c r="F17" s="153" t="str">
        <f>IF(ISERROR(IF(F9=0," ",ROUND(F13/a,3)))," ",IF(F9=0," ",ROUND(F13/a,3)))</f>
        <v xml:space="preserve"> </v>
      </c>
      <c r="G17" s="12"/>
      <c r="H17" s="153" t="str">
        <f>IF(ISERROR(IF(H9=0," ",ROUND(H13/a_1,3)))," ",IF(H9=0," ",ROUND(H13/a_1,3)))</f>
        <v xml:space="preserve"> </v>
      </c>
      <c r="I17" s="12"/>
      <c r="J17" s="153" t="str">
        <f>IF(ISERROR(IF(J9=0," ",ROUND(J13/a_2,3)))," ",IF(J9=0," ",ROUND(J13/a_2,3)))</f>
        <v xml:space="preserve"> </v>
      </c>
      <c r="K17" s="44"/>
      <c r="L17" s="27" t="s">
        <v>30</v>
      </c>
    </row>
    <row r="18" spans="2:12" ht="18" customHeight="1" x14ac:dyDescent="0.3">
      <c r="B18" s="43"/>
      <c r="C18" s="154" t="s">
        <v>18</v>
      </c>
      <c r="D18" s="37" t="s">
        <v>31</v>
      </c>
      <c r="E18" s="12"/>
      <c r="F18" s="155" t="str">
        <f>IF(ISERROR(F15/F9)," ",F15/F9)</f>
        <v xml:space="preserve"> </v>
      </c>
      <c r="G18" s="12"/>
      <c r="H18" s="155" t="str">
        <f>IF(ISERROR(H15/H9)," ",H15/H9)</f>
        <v xml:space="preserve"> </v>
      </c>
      <c r="I18" s="12"/>
      <c r="J18" s="155" t="str">
        <f>IF(ISERROR(J15/J9)," ",J15/J9)</f>
        <v xml:space="preserve"> </v>
      </c>
      <c r="K18" s="44"/>
      <c r="L18" s="25"/>
    </row>
    <row r="19" spans="2:12" ht="21.9" customHeight="1" x14ac:dyDescent="0.3">
      <c r="B19" s="43"/>
      <c r="C19" s="156" t="s">
        <v>19</v>
      </c>
      <c r="D19" s="157" t="s">
        <v>31</v>
      </c>
      <c r="E19" s="36"/>
      <c r="F19" s="158" t="str">
        <f>tri</f>
        <v xml:space="preserve"> </v>
      </c>
      <c r="G19" s="12"/>
      <c r="H19" s="158" t="str">
        <f>tri_1</f>
        <v xml:space="preserve"> </v>
      </c>
      <c r="I19" s="12"/>
      <c r="J19" s="158" t="str">
        <f>tri_2</f>
        <v xml:space="preserve"> </v>
      </c>
      <c r="K19" s="44"/>
      <c r="L19" s="24" t="s">
        <v>30</v>
      </c>
    </row>
    <row r="20" spans="2:12" ht="9" customHeight="1" x14ac:dyDescent="0.3">
      <c r="B20" s="45"/>
      <c r="C20" s="46"/>
      <c r="D20" s="47"/>
      <c r="E20" s="46"/>
      <c r="F20" s="46"/>
      <c r="G20" s="46"/>
      <c r="H20" s="48"/>
      <c r="I20" s="46"/>
      <c r="J20" s="46"/>
      <c r="K20" s="49"/>
    </row>
    <row r="21" spans="2:12" ht="15" customHeight="1" x14ac:dyDescent="0.3">
      <c r="H21" s="13"/>
    </row>
    <row r="22" spans="2:12" ht="15" customHeight="1" x14ac:dyDescent="0.3"/>
  </sheetData>
  <sheetProtection algorithmName="SHA-512" hashValue="18PlAyHSSyJ01yQjv6EiegNuiAPZRBuHg1KbRFlh5kN0XTlOXS4iWn1PLPZRcM0FggtJO283LDFUqBAjC15OTg==" saltValue="J68hWTibinnhiUUEfqlADQ==" spinCount="100000" sheet="1" objects="1" scenarios="1" formatCells="0" formatColumns="0" formatRows="0" insertColumns="0" insertRows="0" insertHyperlinks="0" deleteColumns="0" deleteRows="0" sort="0" autoFilter="0" pivotTables="0"/>
  <mergeCells count="5">
    <mergeCell ref="C17:D17"/>
    <mergeCell ref="C7:D7"/>
    <mergeCell ref="C12:D12"/>
    <mergeCell ref="B2:K2"/>
    <mergeCell ref="B4:K4"/>
  </mergeCells>
  <phoneticPr fontId="0" type="noConversion"/>
  <conditionalFormatting sqref="F14 H14 J14">
    <cfRule type="cellIs" dxfId="83" priority="9" stopIfTrue="1" operator="equal">
      <formula>0</formula>
    </cfRule>
  </conditionalFormatting>
  <conditionalFormatting sqref="H15:H16 F15:F16 J15:J16">
    <cfRule type="cellIs" dxfId="82" priority="10" stopIfTrue="1" operator="lessThan">
      <formula>0</formula>
    </cfRule>
  </conditionalFormatting>
  <conditionalFormatting sqref="J11 H11 F11">
    <cfRule type="cellIs" dxfId="81" priority="11" stopIfTrue="1" operator="equal">
      <formula>0</formula>
    </cfRule>
  </conditionalFormatting>
  <conditionalFormatting sqref="J18 H18 F18">
    <cfRule type="cellIs" dxfId="80" priority="12" stopIfTrue="1" operator="lessThan">
      <formula>0</formula>
    </cfRule>
  </conditionalFormatting>
  <conditionalFormatting sqref="J17 H17 F17 C17:C18">
    <cfRule type="cellIs" dxfId="79" priority="13" stopIfTrue="1" operator="lessThan">
      <formula>1</formula>
    </cfRule>
  </conditionalFormatting>
  <conditionalFormatting sqref="F13 H13 J13">
    <cfRule type="cellIs" dxfId="78" priority="2" operator="equal">
      <formula>0</formula>
    </cfRule>
  </conditionalFormatting>
  <conditionalFormatting sqref="F12 H12 J12">
    <cfRule type="cellIs" dxfId="77" priority="1" operator="equal">
      <formula>0</formula>
    </cfRule>
  </conditionalFormatting>
  <hyperlinks>
    <hyperlink ref="F7" location="'Rentabilité 1er projet'!C4" display="'Rentabilité 1er projet'!C4" xr:uid="{00000000-0004-0000-0000-000000000000}"/>
    <hyperlink ref="H7" location="'Rentabilité 2ème projet'!C4" display="'Rentabilité 2ème projet'!C4" xr:uid="{00000000-0004-0000-0000-000001000000}"/>
    <hyperlink ref="J7" location="'Rentabilité 3ème projet'!C4" display="'Rentabilité 3ème projet'!C4" xr:uid="{00000000-0004-0000-0000-000002000000}"/>
  </hyperlinks>
  <pageMargins left="0.78740157499999996" right="0.78740157499999996" top="0.984251969" bottom="0.984251969" header="0.4921259845" footer="0.492125984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B1:BE79"/>
  <sheetViews>
    <sheetView showGridLines="0" showRowColHeaders="0" workbookViewId="0">
      <pane xSplit="12" ySplit="11" topLeftCell="M12" activePane="bottomRight" state="frozenSplit"/>
      <selection activeCell="M2" sqref="M2:R2"/>
      <selection pane="topRight" activeCell="M2" sqref="M2:R2"/>
      <selection pane="bottomLeft" activeCell="M2" sqref="M2:R2"/>
      <selection pane="bottomRight" activeCell="F23" sqref="F23"/>
    </sheetView>
  </sheetViews>
  <sheetFormatPr baseColWidth="10" defaultColWidth="11.44140625" defaultRowHeight="13.8" x14ac:dyDescent="0.3"/>
  <cols>
    <col min="1" max="1" width="1.6640625" style="1" customWidth="1"/>
    <col min="2" max="2" width="6.6640625" style="1" customWidth="1"/>
    <col min="3" max="4" width="13.6640625" style="1" customWidth="1"/>
    <col min="5" max="5" width="7.6640625" style="1" customWidth="1"/>
    <col min="6" max="6" width="10.6640625" style="1" customWidth="1"/>
    <col min="7" max="7" width="0.5546875" style="1" customWidth="1"/>
    <col min="8" max="8" width="5.6640625" style="1" customWidth="1"/>
    <col min="9" max="9" width="7.6640625" style="1" customWidth="1"/>
    <col min="10" max="10" width="13.6640625" style="1" customWidth="1"/>
    <col min="11" max="11" width="8.6640625" style="1" customWidth="1"/>
    <col min="12" max="12" width="7.6640625" style="1" customWidth="1"/>
    <col min="13" max="27" width="10.6640625" style="1" customWidth="1"/>
    <col min="28" max="28" width="11.6640625" style="1" customWidth="1"/>
    <col min="29" max="29" width="5.6640625" style="1" customWidth="1"/>
    <col min="30" max="30" width="8.6640625" style="1" customWidth="1"/>
    <col min="31" max="16384" width="11.44140625" style="1"/>
  </cols>
  <sheetData>
    <row r="1" spans="2:28" ht="15" customHeight="1" x14ac:dyDescent="0.3">
      <c r="C1" s="168"/>
      <c r="D1" s="168"/>
      <c r="E1" s="168"/>
      <c r="F1" s="168"/>
      <c r="G1" s="168"/>
      <c r="H1" s="168"/>
      <c r="I1" s="168"/>
      <c r="J1" s="168"/>
      <c r="K1" s="168"/>
      <c r="L1" s="168"/>
      <c r="M1" s="168"/>
      <c r="N1" s="168"/>
      <c r="O1" s="168"/>
      <c r="P1" s="168"/>
      <c r="Q1" s="168"/>
    </row>
    <row r="2" spans="2:28" ht="21.9" customHeight="1" x14ac:dyDescent="0.3">
      <c r="B2" s="20" t="s">
        <v>28</v>
      </c>
      <c r="C2" s="218" t="s">
        <v>26</v>
      </c>
      <c r="D2" s="252"/>
      <c r="E2" s="167"/>
      <c r="F2" s="218" t="s">
        <v>43</v>
      </c>
      <c r="G2" s="218"/>
      <c r="H2" s="218"/>
      <c r="I2" s="57"/>
      <c r="J2" s="227" t="s">
        <v>27</v>
      </c>
      <c r="K2" s="227"/>
      <c r="L2" s="166">
        <f>IF(ISBLANK(tb),0,IF(I2="nul",tb+1%,IF(I2="faible",tb+3%,IF(I2="moyen",tb+5%,IF(I2="élevé",tb+10%,0)))))</f>
        <v>0</v>
      </c>
      <c r="M2" s="223" t="str">
        <f>IF(AND(tb&gt;0,ISBLANK(I2)),"Vous devez obligatoirement renseigner le niveau de risque"," ")</f>
        <v xml:space="preserve"> </v>
      </c>
      <c r="N2" s="224"/>
      <c r="O2" s="224"/>
      <c r="P2" s="224"/>
      <c r="Q2" s="224"/>
      <c r="R2" s="224"/>
    </row>
    <row r="3" spans="2:28" ht="3" customHeight="1" x14ac:dyDescent="0.3"/>
    <row r="4" spans="2:28" ht="15" customHeight="1" x14ac:dyDescent="0.3">
      <c r="B4" s="107">
        <f>IF(AND(ISBLANK(tb),a&gt;0),1,0)</f>
        <v>0</v>
      </c>
      <c r="C4" s="179" t="str">
        <f>IF(AND(ISBLANK(tb),a&gt;0),"renseigner le taux d'actualisation ci-dessus"," ")</f>
        <v xml:space="preserve"> </v>
      </c>
      <c r="D4" s="179"/>
      <c r="E4" s="179"/>
      <c r="L4" s="107">
        <f>IF(da&gt;d,1,0)</f>
        <v>0</v>
      </c>
    </row>
    <row r="5" spans="2:28" ht="3" customHeight="1" x14ac:dyDescent="0.3"/>
    <row r="6" spans="2:28" ht="20.100000000000001" customHeight="1" x14ac:dyDescent="0.3">
      <c r="B6" s="60" t="s">
        <v>44</v>
      </c>
      <c r="C6" s="196"/>
      <c r="D6" s="197"/>
      <c r="E6" s="208" t="s">
        <v>4</v>
      </c>
      <c r="F6" s="208"/>
      <c r="G6" s="208"/>
      <c r="H6" s="208"/>
      <c r="I6" s="210"/>
      <c r="J6" s="214" t="s">
        <v>39</v>
      </c>
      <c r="K6" s="215"/>
      <c r="L6" s="98"/>
      <c r="M6" s="100">
        <f>IF(L6="Oui",a,0)</f>
        <v>0</v>
      </c>
      <c r="N6" s="100">
        <f t="shared" ref="N6:V6" si="0">M6-M7</f>
        <v>0</v>
      </c>
      <c r="O6" s="100">
        <f t="shared" si="0"/>
        <v>0</v>
      </c>
      <c r="P6" s="100">
        <f t="shared" si="0"/>
        <v>0</v>
      </c>
      <c r="Q6" s="100">
        <f t="shared" si="0"/>
        <v>0</v>
      </c>
      <c r="R6" s="100">
        <f t="shared" si="0"/>
        <v>0</v>
      </c>
      <c r="S6" s="100">
        <f t="shared" si="0"/>
        <v>0</v>
      </c>
      <c r="T6" s="100">
        <f t="shared" si="0"/>
        <v>0</v>
      </c>
      <c r="U6" s="100">
        <f t="shared" si="0"/>
        <v>0</v>
      </c>
      <c r="V6" s="100">
        <f t="shared" si="0"/>
        <v>0</v>
      </c>
      <c r="W6" s="100">
        <f t="shared" ref="W6" si="1">V6-V7</f>
        <v>0</v>
      </c>
      <c r="X6" s="100">
        <f t="shared" ref="X6" si="2">W6-W7</f>
        <v>0</v>
      </c>
      <c r="Y6" s="100">
        <f t="shared" ref="Y6" si="3">X6-X7</f>
        <v>0</v>
      </c>
      <c r="Z6" s="100">
        <f t="shared" ref="Z6" si="4">Y6-Y7</f>
        <v>0</v>
      </c>
      <c r="AA6" s="100">
        <f t="shared" ref="AA6" si="5">Z6-Z7</f>
        <v>0</v>
      </c>
    </row>
    <row r="7" spans="2:28" ht="20.100000000000001" customHeight="1" x14ac:dyDescent="0.3">
      <c r="B7" s="61" t="s">
        <v>45</v>
      </c>
      <c r="C7" s="198"/>
      <c r="D7" s="199"/>
      <c r="E7" s="209"/>
      <c r="F7" s="209"/>
      <c r="G7" s="209"/>
      <c r="H7" s="209"/>
      <c r="I7" s="211"/>
      <c r="J7" s="216" t="str">
        <f>IF(ISBLANK(L6)," ",IF(L6="Non"," "," Durée d'amortissement  :"))</f>
        <v xml:space="preserve"> </v>
      </c>
      <c r="K7" s="217"/>
      <c r="L7" s="99"/>
      <c r="M7" s="101">
        <f>IF(da=0,0,IF(M6=0,0,IF(L6="Oui",(M6/da)*k,0)))</f>
        <v>0</v>
      </c>
      <c r="N7" s="101">
        <f>IF(da=0,0,IF(N6=0,0,IF(L6="Oui",MAX(N6/(da-M11),(N6/da)*k),0)))</f>
        <v>0</v>
      </c>
      <c r="O7" s="101">
        <f>IF(da=0,0,IF(O6=0,0,IF(L6="Oui",MAX(O6/(da-N11),(O6/da)*k),0)))</f>
        <v>0</v>
      </c>
      <c r="P7" s="101">
        <f>IF(da=0,0,IF(P6=0,0,IF(L6="Oui",MAX(P6/(da-O11),(P6/da)*k),0)))</f>
        <v>0</v>
      </c>
      <c r="Q7" s="101">
        <f>IF(da=0,0,IF(Q6=0,0,IF(L6="Oui",MAX(Q6/(da-P11),(Q6/da)*k),0)))</f>
        <v>0</v>
      </c>
      <c r="R7" s="101">
        <f>IF(da=0,0,IF(R6=0,0,IF(L6="Oui",MAX(R6/(da-Q11),(R6/da)*k),0)))</f>
        <v>0</v>
      </c>
      <c r="S7" s="101">
        <f>IF(da=0,0,IF(S6=0,0,IF(L6="Oui",MAX(S6/(da-R11),(S6/da)*k),0)))</f>
        <v>0</v>
      </c>
      <c r="T7" s="101">
        <f>IF(da=0,0,IF(T6=0,0,IF(L6="Oui",MAX(T6/(da-S11),(T6/da)*k),0)))</f>
        <v>0</v>
      </c>
      <c r="U7" s="101">
        <f>IF(da=0,0,IF(U6=0,0,IF(L6="Oui",MAX(U6/(da-T11),(U6/da)*k),0)))</f>
        <v>0</v>
      </c>
      <c r="V7" s="101">
        <f>IF(da=0,0,IF(V6=0,0,IF(L6="Oui",MAX(V6/(da-U11),(V6/da)*k),0)))</f>
        <v>0</v>
      </c>
      <c r="W7" s="101">
        <f>IF(da=0,0,IF(W6=0,0,IF(L6="Oui",MAX(W6/(da-V11),(W6/da)*k),0)))</f>
        <v>0</v>
      </c>
      <c r="X7" s="101">
        <f>IF(da=0,0,IF(X6=0,0,IF(L6="Oui",MAX(X6/(da-W11),(X6/da)*k),0)))</f>
        <v>0</v>
      </c>
      <c r="Y7" s="101">
        <f>IF(da=0,0,IF(Y6=0,0,IF(L6="Oui",MAX(Y6/(da-X11),(Y6/da)*k),0)))</f>
        <v>0</v>
      </c>
      <c r="Z7" s="101">
        <f>IF(da=0,0,IF(Z6=0,0,IF(L6="Oui",MAX(Z6/(da-Y11),(Z6/da)*k),0)))</f>
        <v>0</v>
      </c>
      <c r="AA7" s="101">
        <f>IF(da=0,0,IF(AA6=0,0,IF(L6="Oui",MAX(AA6/(da-Z11),(AA6/da)*k),0)))</f>
        <v>0</v>
      </c>
    </row>
    <row r="8" spans="2:28" ht="3" customHeight="1" x14ac:dyDescent="0.3"/>
    <row r="9" spans="2:28" ht="15" customHeight="1" x14ac:dyDescent="0.3">
      <c r="B9" s="107" t="str">
        <f>IF(AND(ISBLANK(UM),F12&gt;0),1," ")</f>
        <v xml:space="preserve"> </v>
      </c>
      <c r="E9" s="195" t="str">
        <f>IF(AND(F12&gt;0,ISBLANK(UM)),"Unité monétaire ?"," ")</f>
        <v xml:space="preserve"> </v>
      </c>
      <c r="F9" s="195"/>
      <c r="H9" s="219" t="str">
        <f>IF(AND(L6="Oui",L7&gt;d),"la durée d'amortissement ne peut pas être &gt; à la durée d'utilisation"," ")</f>
        <v xml:space="preserve"> </v>
      </c>
      <c r="I9" s="220"/>
      <c r="J9" s="220"/>
      <c r="K9" s="220"/>
      <c r="L9" s="220"/>
      <c r="M9" s="220"/>
    </row>
    <row r="10" spans="2:28" ht="3" customHeight="1" x14ac:dyDescent="0.3"/>
    <row r="11" spans="2:28" ht="21.9" customHeight="1" x14ac:dyDescent="0.3">
      <c r="B11" s="204" t="s">
        <v>42</v>
      </c>
      <c r="C11" s="205"/>
      <c r="D11" s="205"/>
      <c r="E11" s="136" t="s">
        <v>58</v>
      </c>
      <c r="F11" s="137" t="s">
        <v>67</v>
      </c>
      <c r="H11" s="187" t="s">
        <v>61</v>
      </c>
      <c r="I11" s="188"/>
      <c r="J11" s="188"/>
      <c r="K11" s="188"/>
      <c r="L11" s="138" t="str">
        <f>IF(ISBLANK(UM)," ",UM)</f>
        <v>€</v>
      </c>
      <c r="M11" s="140">
        <v>1</v>
      </c>
      <c r="N11" s="141">
        <v>2</v>
      </c>
      <c r="O11" s="141">
        <v>3</v>
      </c>
      <c r="P11" s="141">
        <v>4</v>
      </c>
      <c r="Q11" s="141">
        <v>5</v>
      </c>
      <c r="R11" s="141">
        <v>6</v>
      </c>
      <c r="S11" s="141">
        <v>7</v>
      </c>
      <c r="T11" s="141">
        <v>8</v>
      </c>
      <c r="U11" s="141">
        <v>9</v>
      </c>
      <c r="V11" s="141">
        <v>10</v>
      </c>
      <c r="W11" s="141">
        <v>11</v>
      </c>
      <c r="X11" s="141">
        <v>12</v>
      </c>
      <c r="Y11" s="141">
        <v>13</v>
      </c>
      <c r="Z11" s="141">
        <v>14</v>
      </c>
      <c r="AA11" s="142">
        <v>15</v>
      </c>
      <c r="AB11" s="139" t="s">
        <v>0</v>
      </c>
    </row>
    <row r="12" spans="2:28" ht="21.9" customHeight="1" x14ac:dyDescent="0.3">
      <c r="B12" s="200" t="s">
        <v>46</v>
      </c>
      <c r="C12" s="201"/>
      <c r="D12" s="201"/>
      <c r="E12" s="202"/>
      <c r="F12" s="50"/>
      <c r="H12" s="236" t="s">
        <v>34</v>
      </c>
      <c r="I12" s="237"/>
      <c r="J12" s="237"/>
      <c r="K12" s="237"/>
      <c r="L12" s="237"/>
      <c r="M12" s="86"/>
      <c r="N12" s="86"/>
      <c r="O12" s="86"/>
      <c r="P12" s="86"/>
      <c r="Q12" s="86"/>
      <c r="R12" s="86"/>
      <c r="S12" s="86"/>
      <c r="T12" s="86"/>
      <c r="U12" s="86"/>
      <c r="V12" s="86"/>
      <c r="W12" s="87"/>
      <c r="X12" s="86"/>
      <c r="Y12" s="86"/>
      <c r="Z12" s="86"/>
      <c r="AA12" s="88"/>
      <c r="AB12" s="89">
        <f>SUM(M12:AA12)</f>
        <v>0</v>
      </c>
    </row>
    <row r="13" spans="2:28" ht="21.9" customHeight="1" x14ac:dyDescent="0.3">
      <c r="B13" s="184" t="s">
        <v>47</v>
      </c>
      <c r="C13" s="185"/>
      <c r="D13" s="185"/>
      <c r="E13" s="186"/>
      <c r="F13" s="51"/>
      <c r="H13" s="238" t="s">
        <v>9</v>
      </c>
      <c r="I13" s="239"/>
      <c r="J13" s="239"/>
      <c r="K13" s="239"/>
      <c r="L13" s="239"/>
      <c r="M13" s="90"/>
      <c r="N13" s="90"/>
      <c r="O13" s="90"/>
      <c r="P13" s="90"/>
      <c r="Q13" s="90"/>
      <c r="R13" s="90"/>
      <c r="S13" s="90"/>
      <c r="T13" s="90"/>
      <c r="U13" s="90"/>
      <c r="V13" s="90"/>
      <c r="W13" s="91"/>
      <c r="X13" s="90"/>
      <c r="Y13" s="90"/>
      <c r="Z13" s="90"/>
      <c r="AA13" s="92"/>
      <c r="AB13" s="93">
        <f>SUM(M13:AA13)</f>
        <v>0</v>
      </c>
    </row>
    <row r="14" spans="2:28" ht="21.9" customHeight="1" x14ac:dyDescent="0.3">
      <c r="B14" s="184" t="s">
        <v>48</v>
      </c>
      <c r="C14" s="185"/>
      <c r="D14" s="185"/>
      <c r="E14" s="186"/>
      <c r="F14" s="51"/>
      <c r="H14" s="221" t="s">
        <v>22</v>
      </c>
      <c r="I14" s="222"/>
      <c r="J14" s="222"/>
      <c r="K14" s="222"/>
      <c r="L14" s="222"/>
      <c r="M14" s="94">
        <f t="shared" ref="M14:V14" si="6">SUM(M12:M13)</f>
        <v>0</v>
      </c>
      <c r="N14" s="94">
        <f t="shared" si="6"/>
        <v>0</v>
      </c>
      <c r="O14" s="94">
        <f t="shared" si="6"/>
        <v>0</v>
      </c>
      <c r="P14" s="94">
        <f t="shared" si="6"/>
        <v>0</v>
      </c>
      <c r="Q14" s="94">
        <f t="shared" si="6"/>
        <v>0</v>
      </c>
      <c r="R14" s="94">
        <f t="shared" si="6"/>
        <v>0</v>
      </c>
      <c r="S14" s="94">
        <f t="shared" si="6"/>
        <v>0</v>
      </c>
      <c r="T14" s="94">
        <f t="shared" si="6"/>
        <v>0</v>
      </c>
      <c r="U14" s="94">
        <f t="shared" si="6"/>
        <v>0</v>
      </c>
      <c r="V14" s="94">
        <f t="shared" si="6"/>
        <v>0</v>
      </c>
      <c r="W14" s="95">
        <f t="shared" ref="W14:AB14" si="7">SUM(W12:W13)</f>
        <v>0</v>
      </c>
      <c r="X14" s="94">
        <f t="shared" si="7"/>
        <v>0</v>
      </c>
      <c r="Y14" s="94">
        <f t="shared" si="7"/>
        <v>0</v>
      </c>
      <c r="Z14" s="94">
        <f t="shared" si="7"/>
        <v>0</v>
      </c>
      <c r="AA14" s="96">
        <f t="shared" si="7"/>
        <v>0</v>
      </c>
      <c r="AB14" s="96">
        <f t="shared" si="7"/>
        <v>0</v>
      </c>
    </row>
    <row r="15" spans="2:28" ht="21.9" customHeight="1" x14ac:dyDescent="0.3">
      <c r="B15" s="184" t="s">
        <v>49</v>
      </c>
      <c r="C15" s="185"/>
      <c r="D15" s="185"/>
      <c r="E15" s="203"/>
      <c r="F15" s="51"/>
      <c r="H15" s="212" t="s">
        <v>8</v>
      </c>
      <c r="I15" s="213"/>
      <c r="J15" s="213"/>
      <c r="K15" s="213"/>
      <c r="L15" s="213"/>
      <c r="M15" s="65"/>
      <c r="N15" s="65"/>
      <c r="O15" s="65"/>
      <c r="P15" s="65"/>
      <c r="Q15" s="65"/>
      <c r="R15" s="65"/>
      <c r="S15" s="65"/>
      <c r="T15" s="65"/>
      <c r="U15" s="65"/>
      <c r="V15" s="65"/>
      <c r="W15" s="66"/>
      <c r="X15" s="65"/>
      <c r="Y15" s="65"/>
      <c r="Z15" s="65"/>
      <c r="AA15" s="67"/>
      <c r="AB15" s="68">
        <f t="shared" ref="AB15:AB23" si="8">SUM(M15:AA15)</f>
        <v>0</v>
      </c>
    </row>
    <row r="16" spans="2:28" ht="21.9" customHeight="1" x14ac:dyDescent="0.3">
      <c r="B16" s="184" t="s">
        <v>50</v>
      </c>
      <c r="C16" s="185"/>
      <c r="D16" s="185"/>
      <c r="E16" s="186"/>
      <c r="F16" s="51"/>
      <c r="H16" s="206" t="s">
        <v>25</v>
      </c>
      <c r="I16" s="207"/>
      <c r="J16" s="207"/>
      <c r="K16" s="207"/>
      <c r="L16" s="207"/>
      <c r="M16" s="69"/>
      <c r="N16" s="69"/>
      <c r="O16" s="69"/>
      <c r="P16" s="69"/>
      <c r="Q16" s="69"/>
      <c r="R16" s="69"/>
      <c r="S16" s="69"/>
      <c r="T16" s="69"/>
      <c r="U16" s="69"/>
      <c r="V16" s="69"/>
      <c r="W16" s="70"/>
      <c r="X16" s="69"/>
      <c r="Y16" s="69"/>
      <c r="Z16" s="69"/>
      <c r="AA16" s="71"/>
      <c r="AB16" s="72">
        <f t="shared" si="8"/>
        <v>0</v>
      </c>
    </row>
    <row r="17" spans="2:57" ht="21.9" customHeight="1" x14ac:dyDescent="0.3">
      <c r="B17" s="184" t="s">
        <v>51</v>
      </c>
      <c r="C17" s="185"/>
      <c r="D17" s="185"/>
      <c r="E17" s="186"/>
      <c r="F17" s="51"/>
      <c r="H17" s="206" t="s">
        <v>2</v>
      </c>
      <c r="I17" s="207"/>
      <c r="J17" s="207"/>
      <c r="K17" s="207"/>
      <c r="L17" s="207"/>
      <c r="M17" s="69"/>
      <c r="N17" s="69"/>
      <c r="O17" s="69"/>
      <c r="P17" s="69"/>
      <c r="Q17" s="69"/>
      <c r="R17" s="69"/>
      <c r="S17" s="69"/>
      <c r="T17" s="69"/>
      <c r="U17" s="69"/>
      <c r="V17" s="69"/>
      <c r="W17" s="70"/>
      <c r="X17" s="69"/>
      <c r="Y17" s="69"/>
      <c r="Z17" s="69"/>
      <c r="AA17" s="71"/>
      <c r="AB17" s="72">
        <f t="shared" si="8"/>
        <v>0</v>
      </c>
    </row>
    <row r="18" spans="2:57" ht="21.9" customHeight="1" x14ac:dyDescent="0.3">
      <c r="B18" s="184" t="s">
        <v>52</v>
      </c>
      <c r="C18" s="185"/>
      <c r="D18" s="185"/>
      <c r="E18" s="186"/>
      <c r="F18" s="51"/>
      <c r="H18" s="206" t="s">
        <v>7</v>
      </c>
      <c r="I18" s="207"/>
      <c r="J18" s="207"/>
      <c r="K18" s="207"/>
      <c r="L18" s="207"/>
      <c r="M18" s="97"/>
      <c r="N18" s="69"/>
      <c r="O18" s="69"/>
      <c r="P18" s="69"/>
      <c r="Q18" s="69"/>
      <c r="R18" s="69"/>
      <c r="S18" s="69"/>
      <c r="T18" s="69"/>
      <c r="U18" s="69"/>
      <c r="V18" s="69"/>
      <c r="W18" s="70"/>
      <c r="X18" s="69"/>
      <c r="Y18" s="69"/>
      <c r="Z18" s="69"/>
      <c r="AA18" s="71"/>
      <c r="AB18" s="72">
        <f t="shared" si="8"/>
        <v>0</v>
      </c>
    </row>
    <row r="19" spans="2:57" ht="21.9" customHeight="1" x14ac:dyDescent="0.3">
      <c r="B19" s="184" t="s">
        <v>53</v>
      </c>
      <c r="C19" s="185"/>
      <c r="D19" s="185"/>
      <c r="E19" s="186"/>
      <c r="F19" s="51"/>
      <c r="H19" s="206" t="s">
        <v>11</v>
      </c>
      <c r="I19" s="207"/>
      <c r="J19" s="207"/>
      <c r="K19" s="207"/>
      <c r="L19" s="207"/>
      <c r="M19" s="69"/>
      <c r="N19" s="69"/>
      <c r="O19" s="69"/>
      <c r="P19" s="69"/>
      <c r="Q19" s="69"/>
      <c r="R19" s="69"/>
      <c r="S19" s="69"/>
      <c r="T19" s="69"/>
      <c r="U19" s="69"/>
      <c r="V19" s="69"/>
      <c r="W19" s="70"/>
      <c r="X19" s="69"/>
      <c r="Y19" s="69"/>
      <c r="Z19" s="69"/>
      <c r="AA19" s="71"/>
      <c r="AB19" s="72">
        <f t="shared" si="8"/>
        <v>0</v>
      </c>
    </row>
    <row r="20" spans="2:57" ht="21.9" customHeight="1" x14ac:dyDescent="0.3">
      <c r="B20" s="184"/>
      <c r="C20" s="185"/>
      <c r="D20" s="185"/>
      <c r="E20" s="186"/>
      <c r="F20" s="51"/>
      <c r="H20" s="206" t="s">
        <v>12</v>
      </c>
      <c r="I20" s="207"/>
      <c r="J20" s="207"/>
      <c r="K20" s="207"/>
      <c r="L20" s="207"/>
      <c r="M20" s="69"/>
      <c r="N20" s="69"/>
      <c r="O20" s="69"/>
      <c r="P20" s="69"/>
      <c r="Q20" s="69"/>
      <c r="R20" s="69"/>
      <c r="S20" s="69"/>
      <c r="T20" s="69"/>
      <c r="U20" s="69"/>
      <c r="V20" s="69"/>
      <c r="W20" s="70"/>
      <c r="X20" s="69"/>
      <c r="Y20" s="69"/>
      <c r="Z20" s="69"/>
      <c r="AA20" s="71"/>
      <c r="AB20" s="72">
        <f t="shared" si="8"/>
        <v>0</v>
      </c>
    </row>
    <row r="21" spans="2:57" ht="21.9" customHeight="1" x14ac:dyDescent="0.3">
      <c r="B21" s="184"/>
      <c r="C21" s="185"/>
      <c r="D21" s="185"/>
      <c r="E21" s="186"/>
      <c r="F21" s="51"/>
      <c r="H21" s="206" t="s">
        <v>10</v>
      </c>
      <c r="I21" s="207"/>
      <c r="J21" s="207"/>
      <c r="K21" s="207"/>
      <c r="L21" s="207"/>
      <c r="M21" s="73">
        <f t="shared" ref="M21:V21" si="9">IF(M11&gt;d,0,a/d)</f>
        <v>0</v>
      </c>
      <c r="N21" s="73">
        <f t="shared" si="9"/>
        <v>0</v>
      </c>
      <c r="O21" s="73">
        <f t="shared" si="9"/>
        <v>0</v>
      </c>
      <c r="P21" s="73">
        <f t="shared" si="9"/>
        <v>0</v>
      </c>
      <c r="Q21" s="73">
        <f t="shared" si="9"/>
        <v>0</v>
      </c>
      <c r="R21" s="73">
        <f t="shared" si="9"/>
        <v>0</v>
      </c>
      <c r="S21" s="73">
        <f t="shared" si="9"/>
        <v>0</v>
      </c>
      <c r="T21" s="73">
        <f t="shared" si="9"/>
        <v>0</v>
      </c>
      <c r="U21" s="73">
        <f t="shared" si="9"/>
        <v>0</v>
      </c>
      <c r="V21" s="73">
        <f t="shared" si="9"/>
        <v>0</v>
      </c>
      <c r="W21" s="74">
        <f t="shared" ref="W21:AA21" si="10">IF(W11&gt;d,0,a/d)</f>
        <v>0</v>
      </c>
      <c r="X21" s="73">
        <f t="shared" si="10"/>
        <v>0</v>
      </c>
      <c r="Y21" s="73">
        <f t="shared" si="10"/>
        <v>0</v>
      </c>
      <c r="Z21" s="73">
        <f t="shared" si="10"/>
        <v>0</v>
      </c>
      <c r="AA21" s="119">
        <f t="shared" si="10"/>
        <v>0</v>
      </c>
      <c r="AB21" s="123">
        <f t="shared" si="8"/>
        <v>0</v>
      </c>
    </row>
    <row r="22" spans="2:57" ht="21.9" customHeight="1" x14ac:dyDescent="0.3">
      <c r="B22" s="243"/>
      <c r="C22" s="244"/>
      <c r="D22" s="244"/>
      <c r="E22" s="245"/>
      <c r="F22" s="54"/>
      <c r="H22" s="76" t="s">
        <v>21</v>
      </c>
      <c r="I22" s="77"/>
      <c r="J22" s="77"/>
      <c r="K22" s="233">
        <f>IF(da&lt;3,0,IF(da&lt;5,1.25,IF(da&lt;6.67,1.75,2.25)))</f>
        <v>0</v>
      </c>
      <c r="L22" s="233"/>
      <c r="M22" s="78">
        <f>IF(L6="Oui",M7-M21,0)</f>
        <v>0</v>
      </c>
      <c r="N22" s="78">
        <f>IF(L6="Oui",N7-N21,0)</f>
        <v>0</v>
      </c>
      <c r="O22" s="78">
        <f>IF(L6="Oui",O7-O21,0)</f>
        <v>0</v>
      </c>
      <c r="P22" s="78">
        <f>IF(L6="Oui",P7-P21,0)</f>
        <v>0</v>
      </c>
      <c r="Q22" s="78">
        <f>IF(L6="Oui",Q7-Q21,0)</f>
        <v>0</v>
      </c>
      <c r="R22" s="78">
        <f>IF(L6="Oui",R7-R21,0)</f>
        <v>0</v>
      </c>
      <c r="S22" s="78">
        <f>IF(L6="Oui",S7-S21,0)</f>
        <v>0</v>
      </c>
      <c r="T22" s="78">
        <f>IF(L6="Oui",T7-T21,0)</f>
        <v>0</v>
      </c>
      <c r="U22" s="78">
        <f>IF(L6="Oui",U7-U21,0)</f>
        <v>0</v>
      </c>
      <c r="V22" s="78">
        <f>IF(L6="Oui",V7-V21,0)</f>
        <v>0</v>
      </c>
      <c r="W22" s="79">
        <f>IF(Q6="Oui",W7-W21,0)</f>
        <v>0</v>
      </c>
      <c r="X22" s="78">
        <f>IF(Q6="Oui",X7-X21,0)</f>
        <v>0</v>
      </c>
      <c r="Y22" s="78">
        <f>IF(Q6="Oui",Y7-Y21,0)</f>
        <v>0</v>
      </c>
      <c r="Z22" s="78">
        <f>IF(Q6="Oui",Z7-Z21,0)</f>
        <v>0</v>
      </c>
      <c r="AA22" s="120">
        <f>IF(Q6="Oui",AA7-AA21,0)</f>
        <v>0</v>
      </c>
      <c r="AB22" s="124">
        <f t="shared" si="8"/>
        <v>0</v>
      </c>
    </row>
    <row r="23" spans="2:57" ht="21.9" customHeight="1" x14ac:dyDescent="0.3">
      <c r="B23" s="240" t="s">
        <v>54</v>
      </c>
      <c r="C23" s="241"/>
      <c r="D23" s="241"/>
      <c r="E23" s="242"/>
      <c r="F23" s="55"/>
      <c r="H23" s="234" t="s">
        <v>37</v>
      </c>
      <c r="I23" s="235"/>
      <c r="J23" s="235"/>
      <c r="K23" s="151" t="s">
        <v>36</v>
      </c>
      <c r="L23" s="150"/>
      <c r="M23" s="73">
        <f t="shared" ref="M23:V23" si="11">ROUND(IF(M14&gt;SUM(M15:M22),(M14-SUM(M15:M22))*$L$23,0),2)</f>
        <v>0</v>
      </c>
      <c r="N23" s="73">
        <f t="shared" si="11"/>
        <v>0</v>
      </c>
      <c r="O23" s="73">
        <f t="shared" si="11"/>
        <v>0</v>
      </c>
      <c r="P23" s="73">
        <f t="shared" si="11"/>
        <v>0</v>
      </c>
      <c r="Q23" s="73">
        <f t="shared" si="11"/>
        <v>0</v>
      </c>
      <c r="R23" s="73">
        <f t="shared" si="11"/>
        <v>0</v>
      </c>
      <c r="S23" s="73">
        <f t="shared" si="11"/>
        <v>0</v>
      </c>
      <c r="T23" s="73">
        <f t="shared" si="11"/>
        <v>0</v>
      </c>
      <c r="U23" s="73">
        <f t="shared" si="11"/>
        <v>0</v>
      </c>
      <c r="V23" s="73">
        <f t="shared" si="11"/>
        <v>0</v>
      </c>
      <c r="W23" s="74">
        <f t="shared" ref="W23:AA23" si="12">ROUND(IF(W14&gt;SUM(W15:W22),(W14-SUM(W15:W22))*$L$23,0),2)</f>
        <v>0</v>
      </c>
      <c r="X23" s="73">
        <f t="shared" si="12"/>
        <v>0</v>
      </c>
      <c r="Y23" s="73">
        <f t="shared" si="12"/>
        <v>0</v>
      </c>
      <c r="Z23" s="73">
        <f t="shared" si="12"/>
        <v>0</v>
      </c>
      <c r="AA23" s="119">
        <f t="shared" si="12"/>
        <v>0</v>
      </c>
      <c r="AB23" s="125">
        <f t="shared" si="8"/>
        <v>0</v>
      </c>
    </row>
    <row r="24" spans="2:57" ht="21.9" customHeight="1" x14ac:dyDescent="0.3">
      <c r="B24" s="230" t="s">
        <v>55</v>
      </c>
      <c r="C24" s="185"/>
      <c r="D24" s="185"/>
      <c r="E24" s="186"/>
      <c r="F24" s="51"/>
      <c r="H24" s="246" t="s">
        <v>23</v>
      </c>
      <c r="I24" s="247"/>
      <c r="J24" s="247"/>
      <c r="K24" s="247"/>
      <c r="L24" s="247"/>
      <c r="M24" s="82">
        <f t="shared" ref="M24:V24" si="13">SUM(M15:M23)</f>
        <v>0</v>
      </c>
      <c r="N24" s="83">
        <f t="shared" si="13"/>
        <v>0</v>
      </c>
      <c r="O24" s="83">
        <f t="shared" si="13"/>
        <v>0</v>
      </c>
      <c r="P24" s="83">
        <f t="shared" si="13"/>
        <v>0</v>
      </c>
      <c r="Q24" s="83">
        <f t="shared" si="13"/>
        <v>0</v>
      </c>
      <c r="R24" s="83">
        <f t="shared" si="13"/>
        <v>0</v>
      </c>
      <c r="S24" s="83">
        <f t="shared" si="13"/>
        <v>0</v>
      </c>
      <c r="T24" s="83">
        <f t="shared" si="13"/>
        <v>0</v>
      </c>
      <c r="U24" s="83">
        <f t="shared" si="13"/>
        <v>0</v>
      </c>
      <c r="V24" s="83">
        <f t="shared" si="13"/>
        <v>0</v>
      </c>
      <c r="W24" s="84">
        <f t="shared" ref="W24:AB24" si="14">SUM(W15:W23)</f>
        <v>0</v>
      </c>
      <c r="X24" s="83">
        <f t="shared" si="14"/>
        <v>0</v>
      </c>
      <c r="Y24" s="83">
        <f t="shared" si="14"/>
        <v>0</v>
      </c>
      <c r="Z24" s="83">
        <f t="shared" si="14"/>
        <v>0</v>
      </c>
      <c r="AA24" s="121">
        <f t="shared" si="14"/>
        <v>0</v>
      </c>
      <c r="AB24" s="126">
        <f t="shared" si="14"/>
        <v>0</v>
      </c>
    </row>
    <row r="25" spans="2:57" ht="21.9" customHeight="1" x14ac:dyDescent="0.3">
      <c r="B25" s="189"/>
      <c r="C25" s="190"/>
      <c r="D25" s="190"/>
      <c r="E25" s="191"/>
      <c r="F25" s="56"/>
      <c r="H25" s="248" t="s">
        <v>3</v>
      </c>
      <c r="I25" s="249"/>
      <c r="J25" s="249"/>
      <c r="K25" s="115" t="str">
        <f>IF(ISBLANK(UM)," ",UM)</f>
        <v>€</v>
      </c>
      <c r="L25" s="116">
        <f>-a</f>
        <v>0</v>
      </c>
      <c r="M25" s="117">
        <f t="shared" ref="M25:V25" si="15">M14-M24+M21+M22</f>
        <v>0</v>
      </c>
      <c r="N25" s="118">
        <f t="shared" si="15"/>
        <v>0</v>
      </c>
      <c r="O25" s="118">
        <f t="shared" si="15"/>
        <v>0</v>
      </c>
      <c r="P25" s="118">
        <f t="shared" si="15"/>
        <v>0</v>
      </c>
      <c r="Q25" s="118">
        <f t="shared" si="15"/>
        <v>0</v>
      </c>
      <c r="R25" s="118">
        <f t="shared" si="15"/>
        <v>0</v>
      </c>
      <c r="S25" s="118">
        <f t="shared" si="15"/>
        <v>0</v>
      </c>
      <c r="T25" s="118">
        <f t="shared" si="15"/>
        <v>0</v>
      </c>
      <c r="U25" s="118">
        <f t="shared" si="15"/>
        <v>0</v>
      </c>
      <c r="V25" s="118">
        <f t="shared" si="15"/>
        <v>0</v>
      </c>
      <c r="W25" s="118">
        <f t="shared" ref="W25:AA25" si="16">W14-W24+W21+W22</f>
        <v>0</v>
      </c>
      <c r="X25" s="118">
        <f t="shared" si="16"/>
        <v>0</v>
      </c>
      <c r="Y25" s="118">
        <f t="shared" si="16"/>
        <v>0</v>
      </c>
      <c r="Z25" s="118">
        <f t="shared" si="16"/>
        <v>0</v>
      </c>
      <c r="AA25" s="122">
        <f t="shared" si="16"/>
        <v>0</v>
      </c>
      <c r="AB25" s="127">
        <f>SUM(M25:AA25)</f>
        <v>0</v>
      </c>
      <c r="AK25" s="2"/>
      <c r="AL25" s="2"/>
      <c r="AM25" s="2"/>
      <c r="AN25" s="2"/>
      <c r="AO25" s="2"/>
      <c r="AP25" s="2"/>
      <c r="AQ25" s="2"/>
      <c r="AR25" s="2"/>
      <c r="AS25" s="2"/>
      <c r="AT25" s="2"/>
      <c r="AU25" s="2"/>
      <c r="AV25" s="2"/>
      <c r="AW25" s="2"/>
      <c r="AX25" s="2"/>
      <c r="AY25" s="2"/>
      <c r="AZ25" s="2"/>
      <c r="BA25" s="2"/>
      <c r="BB25" s="2"/>
      <c r="BC25" s="2"/>
      <c r="BD25" s="2"/>
      <c r="BE25" s="2"/>
    </row>
    <row r="26" spans="2:57" s="2" customFormat="1" ht="21.9" customHeight="1" x14ac:dyDescent="0.3">
      <c r="B26" s="228" t="s">
        <v>56</v>
      </c>
      <c r="C26" s="229"/>
      <c r="D26" s="229"/>
      <c r="E26" s="132" t="str">
        <f>IF(ISBLANK(UM)," ",UM)</f>
        <v>€</v>
      </c>
      <c r="F26" s="133">
        <f>SUM(F12:F25)</f>
        <v>0</v>
      </c>
      <c r="H26" s="231" t="s">
        <v>5</v>
      </c>
      <c r="I26" s="232"/>
      <c r="J26" s="232"/>
      <c r="K26" s="144" t="str">
        <f>IF(ISBLANK(UM)," ",UM)</f>
        <v>€</v>
      </c>
      <c r="L26" s="145"/>
      <c r="M26" s="146">
        <f t="shared" ref="M26:V26" si="17">M25/(POWER((1+tx),M11))</f>
        <v>0</v>
      </c>
      <c r="N26" s="147">
        <f t="shared" si="17"/>
        <v>0</v>
      </c>
      <c r="O26" s="147">
        <f t="shared" si="17"/>
        <v>0</v>
      </c>
      <c r="P26" s="147">
        <f t="shared" si="17"/>
        <v>0</v>
      </c>
      <c r="Q26" s="147">
        <f t="shared" si="17"/>
        <v>0</v>
      </c>
      <c r="R26" s="147">
        <f t="shared" si="17"/>
        <v>0</v>
      </c>
      <c r="S26" s="147">
        <f t="shared" si="17"/>
        <v>0</v>
      </c>
      <c r="T26" s="147">
        <f t="shared" si="17"/>
        <v>0</v>
      </c>
      <c r="U26" s="147">
        <f t="shared" si="17"/>
        <v>0</v>
      </c>
      <c r="V26" s="147">
        <f t="shared" si="17"/>
        <v>0</v>
      </c>
      <c r="W26" s="147">
        <f t="shared" ref="W26:AA26" si="18">W25/(POWER((1+tx),W11))</f>
        <v>0</v>
      </c>
      <c r="X26" s="147">
        <f t="shared" si="18"/>
        <v>0</v>
      </c>
      <c r="Y26" s="147">
        <f t="shared" si="18"/>
        <v>0</v>
      </c>
      <c r="Z26" s="147">
        <f t="shared" si="18"/>
        <v>0</v>
      </c>
      <c r="AA26" s="148">
        <f t="shared" si="18"/>
        <v>0</v>
      </c>
      <c r="AB26" s="149">
        <f>SUM(M26:AA26)</f>
        <v>0</v>
      </c>
      <c r="AC26" s="1"/>
      <c r="AD26" s="1"/>
      <c r="AE26" s="1"/>
      <c r="AF26" s="1"/>
      <c r="AG26" s="14"/>
      <c r="AH26" s="14"/>
      <c r="AI26" s="14"/>
      <c r="AJ26" s="14"/>
      <c r="AK26" s="1"/>
      <c r="AL26" s="1"/>
      <c r="AM26" s="1"/>
      <c r="AN26" s="1"/>
      <c r="AO26" s="1"/>
      <c r="AP26" s="1"/>
      <c r="AQ26" s="1"/>
      <c r="AR26" s="1"/>
      <c r="AS26" s="1"/>
      <c r="AT26" s="1"/>
      <c r="AU26" s="1"/>
      <c r="AV26" s="1"/>
      <c r="AW26" s="1"/>
      <c r="AX26" s="1"/>
      <c r="AY26" s="1"/>
      <c r="AZ26" s="1"/>
      <c r="BA26" s="1"/>
      <c r="BB26" s="1"/>
      <c r="BC26" s="1"/>
      <c r="BD26" s="1"/>
      <c r="BE26" s="1"/>
    </row>
    <row r="27" spans="2:57" ht="6" customHeight="1" x14ac:dyDescent="0.3">
      <c r="B27" s="62"/>
      <c r="C27" s="62"/>
      <c r="D27" s="62"/>
      <c r="E27" s="62"/>
    </row>
    <row r="28" spans="2:57" ht="21.9" customHeight="1" x14ac:dyDescent="0.3">
      <c r="B28" s="180" t="s">
        <v>64</v>
      </c>
      <c r="C28" s="181"/>
      <c r="D28" s="181"/>
      <c r="E28" s="134" t="str">
        <f>IF(ISBLANK(UM)," ",UM)</f>
        <v>€</v>
      </c>
      <c r="F28" s="135">
        <f>AA28</f>
        <v>0</v>
      </c>
      <c r="H28" s="180" t="s">
        <v>6</v>
      </c>
      <c r="I28" s="181"/>
      <c r="J28" s="181"/>
      <c r="K28" s="128" t="str">
        <f>IF(ISBLANK(UM)," ",UM)</f>
        <v>€</v>
      </c>
      <c r="L28" s="129"/>
      <c r="M28" s="130">
        <f>M26</f>
        <v>0</v>
      </c>
      <c r="N28" s="130">
        <f t="shared" ref="N28:V28" si="19">M28+N26</f>
        <v>0</v>
      </c>
      <c r="O28" s="130">
        <f t="shared" si="19"/>
        <v>0</v>
      </c>
      <c r="P28" s="130">
        <f t="shared" si="19"/>
        <v>0</v>
      </c>
      <c r="Q28" s="130">
        <f t="shared" si="19"/>
        <v>0</v>
      </c>
      <c r="R28" s="130">
        <f t="shared" si="19"/>
        <v>0</v>
      </c>
      <c r="S28" s="130">
        <f t="shared" si="19"/>
        <v>0</v>
      </c>
      <c r="T28" s="130">
        <f t="shared" si="19"/>
        <v>0</v>
      </c>
      <c r="U28" s="130">
        <f t="shared" si="19"/>
        <v>0</v>
      </c>
      <c r="V28" s="130">
        <f t="shared" si="19"/>
        <v>0</v>
      </c>
      <c r="W28" s="130">
        <f t="shared" ref="W28" si="20">V28+W26</f>
        <v>0</v>
      </c>
      <c r="X28" s="130">
        <f t="shared" ref="X28" si="21">W28+X26</f>
        <v>0</v>
      </c>
      <c r="Y28" s="130">
        <f t="shared" ref="Y28" si="22">X28+Y26</f>
        <v>0</v>
      </c>
      <c r="Z28" s="130">
        <f t="shared" ref="Z28" si="23">Y28+Z26</f>
        <v>0</v>
      </c>
      <c r="AA28" s="131">
        <f t="shared" ref="AA28" si="24">Z28+AA26</f>
        <v>0</v>
      </c>
      <c r="AB28" s="106" t="str">
        <f>IF(AB26=AA28,"ok",AB26-AA28)</f>
        <v>ok</v>
      </c>
      <c r="AE28" s="14"/>
      <c r="AF28" s="14"/>
      <c r="AG28" s="15"/>
      <c r="AH28" s="15"/>
      <c r="AI28" s="15"/>
      <c r="AJ28" s="15"/>
      <c r="AK28" s="14"/>
      <c r="AL28" s="14"/>
      <c r="AM28" s="14"/>
      <c r="AN28" s="14"/>
      <c r="AO28" s="14"/>
      <c r="AP28" s="14"/>
      <c r="AQ28" s="14"/>
      <c r="AR28" s="14"/>
      <c r="AS28" s="14"/>
      <c r="AT28" s="14"/>
      <c r="AU28" s="14"/>
      <c r="AV28" s="14"/>
      <c r="AW28" s="14"/>
      <c r="AX28" s="14"/>
      <c r="AY28" s="14"/>
      <c r="AZ28" s="14"/>
      <c r="BA28" s="14"/>
      <c r="BB28" s="14"/>
      <c r="BC28" s="14"/>
      <c r="BD28" s="14"/>
      <c r="BE28" s="14"/>
    </row>
    <row r="29" spans="2:57" ht="6" customHeight="1" x14ac:dyDescent="0.3">
      <c r="B29" s="62"/>
      <c r="C29" s="62"/>
      <c r="D29" s="62"/>
      <c r="E29" s="62"/>
    </row>
    <row r="30" spans="2:57" s="14" customFormat="1" ht="21.9" customHeight="1" x14ac:dyDescent="0.3">
      <c r="B30" s="182" t="s">
        <v>57</v>
      </c>
      <c r="C30" s="183"/>
      <c r="D30" s="183"/>
      <c r="E30" s="63" t="str">
        <f>IF(ISBLANK(UM)," ",UM)</f>
        <v>€</v>
      </c>
      <c r="F30" s="64">
        <f>F28-F26</f>
        <v>0</v>
      </c>
      <c r="H30" s="58"/>
      <c r="I30" s="58"/>
      <c r="J30" s="58"/>
      <c r="K30" s="59"/>
      <c r="L30" s="59"/>
      <c r="M30" s="21" t="str">
        <f>IF(a=0," ",IF(M28=0,0,IF(M28&lt;a,0,M11)))</f>
        <v xml:space="preserve"> </v>
      </c>
      <c r="N30" s="21" t="str">
        <f t="shared" ref="N30:V30" si="25">IF(N28&lt;a,0,IF(M30&gt;0," ",N11))</f>
        <v xml:space="preserve"> </v>
      </c>
      <c r="O30" s="21" t="str">
        <f t="shared" si="25"/>
        <v xml:space="preserve"> </v>
      </c>
      <c r="P30" s="21" t="str">
        <f t="shared" si="25"/>
        <v xml:space="preserve"> </v>
      </c>
      <c r="Q30" s="21" t="str">
        <f t="shared" si="25"/>
        <v xml:space="preserve"> </v>
      </c>
      <c r="R30" s="21" t="str">
        <f t="shared" si="25"/>
        <v xml:space="preserve"> </v>
      </c>
      <c r="S30" s="21" t="str">
        <f t="shared" si="25"/>
        <v xml:space="preserve"> </v>
      </c>
      <c r="T30" s="21" t="str">
        <f t="shared" si="25"/>
        <v xml:space="preserve"> </v>
      </c>
      <c r="U30" s="21" t="str">
        <f t="shared" si="25"/>
        <v xml:space="preserve"> </v>
      </c>
      <c r="V30" s="21" t="str">
        <f t="shared" si="25"/>
        <v xml:space="preserve"> </v>
      </c>
      <c r="W30" s="21" t="str">
        <f t="shared" ref="W30" si="26">IF(W28&lt;a,0,IF(V30&gt;0," ",W11))</f>
        <v xml:space="preserve"> </v>
      </c>
      <c r="X30" s="21" t="str">
        <f t="shared" ref="X30" si="27">IF(X28&lt;a,0,IF(W30&gt;0," ",X11))</f>
        <v xml:space="preserve"> </v>
      </c>
      <c r="Y30" s="21" t="str">
        <f t="shared" ref="Y30" si="28">IF(Y28&lt;a,0,IF(X30&gt;0," ",Y11))</f>
        <v xml:space="preserve"> </v>
      </c>
      <c r="Z30" s="21" t="str">
        <f t="shared" ref="Z30" si="29">IF(Z28&lt;a,0,IF(Y30&gt;0," ",Z11))</f>
        <v xml:space="preserve"> </v>
      </c>
      <c r="AA30" s="21" t="str">
        <f t="shared" ref="AA30" si="30">IF(AA28&lt;a,0,IF(Z30&gt;0," ",AA11))</f>
        <v xml:space="preserve"> </v>
      </c>
      <c r="AC30" s="1"/>
      <c r="AD30" s="1"/>
      <c r="AE30" s="15"/>
      <c r="AF30" s="15"/>
      <c r="AG30" s="3"/>
      <c r="AH30" s="3"/>
      <c r="AI30" s="3"/>
      <c r="AJ30" s="3"/>
      <c r="AK30" s="15"/>
      <c r="AL30" s="15"/>
      <c r="AM30" s="15"/>
      <c r="AN30" s="15"/>
      <c r="AO30" s="15"/>
      <c r="AP30" s="15"/>
      <c r="AQ30" s="15"/>
      <c r="AR30" s="15"/>
      <c r="AS30" s="15"/>
      <c r="AT30" s="15"/>
      <c r="AU30" s="15"/>
      <c r="AV30" s="15"/>
      <c r="AW30" s="15"/>
      <c r="AX30" s="15"/>
      <c r="AY30" s="15"/>
      <c r="AZ30" s="15"/>
      <c r="BA30" s="15"/>
      <c r="BB30" s="15"/>
      <c r="BC30" s="15"/>
      <c r="BD30" s="15"/>
      <c r="BE30" s="15"/>
    </row>
    <row r="31" spans="2:57" s="5" customFormat="1" ht="6" customHeight="1" x14ac:dyDescent="0.3">
      <c r="B31" s="1"/>
      <c r="C31" s="1"/>
      <c r="D31" s="1"/>
      <c r="E31" s="1"/>
      <c r="F31" s="1"/>
      <c r="H31" s="1"/>
      <c r="I31" s="1"/>
      <c r="J31" s="1"/>
      <c r="K31" s="1"/>
      <c r="L31" s="1"/>
      <c r="M31" s="1"/>
      <c r="N31" s="1"/>
      <c r="O31" s="6"/>
      <c r="P31" s="1"/>
      <c r="Q31" s="1"/>
      <c r="R31" s="1"/>
      <c r="S31" s="1"/>
      <c r="T31" s="1"/>
      <c r="U31" s="1"/>
      <c r="V31" s="1"/>
      <c r="W31" s="1"/>
      <c r="X31" s="1"/>
      <c r="Y31" s="1"/>
      <c r="Z31" s="1"/>
      <c r="AA31" s="1"/>
      <c r="AB31" s="1"/>
      <c r="AG31" s="1"/>
      <c r="AH31" s="1"/>
      <c r="AI31" s="1"/>
      <c r="AJ31" s="1"/>
      <c r="AO31" s="1"/>
      <c r="AP31" s="1"/>
      <c r="AQ31" s="1"/>
      <c r="AR31" s="1"/>
      <c r="AS31" s="1"/>
      <c r="AT31" s="1"/>
      <c r="AU31" s="1"/>
      <c r="AV31" s="1"/>
      <c r="AW31" s="1"/>
      <c r="AX31" s="1"/>
      <c r="AY31" s="1"/>
      <c r="AZ31" s="1"/>
      <c r="BA31" s="1"/>
      <c r="BB31" s="1"/>
      <c r="BC31" s="1"/>
      <c r="BD31" s="1"/>
      <c r="BE31" s="1"/>
    </row>
    <row r="32" spans="2:57" ht="21.9" customHeight="1" x14ac:dyDescent="0.3">
      <c r="B32" s="194" t="s">
        <v>62</v>
      </c>
      <c r="C32" s="194"/>
      <c r="D32" s="194"/>
      <c r="E32" s="192">
        <f>SUM(M30:AA30)</f>
        <v>0</v>
      </c>
      <c r="F32" s="193"/>
      <c r="V32" s="38"/>
      <c r="AA32" s="38"/>
    </row>
    <row r="33" spans="2:6" ht="6" customHeight="1" x14ac:dyDescent="0.3"/>
    <row r="34" spans="2:6" ht="20.100000000000001" customHeight="1" x14ac:dyDescent="0.3">
      <c r="B34" s="250" t="s">
        <v>63</v>
      </c>
      <c r="C34" s="250"/>
      <c r="D34" s="251"/>
      <c r="E34" s="225" t="str">
        <f>IF(a=0," ",IRR(L25:AA25))</f>
        <v xml:space="preserve"> </v>
      </c>
      <c r="F34" s="226"/>
    </row>
    <row r="54" spans="6:57" ht="9.9" customHeight="1" x14ac:dyDescent="0.3">
      <c r="G54" s="3"/>
      <c r="H54" s="22"/>
      <c r="I54" s="22"/>
      <c r="J54" s="22"/>
      <c r="K54" s="23"/>
      <c r="L54" s="23"/>
      <c r="M54" s="5"/>
      <c r="N54" s="5"/>
      <c r="O54" s="5"/>
      <c r="P54" s="5"/>
      <c r="Q54" s="5"/>
      <c r="R54" s="5"/>
      <c r="S54" s="5"/>
      <c r="T54" s="8"/>
      <c r="U54" s="8"/>
      <c r="V54" s="9"/>
      <c r="W54" s="5"/>
      <c r="X54" s="5"/>
      <c r="Y54" s="8"/>
      <c r="Z54" s="8"/>
      <c r="AA54" s="9"/>
      <c r="AB54" s="10"/>
      <c r="AF54" s="3"/>
      <c r="AG54" s="5"/>
      <c r="AH54" s="5"/>
      <c r="AI54" s="5"/>
      <c r="AJ54" s="5"/>
      <c r="AK54" s="3"/>
      <c r="AL54" s="3"/>
      <c r="AM54" s="3"/>
      <c r="AN54" s="3"/>
      <c r="AO54" s="5"/>
      <c r="AP54" s="5"/>
      <c r="AQ54" s="3"/>
      <c r="AR54" s="3"/>
      <c r="AS54" s="3"/>
      <c r="AT54" s="3"/>
      <c r="AU54" s="3"/>
      <c r="AV54" s="3"/>
      <c r="AW54" s="3"/>
      <c r="AX54" s="3"/>
      <c r="AY54" s="3"/>
      <c r="AZ54" s="3"/>
      <c r="BA54" s="3"/>
      <c r="BB54" s="3"/>
      <c r="BC54" s="3"/>
      <c r="BD54" s="3"/>
      <c r="BE54" s="3"/>
    </row>
    <row r="56" spans="6:57" x14ac:dyDescent="0.3">
      <c r="F56" s="4"/>
    </row>
    <row r="77" spans="2:57" ht="21.9" customHeight="1" x14ac:dyDescent="0.3">
      <c r="G77" s="3"/>
      <c r="AE77" s="3"/>
      <c r="AF77" s="3"/>
      <c r="AL77" s="3"/>
      <c r="AM77" s="3"/>
      <c r="AN77" s="3"/>
      <c r="AQ77" s="3"/>
      <c r="AR77" s="3"/>
      <c r="AS77" s="3"/>
      <c r="AT77" s="3"/>
      <c r="AU77" s="3"/>
      <c r="AV77" s="3"/>
      <c r="AW77" s="3"/>
      <c r="AX77" s="3"/>
      <c r="AY77" s="3"/>
      <c r="AZ77" s="3"/>
      <c r="BA77" s="3"/>
      <c r="BB77" s="3"/>
      <c r="BC77" s="3"/>
      <c r="BD77" s="3"/>
      <c r="BE77" s="3"/>
    </row>
    <row r="78" spans="2:57" s="3" customFormat="1" ht="20.100000000000001" customHeight="1" x14ac:dyDescent="0.3">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row>
    <row r="79" spans="2:57" x14ac:dyDescent="0.3">
      <c r="F79" s="4"/>
      <c r="G79" s="3"/>
    </row>
  </sheetData>
  <sheetProtection algorithmName="SHA-512" hashValue="xdmQbAA0IKndy109IHG5//naSHsEAH4DwJmNSR14BF7Gw9PMrVsXd//Fi9ffxNqpop8QmkPCAQu91bzSNZ+MMg==" saltValue="jFNq1EOL1tW5B4LWnTQ59w==" spinCount="100000" sheet="1" formatCells="0" formatColumns="0" formatRows="0" insertColumns="0" insertRows="0" insertHyperlinks="0" deleteColumns="0" deleteRows="0" sort="0" autoFilter="0" pivotTables="0"/>
  <mergeCells count="51">
    <mergeCell ref="E34:F34"/>
    <mergeCell ref="J2:K2"/>
    <mergeCell ref="B26:D26"/>
    <mergeCell ref="B24:E24"/>
    <mergeCell ref="H26:J26"/>
    <mergeCell ref="K22:L22"/>
    <mergeCell ref="H23:J23"/>
    <mergeCell ref="H12:L12"/>
    <mergeCell ref="H13:L13"/>
    <mergeCell ref="B23:E23"/>
    <mergeCell ref="B22:E22"/>
    <mergeCell ref="H24:L24"/>
    <mergeCell ref="H25:J25"/>
    <mergeCell ref="H21:L21"/>
    <mergeCell ref="B34:D34"/>
    <mergeCell ref="C2:D2"/>
    <mergeCell ref="J6:K6"/>
    <mergeCell ref="J7:K7"/>
    <mergeCell ref="F2:H2"/>
    <mergeCell ref="H9:M9"/>
    <mergeCell ref="H14:L14"/>
    <mergeCell ref="M2:R2"/>
    <mergeCell ref="E32:F32"/>
    <mergeCell ref="B32:D32"/>
    <mergeCell ref="B20:E20"/>
    <mergeCell ref="B21:E21"/>
    <mergeCell ref="E9:F9"/>
    <mergeCell ref="B17:E17"/>
    <mergeCell ref="B18:E18"/>
    <mergeCell ref="B12:E12"/>
    <mergeCell ref="B13:E13"/>
    <mergeCell ref="B15:E15"/>
    <mergeCell ref="B16:E16"/>
    <mergeCell ref="B11:D11"/>
    <mergeCell ref="B14:E14"/>
    <mergeCell ref="C4:E4"/>
    <mergeCell ref="H28:J28"/>
    <mergeCell ref="B30:D30"/>
    <mergeCell ref="B28:D28"/>
    <mergeCell ref="B19:E19"/>
    <mergeCell ref="H11:K11"/>
    <mergeCell ref="B25:E25"/>
    <mergeCell ref="C6:D7"/>
    <mergeCell ref="H17:L17"/>
    <mergeCell ref="H19:L19"/>
    <mergeCell ref="H20:L20"/>
    <mergeCell ref="H18:L18"/>
    <mergeCell ref="E6:H7"/>
    <mergeCell ref="I6:I7"/>
    <mergeCell ref="H15:L15"/>
    <mergeCell ref="H16:L16"/>
  </mergeCells>
  <phoneticPr fontId="0" type="noConversion"/>
  <conditionalFormatting sqref="L26 L28">
    <cfRule type="cellIs" dxfId="76" priority="66" stopIfTrue="1" operator="equal">
      <formula>0</formula>
    </cfRule>
  </conditionalFormatting>
  <conditionalFormatting sqref="M6:V7 W7">
    <cfRule type="cellIs" dxfId="75" priority="67" stopIfTrue="1" operator="equal">
      <formula>0</formula>
    </cfRule>
  </conditionalFormatting>
  <conditionalFormatting sqref="L26:V26 AB26">
    <cfRule type="cellIs" dxfId="74" priority="52" operator="equal">
      <formula>0</formula>
    </cfRule>
  </conditionalFormatting>
  <conditionalFormatting sqref="M30:V30 E32">
    <cfRule type="cellIs" dxfId="73" priority="48" operator="equal">
      <formula>0</formula>
    </cfRule>
  </conditionalFormatting>
  <conditionalFormatting sqref="E9">
    <cfRule type="cellIs" dxfId="72" priority="33" operator="equal">
      <formula>"Unité monétaire ?"</formula>
    </cfRule>
  </conditionalFormatting>
  <conditionalFormatting sqref="K26">
    <cfRule type="cellIs" dxfId="71" priority="31" stopIfTrue="1" operator="equal">
      <formula>0</formula>
    </cfRule>
  </conditionalFormatting>
  <conditionalFormatting sqref="K26">
    <cfRule type="cellIs" dxfId="70" priority="30" operator="equal">
      <formula>0</formula>
    </cfRule>
  </conditionalFormatting>
  <conditionalFormatting sqref="K28">
    <cfRule type="cellIs" dxfId="69" priority="29" stopIfTrue="1" operator="equal">
      <formula>0</formula>
    </cfRule>
  </conditionalFormatting>
  <conditionalFormatting sqref="L2">
    <cfRule type="cellIs" dxfId="68" priority="17" operator="equal">
      <formula>0</formula>
    </cfRule>
  </conditionalFormatting>
  <conditionalFormatting sqref="M28:V28">
    <cfRule type="cellIs" dxfId="67" priority="16" operator="equal">
      <formula>0</formula>
    </cfRule>
  </conditionalFormatting>
  <conditionalFormatting sqref="K22">
    <cfRule type="cellIs" dxfId="66" priority="15" operator="equal">
      <formula>0</formula>
    </cfRule>
  </conditionalFormatting>
  <conditionalFormatting sqref="L23">
    <cfRule type="cellIs" dxfId="65" priority="14" operator="equal">
      <formula>0</formula>
    </cfRule>
  </conditionalFormatting>
  <conditionalFormatting sqref="C6:D7">
    <cfRule type="cellIs" dxfId="64" priority="13" operator="equal">
      <formula>0</formula>
    </cfRule>
  </conditionalFormatting>
  <conditionalFormatting sqref="M25:V25 AB25">
    <cfRule type="cellIs" dxfId="63" priority="12" operator="equal">
      <formula>0</formula>
    </cfRule>
  </conditionalFormatting>
  <conditionalFormatting sqref="E28">
    <cfRule type="cellIs" dxfId="62" priority="11" stopIfTrue="1" operator="equal">
      <formula>0</formula>
    </cfRule>
  </conditionalFormatting>
  <conditionalFormatting sqref="F28">
    <cfRule type="cellIs" dxfId="61" priority="10" operator="equal">
      <formula>0</formula>
    </cfRule>
  </conditionalFormatting>
  <conditionalFormatting sqref="W6:AA6 X7:AA7">
    <cfRule type="cellIs" dxfId="60" priority="9" stopIfTrue="1" operator="equal">
      <formula>0</formula>
    </cfRule>
  </conditionalFormatting>
  <conditionalFormatting sqref="W26:AA26">
    <cfRule type="cellIs" dxfId="59" priority="8" operator="equal">
      <formula>0</formula>
    </cfRule>
  </conditionalFormatting>
  <conditionalFormatting sqref="W30:AA30">
    <cfRule type="cellIs" dxfId="58" priority="7" operator="equal">
      <formula>0</formula>
    </cfRule>
  </conditionalFormatting>
  <conditionalFormatting sqref="W28:AA28">
    <cfRule type="cellIs" dxfId="57" priority="6" operator="equal">
      <formula>0</formula>
    </cfRule>
  </conditionalFormatting>
  <conditionalFormatting sqref="W25:AA25">
    <cfRule type="cellIs" dxfId="56" priority="5" operator="equal">
      <formula>0</formula>
    </cfRule>
  </conditionalFormatting>
  <conditionalFormatting sqref="M11:AA11">
    <cfRule type="cellIs" dxfId="55" priority="4" operator="greaterThan">
      <formula>$I$6</formula>
    </cfRule>
  </conditionalFormatting>
  <conditionalFormatting sqref="F11">
    <cfRule type="expression" dxfId="54" priority="3">
      <formula>$B$9=1</formula>
    </cfRule>
  </conditionalFormatting>
  <conditionalFormatting sqref="L7">
    <cfRule type="expression" dxfId="53" priority="2">
      <formula>$L$4=1</formula>
    </cfRule>
  </conditionalFormatting>
  <conditionalFormatting sqref="C4:E4">
    <cfRule type="expression" dxfId="52" priority="1">
      <formula>B4=1</formula>
    </cfRule>
  </conditionalFormatting>
  <dataValidations xWindow="492" yWindow="148" count="4">
    <dataValidation type="list" allowBlank="1" showInputMessage="1" showErrorMessage="1" sqref="L6" xr:uid="{00000000-0002-0000-0100-000000000000}">
      <formula1>"Non,Oui"</formula1>
    </dataValidation>
    <dataValidation type="list" allowBlank="1" showInputMessage="1" showErrorMessage="1" sqref="I2" xr:uid="{00000000-0002-0000-0100-000001000000}">
      <formula1>"nul,faible,moyen,élevé"</formula1>
    </dataValidation>
    <dataValidation type="list" allowBlank="1" showInputMessage="1" showErrorMessage="1" sqref="F11" xr:uid="{00000000-0002-0000-0100-000002000000}">
      <formula1>"€,K€"</formula1>
    </dataValidation>
    <dataValidation allowBlank="1" showInputMessage="1" showErrorMessage="1" sqref="F13:F21 F23:F24" xr:uid="{00000000-0002-0000-0100-000003000000}"/>
  </dataValidations>
  <pageMargins left="0" right="0" top="0" bottom="0" header="0" footer="0"/>
  <pageSetup paperSize="9" scale="6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B1:BE34"/>
  <sheetViews>
    <sheetView showGridLines="0" showRowColHeaders="0" workbookViewId="0">
      <pane xSplit="12" ySplit="11" topLeftCell="M12" activePane="bottomRight" state="frozenSplit"/>
      <selection activeCell="M2" sqref="M2:R2"/>
      <selection pane="topRight" activeCell="M2" sqref="M2:R2"/>
      <selection pane="bottomLeft" activeCell="M2" sqref="M2:R2"/>
      <selection pane="bottomRight" activeCell="N7" sqref="N7"/>
    </sheetView>
  </sheetViews>
  <sheetFormatPr baseColWidth="10" defaultRowHeight="13.2" x14ac:dyDescent="0.25"/>
  <cols>
    <col min="1" max="1" width="1.6640625" customWidth="1"/>
    <col min="2" max="2" width="6.6640625" customWidth="1"/>
    <col min="3" max="4" width="13.6640625" customWidth="1"/>
    <col min="5" max="5" width="7.6640625" customWidth="1"/>
    <col min="6" max="6" width="10.6640625" customWidth="1"/>
    <col min="7" max="7" width="0.5546875" customWidth="1"/>
    <col min="8" max="8" width="5.6640625" customWidth="1"/>
    <col min="9" max="9" width="7.6640625" customWidth="1"/>
    <col min="10" max="10" width="13.6640625" customWidth="1"/>
    <col min="11" max="11" width="8.6640625" customWidth="1"/>
    <col min="12" max="12" width="7.6640625" customWidth="1"/>
    <col min="13" max="27" width="10.6640625" customWidth="1"/>
    <col min="28" max="28" width="11.6640625" customWidth="1"/>
    <col min="29" max="29" width="5.6640625" customWidth="1"/>
    <col min="30" max="30" width="8.6640625" customWidth="1"/>
  </cols>
  <sheetData>
    <row r="1" spans="2:57" s="1" customFormat="1" ht="15" customHeight="1" x14ac:dyDescent="0.3">
      <c r="B1" s="254" t="str">
        <f>IF(ISBLANK(tb),"Ce taux est à renseigner dans l'onglet du 1er projet"," ")</f>
        <v>Ce taux est à renseigner dans l'onglet du 1er projet</v>
      </c>
      <c r="C1" s="254"/>
      <c r="D1" s="254"/>
      <c r="E1" s="254"/>
      <c r="F1" s="168"/>
      <c r="G1" s="168"/>
      <c r="H1" s="168"/>
      <c r="I1" s="168"/>
      <c r="J1" s="168"/>
      <c r="K1" s="168"/>
      <c r="L1" s="168"/>
      <c r="M1" s="168"/>
      <c r="N1" s="168"/>
      <c r="O1" s="168"/>
      <c r="P1" s="168"/>
      <c r="Q1" s="168"/>
    </row>
    <row r="2" spans="2:57" s="1" customFormat="1" ht="21.9" customHeight="1" x14ac:dyDescent="0.3">
      <c r="B2" s="20" t="s">
        <v>28</v>
      </c>
      <c r="C2" s="218" t="s">
        <v>26</v>
      </c>
      <c r="D2" s="252"/>
      <c r="E2" s="165">
        <f>tb</f>
        <v>0</v>
      </c>
      <c r="F2" s="218" t="s">
        <v>43</v>
      </c>
      <c r="G2" s="218"/>
      <c r="H2" s="218"/>
      <c r="I2" s="57"/>
      <c r="J2" s="227" t="s">
        <v>27</v>
      </c>
      <c r="K2" s="227"/>
      <c r="L2" s="166">
        <f>IF(ISBLANK(tb),0,IF(I2="nul",tb+1%,IF(I2="faible",tb+3%,IF(I2="moyen",tb+5%,IF(I2="élevé",tb+10%,0)))))</f>
        <v>0</v>
      </c>
      <c r="M2" s="223" t="str">
        <f>IF(AND(tb&gt;0,ISBLANK(I2)),"Vous devez obligatoirement renseigner le niveau de risque"," ")</f>
        <v xml:space="preserve"> </v>
      </c>
      <c r="N2" s="224"/>
      <c r="O2" s="224"/>
      <c r="P2" s="224"/>
      <c r="Q2" s="224"/>
      <c r="R2" s="224"/>
    </row>
    <row r="3" spans="2:57" ht="3" customHeight="1" x14ac:dyDescent="0.25"/>
    <row r="4" spans="2:57" s="1" customFormat="1" ht="15" customHeight="1" x14ac:dyDescent="0.3">
      <c r="B4" s="107">
        <f>IF(AND(ISBLANK(tb),a_1&gt;0),1,0)</f>
        <v>0</v>
      </c>
      <c r="C4" s="179" t="str">
        <f>IF(AND(ISBLANK(tb),a_1&gt;0),"renseigner le taux d'actualisation ci-dessus"," ")</f>
        <v xml:space="preserve"> </v>
      </c>
      <c r="D4" s="179"/>
      <c r="E4" s="179"/>
      <c r="L4" s="107">
        <f>IF(da_1&gt;d_1,1,0)</f>
        <v>0</v>
      </c>
    </row>
    <row r="5" spans="2:57" ht="3" customHeight="1" x14ac:dyDescent="0.25"/>
    <row r="6" spans="2:57" s="1" customFormat="1" ht="20.100000000000001" customHeight="1" x14ac:dyDescent="0.3">
      <c r="B6" s="60" t="s">
        <v>60</v>
      </c>
      <c r="C6" s="196"/>
      <c r="D6" s="197"/>
      <c r="E6" s="208" t="s">
        <v>4</v>
      </c>
      <c r="F6" s="208"/>
      <c r="G6" s="208"/>
      <c r="H6" s="208"/>
      <c r="I6" s="255"/>
      <c r="J6" s="257" t="s">
        <v>40</v>
      </c>
      <c r="K6" s="258"/>
      <c r="L6" s="98"/>
      <c r="M6" s="100">
        <f>IF(L6="Oui",a_1,0)</f>
        <v>0</v>
      </c>
      <c r="N6" s="100">
        <f t="shared" ref="N6:V6" si="0">M6-M7</f>
        <v>0</v>
      </c>
      <c r="O6" s="100">
        <f t="shared" si="0"/>
        <v>0</v>
      </c>
      <c r="P6" s="100">
        <f t="shared" si="0"/>
        <v>0</v>
      </c>
      <c r="Q6" s="100">
        <f t="shared" si="0"/>
        <v>0</v>
      </c>
      <c r="R6" s="100">
        <f t="shared" si="0"/>
        <v>0</v>
      </c>
      <c r="S6" s="100">
        <f t="shared" si="0"/>
        <v>0</v>
      </c>
      <c r="T6" s="100">
        <f t="shared" si="0"/>
        <v>0</v>
      </c>
      <c r="U6" s="100">
        <f t="shared" si="0"/>
        <v>0</v>
      </c>
      <c r="V6" s="100">
        <f t="shared" si="0"/>
        <v>0</v>
      </c>
      <c r="W6" s="100">
        <f t="shared" ref="W6" si="1">V6-V7</f>
        <v>0</v>
      </c>
      <c r="X6" s="100">
        <f t="shared" ref="X6" si="2">W6-W7</f>
        <v>0</v>
      </c>
      <c r="Y6" s="100">
        <f t="shared" ref="Y6" si="3">X6-X7</f>
        <v>0</v>
      </c>
      <c r="Z6" s="100">
        <f t="shared" ref="Z6" si="4">Y6-Y7</f>
        <v>0</v>
      </c>
      <c r="AA6" s="100">
        <f t="shared" ref="AA6" si="5">Z6-Z7</f>
        <v>0</v>
      </c>
    </row>
    <row r="7" spans="2:57" s="1" customFormat="1" ht="20.100000000000001" customHeight="1" x14ac:dyDescent="0.3">
      <c r="B7" s="61" t="s">
        <v>45</v>
      </c>
      <c r="C7" s="198" t="s">
        <v>29</v>
      </c>
      <c r="D7" s="199"/>
      <c r="E7" s="209"/>
      <c r="F7" s="209"/>
      <c r="G7" s="209"/>
      <c r="H7" s="209"/>
      <c r="I7" s="256"/>
      <c r="J7" s="259" t="str">
        <f>IF(ISBLANK(L6)," ",IF(L6="Non"," "," Durée d'amortissement  :"))</f>
        <v xml:space="preserve"> </v>
      </c>
      <c r="K7" s="260"/>
      <c r="L7" s="99"/>
      <c r="M7" s="101">
        <f>IF(da_1=0,0,IF(M6=0,0,IF(L6="Oui",(M6/da_1)*k_1,0)))</f>
        <v>0</v>
      </c>
      <c r="N7" s="101">
        <f>IF(da_1=0,0,IF(N6=0,0,IF(L6="Oui",MAX(N6/(da_1-M11),(N6/da_1)*k_1),0)))</f>
        <v>0</v>
      </c>
      <c r="O7" s="101">
        <f>IF(da_1=0,0,IF(O6=0,0,IF(L6="Oui",MAX(O6/(da_1-N11),(O6/da_1)*k_1),0)))</f>
        <v>0</v>
      </c>
      <c r="P7" s="101">
        <f>IF(da_1=0,0,IF(P6=0,0,IF(L6="Oui",MAX(P6/(da_1-O11),(P6/da_1)*k_1),0)))</f>
        <v>0</v>
      </c>
      <c r="Q7" s="101">
        <f>IF(da_1=0,0,IF(Q6=0,0,IF(L6="Oui",MAX(Q6/(da_1-P11),(Q6/da_1)*k_1),0)))</f>
        <v>0</v>
      </c>
      <c r="R7" s="101">
        <f>IF(da_1=0,0,IF(R6=0,0,IF(L6="Oui",MAX(R6/(da_1-Q11),(R6/da_1)*k_1),0)))</f>
        <v>0</v>
      </c>
      <c r="S7" s="101">
        <f>IF(da_1=0,0,IF(S6=0,0,IF(L6="Oui",MAX(S6/(da_1-R11),(S6/da_1)*k_1),0)))</f>
        <v>0</v>
      </c>
      <c r="T7" s="101">
        <f>IF(da_1=0,0,IF(T6=0,0,IF(L6="Oui",MAX(T6/(da_1-S11),(T6/da_1)*k_1),0)))</f>
        <v>0</v>
      </c>
      <c r="U7" s="101">
        <f>IF(da_1=0,0,IF(U6=0,0,IF(L6="Oui",MAX(U6/(da_1-T11),(U6/da_1)*k_1),0)))</f>
        <v>0</v>
      </c>
      <c r="V7" s="101">
        <f>IF(da_1=0,0,IF(V6=0,0,IF(L6="Oui",MAX(V6/(da_1-U11),(V6/da_1)*k_1),0)))</f>
        <v>0</v>
      </c>
      <c r="W7" s="101">
        <f>IF(da_1=0,0,IF(W6=0,0,IF(L6="Oui",MAX(W6/(da_1-V11),(W6/da_1)*k_1),0)))</f>
        <v>0</v>
      </c>
      <c r="X7" s="101">
        <f>IF(da_1=0,0,IF(X6=0,0,IF(L6="Oui",MAX(X6/(da_1-W11),(X6/da_1)*k_1),0)))</f>
        <v>0</v>
      </c>
      <c r="Y7" s="101">
        <f>IF(da_1=0,0,IF(Y6=0,0,IF(L6="Oui",MAX(Y6/(da_1-X11),(Y6/da_1)*k_1),0)))</f>
        <v>0</v>
      </c>
      <c r="Z7" s="101">
        <f>IF(da_1=0,0,IF(Z6=0,0,IF(L6="Oui",MAX(Z6/(da_1-Y11),(Z6/da_1)*k_1),0)))</f>
        <v>0</v>
      </c>
      <c r="AA7" s="101">
        <f>IF(da_1=0,0,IF(AA6=0,0,IF(L6="Oui",MAX(AA6/(da_1-Z11),(AA6/da_1)*k_1),0)))</f>
        <v>0</v>
      </c>
    </row>
    <row r="8" spans="2:57" ht="3" customHeight="1" x14ac:dyDescent="0.25"/>
    <row r="9" spans="2:57" s="5" customFormat="1" ht="15" customHeight="1" x14ac:dyDescent="0.3">
      <c r="B9" s="253" t="str">
        <f>IF(AND(ISBLANK(UM),a_1&gt;0),"renseigner l'unité monétaire retenue dans l'onglet du 1er projet"," ")</f>
        <v xml:space="preserve"> </v>
      </c>
      <c r="C9" s="253"/>
      <c r="D9" s="253"/>
      <c r="E9" s="253"/>
      <c r="F9" s="253"/>
      <c r="H9" s="219" t="str">
        <f>IF(AND(L6="Oui",L7&gt;d_1),"la durée d'amortissement ne peut pas être &gt; à la durée d'utilisation"," ")</f>
        <v xml:space="preserve"> </v>
      </c>
      <c r="I9" s="220"/>
      <c r="J9" s="220"/>
      <c r="K9" s="220"/>
      <c r="L9" s="220"/>
      <c r="M9" s="220"/>
      <c r="O9" s="6"/>
      <c r="P9" s="1"/>
      <c r="Q9" s="1"/>
      <c r="R9" s="1"/>
      <c r="S9" s="1"/>
      <c r="T9" s="1"/>
      <c r="U9" s="1"/>
      <c r="V9" s="1"/>
      <c r="W9" s="1"/>
      <c r="X9" s="1"/>
      <c r="Y9" s="1"/>
      <c r="Z9" s="1"/>
      <c r="AA9" s="1"/>
      <c r="AB9" s="1"/>
      <c r="AG9" s="1"/>
      <c r="AH9" s="1"/>
      <c r="AI9" s="1"/>
      <c r="AJ9" s="1"/>
      <c r="AO9" s="1"/>
      <c r="AP9" s="1"/>
      <c r="AQ9" s="1"/>
      <c r="AR9" s="1"/>
      <c r="AS9" s="1"/>
      <c r="AT9" s="1"/>
      <c r="AU9" s="1"/>
      <c r="AV9" s="1"/>
      <c r="AW9" s="1"/>
      <c r="AX9" s="1"/>
      <c r="AY9" s="1"/>
      <c r="AZ9" s="1"/>
      <c r="BA9" s="1"/>
      <c r="BB9" s="1"/>
      <c r="BC9" s="1"/>
      <c r="BD9" s="1"/>
      <c r="BE9" s="1"/>
    </row>
    <row r="10" spans="2:57" ht="3" customHeight="1" x14ac:dyDescent="0.25"/>
    <row r="11" spans="2:57" s="1" customFormat="1" ht="21.9" customHeight="1" x14ac:dyDescent="0.3">
      <c r="B11" s="204" t="s">
        <v>42</v>
      </c>
      <c r="C11" s="205"/>
      <c r="D11" s="205"/>
      <c r="E11" s="136" t="s">
        <v>58</v>
      </c>
      <c r="F11" s="143" t="str">
        <f>IF(ISBLANK(UM)," ",UM)</f>
        <v>€</v>
      </c>
      <c r="H11" s="187" t="s">
        <v>61</v>
      </c>
      <c r="I11" s="188"/>
      <c r="J11" s="188"/>
      <c r="K11" s="188"/>
      <c r="L11" s="138" t="str">
        <f>IF(ISBLANK(UM)," ",UM)</f>
        <v>€</v>
      </c>
      <c r="M11" s="140">
        <v>1</v>
      </c>
      <c r="N11" s="141">
        <v>2</v>
      </c>
      <c r="O11" s="141">
        <v>3</v>
      </c>
      <c r="P11" s="141">
        <v>4</v>
      </c>
      <c r="Q11" s="141">
        <v>5</v>
      </c>
      <c r="R11" s="141">
        <v>6</v>
      </c>
      <c r="S11" s="141">
        <v>7</v>
      </c>
      <c r="T11" s="141">
        <v>8</v>
      </c>
      <c r="U11" s="141">
        <v>9</v>
      </c>
      <c r="V11" s="141">
        <v>10</v>
      </c>
      <c r="W11" s="141">
        <v>11</v>
      </c>
      <c r="X11" s="141">
        <v>12</v>
      </c>
      <c r="Y11" s="141">
        <v>13</v>
      </c>
      <c r="Z11" s="141">
        <v>14</v>
      </c>
      <c r="AA11" s="142">
        <v>15</v>
      </c>
      <c r="AB11" s="139" t="s">
        <v>0</v>
      </c>
    </row>
    <row r="12" spans="2:57" s="1" customFormat="1" ht="21.9" customHeight="1" x14ac:dyDescent="0.3">
      <c r="B12" s="200" t="s">
        <v>46</v>
      </c>
      <c r="C12" s="201"/>
      <c r="D12" s="201"/>
      <c r="E12" s="202"/>
      <c r="F12" s="50"/>
      <c r="H12" s="236" t="s">
        <v>34</v>
      </c>
      <c r="I12" s="237"/>
      <c r="J12" s="237"/>
      <c r="K12" s="237"/>
      <c r="L12" s="237"/>
      <c r="M12" s="86"/>
      <c r="N12" s="86"/>
      <c r="O12" s="86"/>
      <c r="P12" s="86"/>
      <c r="Q12" s="86"/>
      <c r="R12" s="86"/>
      <c r="S12" s="86"/>
      <c r="T12" s="86"/>
      <c r="U12" s="86"/>
      <c r="V12" s="86"/>
      <c r="W12" s="87"/>
      <c r="X12" s="86"/>
      <c r="Y12" s="86"/>
      <c r="Z12" s="86"/>
      <c r="AA12" s="88"/>
      <c r="AB12" s="89">
        <f>SUM(M12:AA12)</f>
        <v>0</v>
      </c>
    </row>
    <row r="13" spans="2:57" s="1" customFormat="1" ht="21.9" customHeight="1" x14ac:dyDescent="0.3">
      <c r="B13" s="184" t="s">
        <v>47</v>
      </c>
      <c r="C13" s="185"/>
      <c r="D13" s="185"/>
      <c r="E13" s="186"/>
      <c r="F13" s="51"/>
      <c r="H13" s="238" t="s">
        <v>9</v>
      </c>
      <c r="I13" s="239"/>
      <c r="J13" s="239"/>
      <c r="K13" s="239"/>
      <c r="L13" s="239"/>
      <c r="M13" s="90"/>
      <c r="N13" s="90"/>
      <c r="O13" s="90"/>
      <c r="P13" s="90"/>
      <c r="Q13" s="90"/>
      <c r="R13" s="90"/>
      <c r="S13" s="90"/>
      <c r="T13" s="90"/>
      <c r="U13" s="90"/>
      <c r="V13" s="90"/>
      <c r="W13" s="91"/>
      <c r="X13" s="90"/>
      <c r="Y13" s="90"/>
      <c r="Z13" s="90"/>
      <c r="AA13" s="92"/>
      <c r="AB13" s="93">
        <f>SUM(M13:AA13)</f>
        <v>0</v>
      </c>
    </row>
    <row r="14" spans="2:57" s="1" customFormat="1" ht="21.9" customHeight="1" x14ac:dyDescent="0.3">
      <c r="B14" s="184" t="s">
        <v>48</v>
      </c>
      <c r="C14" s="185"/>
      <c r="D14" s="185"/>
      <c r="E14" s="186"/>
      <c r="F14" s="51"/>
      <c r="H14" s="221" t="s">
        <v>22</v>
      </c>
      <c r="I14" s="222"/>
      <c r="J14" s="222"/>
      <c r="K14" s="222"/>
      <c r="L14" s="222"/>
      <c r="M14" s="94">
        <f t="shared" ref="M14:V14" si="6">SUM(M12:M13)</f>
        <v>0</v>
      </c>
      <c r="N14" s="94">
        <f t="shared" si="6"/>
        <v>0</v>
      </c>
      <c r="O14" s="94">
        <f t="shared" si="6"/>
        <v>0</v>
      </c>
      <c r="P14" s="94">
        <f t="shared" si="6"/>
        <v>0</v>
      </c>
      <c r="Q14" s="94">
        <f t="shared" si="6"/>
        <v>0</v>
      </c>
      <c r="R14" s="94">
        <f t="shared" si="6"/>
        <v>0</v>
      </c>
      <c r="S14" s="94">
        <f t="shared" si="6"/>
        <v>0</v>
      </c>
      <c r="T14" s="94">
        <f t="shared" si="6"/>
        <v>0</v>
      </c>
      <c r="U14" s="94">
        <f t="shared" si="6"/>
        <v>0</v>
      </c>
      <c r="V14" s="94">
        <f t="shared" si="6"/>
        <v>0</v>
      </c>
      <c r="W14" s="95">
        <f t="shared" ref="W14:AA14" si="7">SUM(W12:W13)</f>
        <v>0</v>
      </c>
      <c r="X14" s="94">
        <f t="shared" si="7"/>
        <v>0</v>
      </c>
      <c r="Y14" s="94">
        <f t="shared" si="7"/>
        <v>0</v>
      </c>
      <c r="Z14" s="94">
        <f t="shared" si="7"/>
        <v>0</v>
      </c>
      <c r="AA14" s="96">
        <f t="shared" si="7"/>
        <v>0</v>
      </c>
      <c r="AB14" s="96">
        <f t="shared" ref="AB14" si="8">SUM(AB12:AB13)</f>
        <v>0</v>
      </c>
    </row>
    <row r="15" spans="2:57" s="1" customFormat="1" ht="21.9" customHeight="1" x14ac:dyDescent="0.3">
      <c r="B15" s="184" t="s">
        <v>49</v>
      </c>
      <c r="C15" s="185"/>
      <c r="D15" s="185"/>
      <c r="E15" s="203"/>
      <c r="F15" s="51"/>
      <c r="H15" s="212" t="s">
        <v>8</v>
      </c>
      <c r="I15" s="213"/>
      <c r="J15" s="213"/>
      <c r="K15" s="213"/>
      <c r="L15" s="213"/>
      <c r="M15" s="65"/>
      <c r="N15" s="65"/>
      <c r="O15" s="65"/>
      <c r="P15" s="65"/>
      <c r="Q15" s="65"/>
      <c r="R15" s="65"/>
      <c r="S15" s="65"/>
      <c r="T15" s="65"/>
      <c r="U15" s="65"/>
      <c r="V15" s="65"/>
      <c r="W15" s="66"/>
      <c r="X15" s="65"/>
      <c r="Y15" s="65"/>
      <c r="Z15" s="65"/>
      <c r="AA15" s="67"/>
      <c r="AB15" s="68">
        <f t="shared" ref="AB15:AB23" si="9">SUM(M15:AA15)</f>
        <v>0</v>
      </c>
    </row>
    <row r="16" spans="2:57" s="1" customFormat="1" ht="21.9" customHeight="1" x14ac:dyDescent="0.3">
      <c r="B16" s="184" t="s">
        <v>50</v>
      </c>
      <c r="C16" s="185"/>
      <c r="D16" s="185"/>
      <c r="E16" s="186"/>
      <c r="F16" s="51"/>
      <c r="H16" s="206" t="s">
        <v>1</v>
      </c>
      <c r="I16" s="207"/>
      <c r="J16" s="207"/>
      <c r="K16" s="207"/>
      <c r="L16" s="207"/>
      <c r="M16" s="69"/>
      <c r="N16" s="69"/>
      <c r="O16" s="69"/>
      <c r="P16" s="69"/>
      <c r="Q16" s="69"/>
      <c r="R16" s="69"/>
      <c r="S16" s="69"/>
      <c r="T16" s="69"/>
      <c r="U16" s="69"/>
      <c r="V16" s="69"/>
      <c r="W16" s="70"/>
      <c r="X16" s="69"/>
      <c r="Y16" s="69"/>
      <c r="Z16" s="69"/>
      <c r="AA16" s="71"/>
      <c r="AB16" s="72">
        <f t="shared" si="9"/>
        <v>0</v>
      </c>
    </row>
    <row r="17" spans="2:57" s="1" customFormat="1" ht="21.9" customHeight="1" x14ac:dyDescent="0.3">
      <c r="B17" s="184" t="s">
        <v>51</v>
      </c>
      <c r="C17" s="185"/>
      <c r="D17" s="185"/>
      <c r="E17" s="186"/>
      <c r="F17" s="51"/>
      <c r="H17" s="206" t="s">
        <v>2</v>
      </c>
      <c r="I17" s="207"/>
      <c r="J17" s="207"/>
      <c r="K17" s="207"/>
      <c r="L17" s="207"/>
      <c r="M17" s="69"/>
      <c r="N17" s="69"/>
      <c r="O17" s="69"/>
      <c r="P17" s="69"/>
      <c r="Q17" s="69"/>
      <c r="R17" s="69"/>
      <c r="S17" s="69"/>
      <c r="T17" s="69"/>
      <c r="U17" s="69"/>
      <c r="V17" s="69"/>
      <c r="W17" s="70"/>
      <c r="X17" s="69"/>
      <c r="Y17" s="69"/>
      <c r="Z17" s="69"/>
      <c r="AA17" s="71"/>
      <c r="AB17" s="72">
        <f t="shared" si="9"/>
        <v>0</v>
      </c>
    </row>
    <row r="18" spans="2:57" s="1" customFormat="1" ht="21.9" customHeight="1" x14ac:dyDescent="0.3">
      <c r="B18" s="184" t="s">
        <v>52</v>
      </c>
      <c r="C18" s="185"/>
      <c r="D18" s="185"/>
      <c r="E18" s="186"/>
      <c r="F18" s="51"/>
      <c r="H18" s="206" t="s">
        <v>7</v>
      </c>
      <c r="I18" s="207"/>
      <c r="J18" s="207"/>
      <c r="K18" s="207"/>
      <c r="L18" s="207"/>
      <c r="M18" s="97"/>
      <c r="N18" s="69"/>
      <c r="O18" s="69"/>
      <c r="P18" s="69"/>
      <c r="Q18" s="69"/>
      <c r="R18" s="69"/>
      <c r="S18" s="69"/>
      <c r="T18" s="69"/>
      <c r="U18" s="69"/>
      <c r="V18" s="69"/>
      <c r="W18" s="70"/>
      <c r="X18" s="69"/>
      <c r="Y18" s="69"/>
      <c r="Z18" s="69"/>
      <c r="AA18" s="71"/>
      <c r="AB18" s="72">
        <f t="shared" si="9"/>
        <v>0</v>
      </c>
    </row>
    <row r="19" spans="2:57" s="1" customFormat="1" ht="21.9" customHeight="1" x14ac:dyDescent="0.3">
      <c r="B19" s="184" t="s">
        <v>53</v>
      </c>
      <c r="C19" s="185"/>
      <c r="D19" s="185"/>
      <c r="E19" s="186"/>
      <c r="F19" s="51"/>
      <c r="H19" s="206" t="s">
        <v>11</v>
      </c>
      <c r="I19" s="207"/>
      <c r="J19" s="207"/>
      <c r="K19" s="207"/>
      <c r="L19" s="207"/>
      <c r="M19" s="69"/>
      <c r="N19" s="69"/>
      <c r="O19" s="69"/>
      <c r="P19" s="69"/>
      <c r="Q19" s="69"/>
      <c r="R19" s="69"/>
      <c r="S19" s="69"/>
      <c r="T19" s="69"/>
      <c r="U19" s="69"/>
      <c r="V19" s="69"/>
      <c r="W19" s="70"/>
      <c r="X19" s="69"/>
      <c r="Y19" s="69"/>
      <c r="Z19" s="69"/>
      <c r="AA19" s="71"/>
      <c r="AB19" s="72">
        <f t="shared" si="9"/>
        <v>0</v>
      </c>
    </row>
    <row r="20" spans="2:57" s="1" customFormat="1" ht="21.9" customHeight="1" x14ac:dyDescent="0.3">
      <c r="B20" s="184"/>
      <c r="C20" s="185"/>
      <c r="D20" s="185"/>
      <c r="E20" s="186"/>
      <c r="F20" s="51"/>
      <c r="H20" s="206" t="s">
        <v>12</v>
      </c>
      <c r="I20" s="207"/>
      <c r="J20" s="207"/>
      <c r="K20" s="207"/>
      <c r="L20" s="207"/>
      <c r="M20" s="69"/>
      <c r="N20" s="69"/>
      <c r="O20" s="69"/>
      <c r="P20" s="69"/>
      <c r="Q20" s="69"/>
      <c r="R20" s="69"/>
      <c r="S20" s="69"/>
      <c r="T20" s="69"/>
      <c r="U20" s="69"/>
      <c r="V20" s="69"/>
      <c r="W20" s="70"/>
      <c r="X20" s="69"/>
      <c r="Y20" s="69"/>
      <c r="Z20" s="69"/>
      <c r="AA20" s="71"/>
      <c r="AB20" s="72">
        <f t="shared" si="9"/>
        <v>0</v>
      </c>
    </row>
    <row r="21" spans="2:57" s="1" customFormat="1" ht="21.9" customHeight="1" x14ac:dyDescent="0.3">
      <c r="B21" s="184"/>
      <c r="C21" s="185"/>
      <c r="D21" s="185"/>
      <c r="E21" s="186"/>
      <c r="F21" s="51"/>
      <c r="H21" s="206" t="s">
        <v>10</v>
      </c>
      <c r="I21" s="207"/>
      <c r="J21" s="207"/>
      <c r="K21" s="207"/>
      <c r="L21" s="207"/>
      <c r="M21" s="73">
        <f t="shared" ref="M21:V21" si="10">IF(M11&gt;d_1,0,a_1/d_1)</f>
        <v>0</v>
      </c>
      <c r="N21" s="73">
        <f t="shared" si="10"/>
        <v>0</v>
      </c>
      <c r="O21" s="73">
        <f t="shared" si="10"/>
        <v>0</v>
      </c>
      <c r="P21" s="73">
        <f t="shared" si="10"/>
        <v>0</v>
      </c>
      <c r="Q21" s="73">
        <f t="shared" si="10"/>
        <v>0</v>
      </c>
      <c r="R21" s="73">
        <f t="shared" si="10"/>
        <v>0</v>
      </c>
      <c r="S21" s="73">
        <f t="shared" si="10"/>
        <v>0</v>
      </c>
      <c r="T21" s="73">
        <f t="shared" si="10"/>
        <v>0</v>
      </c>
      <c r="U21" s="73">
        <f t="shared" si="10"/>
        <v>0</v>
      </c>
      <c r="V21" s="73">
        <f t="shared" si="10"/>
        <v>0</v>
      </c>
      <c r="W21" s="74">
        <f t="shared" ref="W21:AA21" si="11">IF(W11&gt;d_1,0,a_1/d_1)</f>
        <v>0</v>
      </c>
      <c r="X21" s="73">
        <f t="shared" si="11"/>
        <v>0</v>
      </c>
      <c r="Y21" s="73">
        <f t="shared" si="11"/>
        <v>0</v>
      </c>
      <c r="Z21" s="73">
        <f t="shared" si="11"/>
        <v>0</v>
      </c>
      <c r="AA21" s="75">
        <f t="shared" si="11"/>
        <v>0</v>
      </c>
      <c r="AB21" s="68">
        <f t="shared" si="9"/>
        <v>0</v>
      </c>
    </row>
    <row r="22" spans="2:57" s="1" customFormat="1" ht="21.9" customHeight="1" x14ac:dyDescent="0.3">
      <c r="B22" s="243"/>
      <c r="C22" s="244"/>
      <c r="D22" s="244"/>
      <c r="E22" s="245"/>
      <c r="F22" s="51"/>
      <c r="H22" s="76" t="s">
        <v>21</v>
      </c>
      <c r="I22" s="77"/>
      <c r="J22" s="77"/>
      <c r="K22" s="233">
        <f>IF(da_1&lt;3,0,IF(da_1&lt;5,1.25,IF(da_1&lt;6.67,1.75,2.25)))</f>
        <v>0</v>
      </c>
      <c r="L22" s="233"/>
      <c r="M22" s="78">
        <f>IF(L6="Oui",M7-M21,0)</f>
        <v>0</v>
      </c>
      <c r="N22" s="78">
        <f>IF(L6="Oui",N7-N21,0)</f>
        <v>0</v>
      </c>
      <c r="O22" s="78">
        <f>IF(L6="Oui",O7-O21,0)</f>
        <v>0</v>
      </c>
      <c r="P22" s="78">
        <f>IF(L6="Oui",P7-P21,0)</f>
        <v>0</v>
      </c>
      <c r="Q22" s="78">
        <f>IF(L6="Oui",Q7-Q21,0)</f>
        <v>0</v>
      </c>
      <c r="R22" s="78">
        <f>IF(L6="Oui",R7-R21,0)</f>
        <v>0</v>
      </c>
      <c r="S22" s="78">
        <f>IF(L6="Oui",S7-S21,0)</f>
        <v>0</v>
      </c>
      <c r="T22" s="78">
        <f>IF(L6="Oui",T7-T21,0)</f>
        <v>0</v>
      </c>
      <c r="U22" s="78">
        <f>IF(L6="Oui",U7-U21,0)</f>
        <v>0</v>
      </c>
      <c r="V22" s="78">
        <f>IF(L6="Oui",V7-V21,0)</f>
        <v>0</v>
      </c>
      <c r="W22" s="79">
        <f>IF(Q6="Oui",W7-W21,0)</f>
        <v>0</v>
      </c>
      <c r="X22" s="78">
        <f>IF(Q6="Oui",X7-X21,0)</f>
        <v>0</v>
      </c>
      <c r="Y22" s="78">
        <f>IF(Q6="Oui",Y7-Y21,0)</f>
        <v>0</v>
      </c>
      <c r="Z22" s="78">
        <f>IF(Q6="Oui",Z7-Z21,0)</f>
        <v>0</v>
      </c>
      <c r="AA22" s="80">
        <f>IF(Q6="Oui",AA7-AA21,0)</f>
        <v>0</v>
      </c>
      <c r="AB22" s="72">
        <f t="shared" si="9"/>
        <v>0</v>
      </c>
    </row>
    <row r="23" spans="2:57" s="1" customFormat="1" ht="21.9" customHeight="1" x14ac:dyDescent="0.3">
      <c r="B23" s="240" t="s">
        <v>54</v>
      </c>
      <c r="C23" s="241"/>
      <c r="D23" s="241"/>
      <c r="E23" s="242"/>
      <c r="F23" s="51"/>
      <c r="H23" s="234" t="s">
        <v>37</v>
      </c>
      <c r="I23" s="235"/>
      <c r="J23" s="235"/>
      <c r="K23" s="151" t="s">
        <v>36</v>
      </c>
      <c r="L23" s="150"/>
      <c r="M23" s="73">
        <f t="shared" ref="M23:V23" si="12">ROUND(IF(M14&gt;SUM(M15:M22),(M14-SUM(M15:M22))*$L$23,0),2)</f>
        <v>0</v>
      </c>
      <c r="N23" s="73">
        <f t="shared" si="12"/>
        <v>0</v>
      </c>
      <c r="O23" s="73">
        <f t="shared" si="12"/>
        <v>0</v>
      </c>
      <c r="P23" s="73">
        <f t="shared" si="12"/>
        <v>0</v>
      </c>
      <c r="Q23" s="73">
        <f t="shared" si="12"/>
        <v>0</v>
      </c>
      <c r="R23" s="73">
        <f t="shared" si="12"/>
        <v>0</v>
      </c>
      <c r="S23" s="73">
        <f t="shared" si="12"/>
        <v>0</v>
      </c>
      <c r="T23" s="73">
        <f t="shared" si="12"/>
        <v>0</v>
      </c>
      <c r="U23" s="73">
        <f t="shared" si="12"/>
        <v>0</v>
      </c>
      <c r="V23" s="73">
        <f t="shared" si="12"/>
        <v>0</v>
      </c>
      <c r="W23" s="74">
        <f t="shared" ref="W23:AA23" si="13">ROUND(IF(W14&gt;SUM(W15:W22),(W14-SUM(W15:W22))*$L$23,0),2)</f>
        <v>0</v>
      </c>
      <c r="X23" s="73">
        <f t="shared" si="13"/>
        <v>0</v>
      </c>
      <c r="Y23" s="73">
        <f t="shared" si="13"/>
        <v>0</v>
      </c>
      <c r="Z23" s="73">
        <f t="shared" si="13"/>
        <v>0</v>
      </c>
      <c r="AA23" s="75">
        <f t="shared" si="13"/>
        <v>0</v>
      </c>
      <c r="AB23" s="68">
        <f t="shared" si="9"/>
        <v>0</v>
      </c>
    </row>
    <row r="24" spans="2:57" s="1" customFormat="1" ht="21.9" customHeight="1" x14ac:dyDescent="0.3">
      <c r="B24" s="230" t="s">
        <v>55</v>
      </c>
      <c r="C24" s="185"/>
      <c r="D24" s="185"/>
      <c r="E24" s="186"/>
      <c r="F24" s="52"/>
      <c r="H24" s="246" t="s">
        <v>23</v>
      </c>
      <c r="I24" s="247"/>
      <c r="J24" s="247"/>
      <c r="K24" s="247"/>
      <c r="L24" s="247"/>
      <c r="M24" s="82">
        <f t="shared" ref="M24:V24" si="14">SUM(M15:M23)</f>
        <v>0</v>
      </c>
      <c r="N24" s="83">
        <f t="shared" si="14"/>
        <v>0</v>
      </c>
      <c r="O24" s="83">
        <f t="shared" si="14"/>
        <v>0</v>
      </c>
      <c r="P24" s="83">
        <f t="shared" si="14"/>
        <v>0</v>
      </c>
      <c r="Q24" s="83">
        <f t="shared" si="14"/>
        <v>0</v>
      </c>
      <c r="R24" s="83">
        <f t="shared" si="14"/>
        <v>0</v>
      </c>
      <c r="S24" s="83">
        <f t="shared" si="14"/>
        <v>0</v>
      </c>
      <c r="T24" s="83">
        <f t="shared" si="14"/>
        <v>0</v>
      </c>
      <c r="U24" s="83">
        <f t="shared" si="14"/>
        <v>0</v>
      </c>
      <c r="V24" s="83">
        <f t="shared" si="14"/>
        <v>0</v>
      </c>
      <c r="W24" s="84">
        <f t="shared" ref="W24:AA24" si="15">SUM(W15:W23)</f>
        <v>0</v>
      </c>
      <c r="X24" s="83">
        <f t="shared" si="15"/>
        <v>0</v>
      </c>
      <c r="Y24" s="83">
        <f t="shared" si="15"/>
        <v>0</v>
      </c>
      <c r="Z24" s="83">
        <f t="shared" si="15"/>
        <v>0</v>
      </c>
      <c r="AA24" s="85">
        <f t="shared" si="15"/>
        <v>0</v>
      </c>
      <c r="AB24" s="85">
        <f t="shared" ref="AB24" si="16">SUM(AB15:AB23)</f>
        <v>0</v>
      </c>
    </row>
    <row r="25" spans="2:57" s="1" customFormat="1" ht="21.9" customHeight="1" x14ac:dyDescent="0.3">
      <c r="B25" s="189"/>
      <c r="C25" s="190"/>
      <c r="D25" s="190"/>
      <c r="E25" s="191"/>
      <c r="F25" s="53"/>
      <c r="H25" s="248" t="s">
        <v>3</v>
      </c>
      <c r="I25" s="249"/>
      <c r="J25" s="249"/>
      <c r="K25" s="115" t="str">
        <f>IF(ISBLANK(UM)," ",UM)</f>
        <v>€</v>
      </c>
      <c r="L25" s="116">
        <f>-a_1</f>
        <v>0</v>
      </c>
      <c r="M25" s="117">
        <f t="shared" ref="M25:V25" si="17">M14-M24+M21+M22</f>
        <v>0</v>
      </c>
      <c r="N25" s="118">
        <f t="shared" si="17"/>
        <v>0</v>
      </c>
      <c r="O25" s="118">
        <f t="shared" si="17"/>
        <v>0</v>
      </c>
      <c r="P25" s="118">
        <f t="shared" si="17"/>
        <v>0</v>
      </c>
      <c r="Q25" s="118">
        <f t="shared" si="17"/>
        <v>0</v>
      </c>
      <c r="R25" s="118">
        <f t="shared" si="17"/>
        <v>0</v>
      </c>
      <c r="S25" s="118">
        <f t="shared" si="17"/>
        <v>0</v>
      </c>
      <c r="T25" s="118">
        <f t="shared" si="17"/>
        <v>0</v>
      </c>
      <c r="U25" s="118">
        <f t="shared" si="17"/>
        <v>0</v>
      </c>
      <c r="V25" s="118">
        <f t="shared" si="17"/>
        <v>0</v>
      </c>
      <c r="W25" s="118">
        <f t="shared" ref="W25:AA25" si="18">W14-W24+W21+W22</f>
        <v>0</v>
      </c>
      <c r="X25" s="118">
        <f t="shared" si="18"/>
        <v>0</v>
      </c>
      <c r="Y25" s="118">
        <f t="shared" si="18"/>
        <v>0</v>
      </c>
      <c r="Z25" s="118">
        <f t="shared" si="18"/>
        <v>0</v>
      </c>
      <c r="AA25" s="122">
        <f t="shared" si="18"/>
        <v>0</v>
      </c>
      <c r="AB25" s="127">
        <f>SUM(M25:AA25)</f>
        <v>0</v>
      </c>
      <c r="AG25" s="3"/>
      <c r="AH25" s="3"/>
      <c r="AI25" s="3"/>
      <c r="AJ25" s="3"/>
      <c r="AO25" s="3"/>
      <c r="AP25" s="3"/>
    </row>
    <row r="26" spans="2:57" s="1" customFormat="1" ht="21.9" customHeight="1" x14ac:dyDescent="0.3">
      <c r="B26" s="228" t="s">
        <v>20</v>
      </c>
      <c r="C26" s="229"/>
      <c r="D26" s="229"/>
      <c r="E26" s="132" t="str">
        <f>IF(ISBLANK(UM)," ",UM)</f>
        <v>€</v>
      </c>
      <c r="F26" s="133">
        <f>SUM(F12:F25)</f>
        <v>0</v>
      </c>
      <c r="H26" s="231" t="s">
        <v>5</v>
      </c>
      <c r="I26" s="232"/>
      <c r="J26" s="232"/>
      <c r="K26" s="144" t="str">
        <f>IF(ISBLANK(UM)," ",UM)</f>
        <v>€</v>
      </c>
      <c r="L26" s="145"/>
      <c r="M26" s="146">
        <f t="shared" ref="M26:V26" si="19">M25/(POWER((1+tx_1),M11))</f>
        <v>0</v>
      </c>
      <c r="N26" s="147">
        <f t="shared" si="19"/>
        <v>0</v>
      </c>
      <c r="O26" s="147">
        <f t="shared" si="19"/>
        <v>0</v>
      </c>
      <c r="P26" s="147">
        <f t="shared" si="19"/>
        <v>0</v>
      </c>
      <c r="Q26" s="147">
        <f t="shared" si="19"/>
        <v>0</v>
      </c>
      <c r="R26" s="147">
        <f t="shared" si="19"/>
        <v>0</v>
      </c>
      <c r="S26" s="147">
        <f t="shared" si="19"/>
        <v>0</v>
      </c>
      <c r="T26" s="147">
        <f t="shared" si="19"/>
        <v>0</v>
      </c>
      <c r="U26" s="147">
        <f t="shared" si="19"/>
        <v>0</v>
      </c>
      <c r="V26" s="147">
        <f t="shared" si="19"/>
        <v>0</v>
      </c>
      <c r="W26" s="147">
        <f t="shared" ref="W26:AA26" si="20">W25/(POWER((1+tx_1),W11))</f>
        <v>0</v>
      </c>
      <c r="X26" s="147">
        <f t="shared" si="20"/>
        <v>0</v>
      </c>
      <c r="Y26" s="147">
        <f t="shared" si="20"/>
        <v>0</v>
      </c>
      <c r="Z26" s="147">
        <f t="shared" si="20"/>
        <v>0</v>
      </c>
      <c r="AA26" s="148">
        <f t="shared" si="20"/>
        <v>0</v>
      </c>
      <c r="AB26" s="149">
        <f>SUM(M26:AA26)</f>
        <v>0</v>
      </c>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row>
    <row r="27" spans="2:57" ht="6" customHeight="1" x14ac:dyDescent="0.3">
      <c r="H27" s="1"/>
      <c r="I27" s="1"/>
      <c r="J27" s="1"/>
      <c r="K27" s="1"/>
      <c r="L27" s="1"/>
      <c r="M27" s="1"/>
      <c r="N27" s="1"/>
      <c r="O27" s="1"/>
      <c r="P27" s="1"/>
      <c r="Q27" s="1"/>
      <c r="R27" s="1"/>
      <c r="S27" s="1"/>
      <c r="T27" s="1"/>
      <c r="U27" s="1"/>
      <c r="V27" s="1"/>
      <c r="W27" s="1"/>
      <c r="X27" s="1"/>
      <c r="Y27" s="1"/>
      <c r="Z27" s="1"/>
      <c r="AA27" s="1"/>
      <c r="AB27" s="1"/>
    </row>
    <row r="28" spans="2:57" s="3" customFormat="1" ht="21.9" customHeight="1" x14ac:dyDescent="0.3">
      <c r="B28" s="180" t="s">
        <v>64</v>
      </c>
      <c r="C28" s="181"/>
      <c r="D28" s="181"/>
      <c r="E28" s="134" t="str">
        <f>IF(ISBLANK(UM)," ",UM)</f>
        <v>€</v>
      </c>
      <c r="F28" s="135">
        <f>AA28</f>
        <v>0</v>
      </c>
      <c r="H28" s="180" t="s">
        <v>6</v>
      </c>
      <c r="I28" s="181"/>
      <c r="J28" s="181"/>
      <c r="K28" s="128" t="str">
        <f>IF(ISBLANK(UM)," ",UM)</f>
        <v>€</v>
      </c>
      <c r="L28" s="129"/>
      <c r="M28" s="130">
        <f>M26</f>
        <v>0</v>
      </c>
      <c r="N28" s="130">
        <f t="shared" ref="N28:V28" si="21">M28+N26</f>
        <v>0</v>
      </c>
      <c r="O28" s="130">
        <f t="shared" si="21"/>
        <v>0</v>
      </c>
      <c r="P28" s="130">
        <f t="shared" si="21"/>
        <v>0</v>
      </c>
      <c r="Q28" s="130">
        <f t="shared" si="21"/>
        <v>0</v>
      </c>
      <c r="R28" s="130">
        <f t="shared" si="21"/>
        <v>0</v>
      </c>
      <c r="S28" s="130">
        <f t="shared" si="21"/>
        <v>0</v>
      </c>
      <c r="T28" s="130">
        <f t="shared" si="21"/>
        <v>0</v>
      </c>
      <c r="U28" s="130">
        <f t="shared" si="21"/>
        <v>0</v>
      </c>
      <c r="V28" s="130">
        <f t="shared" si="21"/>
        <v>0</v>
      </c>
      <c r="W28" s="130">
        <f t="shared" ref="W28" si="22">V28+W26</f>
        <v>0</v>
      </c>
      <c r="X28" s="130">
        <f t="shared" ref="X28" si="23">W28+X26</f>
        <v>0</v>
      </c>
      <c r="Y28" s="130">
        <f t="shared" ref="Y28" si="24">X28+Y26</f>
        <v>0</v>
      </c>
      <c r="Z28" s="130">
        <f t="shared" ref="Z28" si="25">Y28+Z26</f>
        <v>0</v>
      </c>
      <c r="AA28" s="131">
        <f t="shared" ref="AA28" si="26">Z28+AA26</f>
        <v>0</v>
      </c>
      <c r="AB28" s="106" t="str">
        <f>IF(AB26=AA28,"ok",AB26-AA28)</f>
        <v>ok</v>
      </c>
      <c r="AC28" s="1"/>
      <c r="AD28" s="1"/>
      <c r="AE28" s="1"/>
      <c r="AG28" s="1"/>
      <c r="AH28" s="1"/>
      <c r="AI28" s="1"/>
      <c r="AJ28" s="1"/>
      <c r="AO28" s="1"/>
      <c r="AP28" s="1"/>
    </row>
    <row r="29" spans="2:57" s="1" customFormat="1" ht="6" customHeight="1" x14ac:dyDescent="0.3">
      <c r="B29" s="62"/>
      <c r="C29" s="62"/>
      <c r="D29" s="62"/>
      <c r="E29" s="62"/>
    </row>
    <row r="30" spans="2:57" s="3" customFormat="1" ht="21.9" customHeight="1" x14ac:dyDescent="0.3">
      <c r="B30" s="182" t="s">
        <v>57</v>
      </c>
      <c r="C30" s="183"/>
      <c r="D30" s="183"/>
      <c r="E30" s="63" t="str">
        <f>IF(ISBLANK(UM)," ",UM)</f>
        <v>€</v>
      </c>
      <c r="F30" s="64">
        <f>F28-F26</f>
        <v>0</v>
      </c>
      <c r="H30" s="261"/>
      <c r="I30" s="261"/>
      <c r="J30" s="261"/>
      <c r="K30" s="261"/>
      <c r="L30" s="261"/>
      <c r="M30" s="21" t="str">
        <f>IF(a_1=0," ",IF(M28=0,0,IF(M28&lt;a_1,0,M11)))</f>
        <v xml:space="preserve"> </v>
      </c>
      <c r="N30" s="21" t="str">
        <f t="shared" ref="N30:V30" si="27">IF(N28&lt;a_1,0,IF(M30&gt;0," ",N11))</f>
        <v xml:space="preserve"> </v>
      </c>
      <c r="O30" s="21" t="str">
        <f t="shared" si="27"/>
        <v xml:space="preserve"> </v>
      </c>
      <c r="P30" s="21" t="str">
        <f t="shared" si="27"/>
        <v xml:space="preserve"> </v>
      </c>
      <c r="Q30" s="21" t="str">
        <f t="shared" si="27"/>
        <v xml:space="preserve"> </v>
      </c>
      <c r="R30" s="21" t="str">
        <f t="shared" si="27"/>
        <v xml:space="preserve"> </v>
      </c>
      <c r="S30" s="21" t="str">
        <f t="shared" si="27"/>
        <v xml:space="preserve"> </v>
      </c>
      <c r="T30" s="21" t="str">
        <f t="shared" si="27"/>
        <v xml:space="preserve"> </v>
      </c>
      <c r="U30" s="21" t="str">
        <f t="shared" si="27"/>
        <v xml:space="preserve"> </v>
      </c>
      <c r="V30" s="21" t="str">
        <f t="shared" si="27"/>
        <v xml:space="preserve"> </v>
      </c>
      <c r="W30" s="21" t="str">
        <f t="shared" ref="W30" si="28">IF(W28&lt;a_1,0,IF(V30&gt;0," ",W11))</f>
        <v xml:space="preserve"> </v>
      </c>
      <c r="X30" s="21" t="str">
        <f t="shared" ref="X30" si="29">IF(X28&lt;a_1,0,IF(W30&gt;0," ",X11))</f>
        <v xml:space="preserve"> </v>
      </c>
      <c r="Y30" s="21" t="str">
        <f t="shared" ref="Y30" si="30">IF(Y28&lt;a_1,0,IF(X30&gt;0," ",Y11))</f>
        <v xml:space="preserve"> </v>
      </c>
      <c r="Z30" s="21" t="str">
        <f t="shared" ref="Z30" si="31">IF(Z28&lt;a_1,0,IF(Y30&gt;0," ",Z11))</f>
        <v xml:space="preserve"> </v>
      </c>
      <c r="AA30" s="21" t="str">
        <f t="shared" ref="AA30" si="32">IF(AA28&lt;a_1,0,IF(Z30&gt;0," ",AA11))</f>
        <v xml:space="preserve"> </v>
      </c>
      <c r="AB30"/>
      <c r="AC30" s="1"/>
      <c r="AD30" s="1"/>
      <c r="AE30" s="1"/>
      <c r="AF30" s="1"/>
      <c r="AK30" s="1"/>
      <c r="AL30" s="1"/>
      <c r="AM30" s="1"/>
      <c r="AN30" s="1"/>
      <c r="AQ30" s="1"/>
      <c r="AR30" s="1"/>
      <c r="AS30" s="1"/>
      <c r="AT30" s="1"/>
      <c r="AU30" s="1"/>
      <c r="AV30" s="1"/>
      <c r="AW30" s="1"/>
      <c r="AX30" s="1"/>
      <c r="AY30" s="1"/>
      <c r="AZ30" s="1"/>
      <c r="BA30" s="1"/>
      <c r="BB30" s="1"/>
      <c r="BC30" s="1"/>
      <c r="BD30" s="1"/>
      <c r="BE30" s="1"/>
    </row>
    <row r="31" spans="2:57" ht="6" customHeight="1" x14ac:dyDescent="0.3">
      <c r="B31" s="1"/>
      <c r="C31" s="1"/>
      <c r="D31" s="1"/>
      <c r="E31" s="1"/>
      <c r="F31" s="1"/>
    </row>
    <row r="32" spans="2:57" ht="21.9" customHeight="1" x14ac:dyDescent="0.25">
      <c r="B32" s="194" t="s">
        <v>62</v>
      </c>
      <c r="C32" s="194"/>
      <c r="D32" s="194"/>
      <c r="E32" s="192">
        <f>SUM(M30:AA30)</f>
        <v>0</v>
      </c>
      <c r="F32" s="193"/>
      <c r="L32" s="38"/>
      <c r="V32" s="38"/>
      <c r="AA32" s="38"/>
    </row>
    <row r="33" spans="2:6" ht="6" customHeight="1" x14ac:dyDescent="0.3">
      <c r="B33" s="1"/>
      <c r="C33" s="1"/>
      <c r="D33" s="1"/>
      <c r="E33" s="1"/>
      <c r="F33" s="1"/>
    </row>
    <row r="34" spans="2:6" ht="20.100000000000001" customHeight="1" x14ac:dyDescent="0.25">
      <c r="B34" s="250" t="s">
        <v>63</v>
      </c>
      <c r="C34" s="250"/>
      <c r="D34" s="251"/>
      <c r="E34" s="225" t="str">
        <f>IF(a_1=0," ",IRR(L25:AA25))</f>
        <v xml:space="preserve"> </v>
      </c>
      <c r="F34" s="226"/>
    </row>
  </sheetData>
  <sheetProtection algorithmName="SHA-512" hashValue="n9/bwyas/eRDPxS5Rwe4oGnsJLD4Gy2gqqHqFC8ooJGWIqfkrT8loHyS46Z0BDvYWjD+UHBzpbAqGwNnnikr2g==" saltValue="fc/0wAATyxiRrgMwNYcEhA==" spinCount="100000" sheet="1" formatCells="0" formatColumns="0" formatRows="0" insertColumns="0" insertRows="0" insertHyperlinks="0" deleteColumns="0" deleteRows="0" sort="0" autoFilter="0" pivotTables="0"/>
  <mergeCells count="53">
    <mergeCell ref="H9:M9"/>
    <mergeCell ref="B11:D11"/>
    <mergeCell ref="H12:L12"/>
    <mergeCell ref="H30:L30"/>
    <mergeCell ref="H14:L14"/>
    <mergeCell ref="H24:L24"/>
    <mergeCell ref="B14:E14"/>
    <mergeCell ref="H15:L15"/>
    <mergeCell ref="H25:J25"/>
    <mergeCell ref="H26:J26"/>
    <mergeCell ref="H28:J28"/>
    <mergeCell ref="B17:E17"/>
    <mergeCell ref="B26:D26"/>
    <mergeCell ref="B28:D28"/>
    <mergeCell ref="K22:L22"/>
    <mergeCell ref="F2:H2"/>
    <mergeCell ref="J2:K2"/>
    <mergeCell ref="C6:D7"/>
    <mergeCell ref="M2:R2"/>
    <mergeCell ref="E6:H7"/>
    <mergeCell ref="I6:I7"/>
    <mergeCell ref="J6:K6"/>
    <mergeCell ref="J7:K7"/>
    <mergeCell ref="B32:D32"/>
    <mergeCell ref="E32:F32"/>
    <mergeCell ref="B34:D34"/>
    <mergeCell ref="B15:E15"/>
    <mergeCell ref="B16:E16"/>
    <mergeCell ref="B24:E24"/>
    <mergeCell ref="B25:E25"/>
    <mergeCell ref="B21:E21"/>
    <mergeCell ref="B22:E22"/>
    <mergeCell ref="B20:E20"/>
    <mergeCell ref="B23:E23"/>
    <mergeCell ref="B18:E18"/>
    <mergeCell ref="B19:E19"/>
    <mergeCell ref="E34:F34"/>
    <mergeCell ref="B9:F9"/>
    <mergeCell ref="B1:E1"/>
    <mergeCell ref="C4:E4"/>
    <mergeCell ref="H11:K11"/>
    <mergeCell ref="B30:D30"/>
    <mergeCell ref="H23:J23"/>
    <mergeCell ref="B12:E12"/>
    <mergeCell ref="B13:E13"/>
    <mergeCell ref="H13:L13"/>
    <mergeCell ref="H20:L20"/>
    <mergeCell ref="H21:L21"/>
    <mergeCell ref="H16:L16"/>
    <mergeCell ref="H17:L17"/>
    <mergeCell ref="H18:L18"/>
    <mergeCell ref="H19:L19"/>
    <mergeCell ref="C2:D2"/>
  </mergeCells>
  <conditionalFormatting sqref="M6:V7">
    <cfRule type="cellIs" dxfId="51" priority="51" stopIfTrue="1" operator="equal">
      <formula>0</formula>
    </cfRule>
  </conditionalFormatting>
  <conditionalFormatting sqref="M30:V30">
    <cfRule type="cellIs" dxfId="50" priority="45" operator="equal">
      <formula>0</formula>
    </cfRule>
  </conditionalFormatting>
  <conditionalFormatting sqref="L2">
    <cfRule type="cellIs" dxfId="49" priority="44" operator="equal">
      <formula>0</formula>
    </cfRule>
  </conditionalFormatting>
  <conditionalFormatting sqref="E2">
    <cfRule type="cellIs" dxfId="48" priority="43" operator="equal">
      <formula>0</formula>
    </cfRule>
  </conditionalFormatting>
  <conditionalFormatting sqref="C6:D7">
    <cfRule type="cellIs" dxfId="47" priority="39" operator="equal">
      <formula>0</formula>
    </cfRule>
  </conditionalFormatting>
  <conditionalFormatting sqref="W6:AA7">
    <cfRule type="cellIs" dxfId="46" priority="35" stopIfTrue="1" operator="equal">
      <formula>0</formula>
    </cfRule>
  </conditionalFormatting>
  <conditionalFormatting sqref="W30:AA30">
    <cfRule type="cellIs" dxfId="45" priority="32" operator="equal">
      <formula>0</formula>
    </cfRule>
  </conditionalFormatting>
  <conditionalFormatting sqref="K22">
    <cfRule type="cellIs" dxfId="44" priority="24" operator="equal">
      <formula>0</formula>
    </cfRule>
  </conditionalFormatting>
  <conditionalFormatting sqref="L23">
    <cfRule type="cellIs" dxfId="43" priority="23" operator="equal">
      <formula>0</formula>
    </cfRule>
  </conditionalFormatting>
  <conditionalFormatting sqref="E28">
    <cfRule type="cellIs" dxfId="42" priority="16" stopIfTrue="1" operator="equal">
      <formula>0</formula>
    </cfRule>
  </conditionalFormatting>
  <conditionalFormatting sqref="F28">
    <cfRule type="cellIs" dxfId="41" priority="15" operator="equal">
      <formula>0</formula>
    </cfRule>
  </conditionalFormatting>
  <conditionalFormatting sqref="M11:AA11">
    <cfRule type="cellIs" dxfId="40" priority="14" operator="greaterThan">
      <formula>$I$6</formula>
    </cfRule>
  </conditionalFormatting>
  <conditionalFormatting sqref="L26 L28">
    <cfRule type="cellIs" dxfId="39" priority="13" stopIfTrue="1" operator="equal">
      <formula>0</formula>
    </cfRule>
  </conditionalFormatting>
  <conditionalFormatting sqref="L26:V26 AB26">
    <cfRule type="cellIs" dxfId="38" priority="12" operator="equal">
      <formula>0</formula>
    </cfRule>
  </conditionalFormatting>
  <conditionalFormatting sqref="K26">
    <cfRule type="cellIs" dxfId="37" priority="11" stopIfTrue="1" operator="equal">
      <formula>0</formula>
    </cfRule>
  </conditionalFormatting>
  <conditionalFormatting sqref="K26">
    <cfRule type="cellIs" dxfId="36" priority="10" operator="equal">
      <formula>0</formula>
    </cfRule>
  </conditionalFormatting>
  <conditionalFormatting sqref="K28">
    <cfRule type="cellIs" dxfId="35" priority="9" stopIfTrue="1" operator="equal">
      <formula>0</formula>
    </cfRule>
  </conditionalFormatting>
  <conditionalFormatting sqref="M28:V28">
    <cfRule type="cellIs" dxfId="34" priority="8" operator="equal">
      <formula>0</formula>
    </cfRule>
  </conditionalFormatting>
  <conditionalFormatting sqref="M25:V25 AB25">
    <cfRule type="cellIs" dxfId="33" priority="7" operator="equal">
      <formula>0</formula>
    </cfRule>
  </conditionalFormatting>
  <conditionalFormatting sqref="W26:AA26">
    <cfRule type="cellIs" dxfId="32" priority="6" operator="equal">
      <formula>0</formula>
    </cfRule>
  </conditionalFormatting>
  <conditionalFormatting sqref="W28:AA28">
    <cfRule type="cellIs" dxfId="31" priority="5" operator="equal">
      <formula>0</formula>
    </cfRule>
  </conditionalFormatting>
  <conditionalFormatting sqref="W25:AA25">
    <cfRule type="cellIs" dxfId="30" priority="4" operator="equal">
      <formula>0</formula>
    </cfRule>
  </conditionalFormatting>
  <conditionalFormatting sqref="E32">
    <cfRule type="cellIs" dxfId="29" priority="3" operator="equal">
      <formula>0</formula>
    </cfRule>
  </conditionalFormatting>
  <conditionalFormatting sqref="F11">
    <cfRule type="expression" dxfId="28" priority="68">
      <formula>#REF!=1</formula>
    </cfRule>
  </conditionalFormatting>
  <conditionalFormatting sqref="L7">
    <cfRule type="expression" dxfId="27" priority="2">
      <formula>$L$4=1</formula>
    </cfRule>
  </conditionalFormatting>
  <conditionalFormatting sqref="C4:E4">
    <cfRule type="expression" dxfId="26" priority="1">
      <formula>B4=1</formula>
    </cfRule>
  </conditionalFormatting>
  <dataValidations count="3">
    <dataValidation allowBlank="1" showInputMessage="1" showErrorMessage="1" sqref="F13:F25" xr:uid="{00000000-0002-0000-0200-000000000000}"/>
    <dataValidation type="list" allowBlank="1" showInputMessage="1" showErrorMessage="1" sqref="L6" xr:uid="{00000000-0002-0000-0200-000001000000}">
      <formula1>"Non,Oui"</formula1>
    </dataValidation>
    <dataValidation type="list" allowBlank="1" showInputMessage="1" showErrorMessage="1" sqref="I2" xr:uid="{00000000-0002-0000-0200-000002000000}">
      <formula1>"nul,faible,moyen,élevé"</formula1>
    </dataValidation>
  </dataValidations>
  <pageMargins left="0" right="0" top="0" bottom="0" header="0" footer="0"/>
  <pageSetup paperSize="9" scale="6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499984740745262"/>
    <pageSetUpPr fitToPage="1"/>
  </sheetPr>
  <dimension ref="B1:BE34"/>
  <sheetViews>
    <sheetView showGridLines="0" showRowColHeaders="0" zoomScaleNormal="100" workbookViewId="0">
      <pane xSplit="12" ySplit="11" topLeftCell="M18" activePane="bottomRight" state="frozenSplit"/>
      <selection activeCell="L21" sqref="L21"/>
      <selection pane="topRight" activeCell="L21" sqref="L21"/>
      <selection pane="bottomLeft" activeCell="L21" sqref="L21"/>
      <selection pane="bottomRight" activeCell="M33" sqref="M33"/>
    </sheetView>
  </sheetViews>
  <sheetFormatPr baseColWidth="10" defaultRowHeight="13.2" x14ac:dyDescent="0.25"/>
  <cols>
    <col min="1" max="1" width="1.6640625" customWidth="1"/>
    <col min="2" max="2" width="6.6640625" customWidth="1"/>
    <col min="3" max="4" width="13.6640625" customWidth="1"/>
    <col min="5" max="5" width="7.6640625" customWidth="1"/>
    <col min="6" max="6" width="10.6640625" customWidth="1"/>
    <col min="7" max="7" width="0.5546875" customWidth="1"/>
    <col min="8" max="8" width="5.6640625" customWidth="1"/>
    <col min="9" max="9" width="7.6640625" customWidth="1"/>
    <col min="10" max="10" width="13.6640625" customWidth="1"/>
    <col min="11" max="11" width="8.6640625" customWidth="1"/>
    <col min="12" max="12" width="7.6640625" customWidth="1"/>
    <col min="13" max="27" width="10.6640625" customWidth="1"/>
    <col min="28" max="28" width="11.6640625" customWidth="1"/>
    <col min="29" max="29" width="5.6640625" customWidth="1"/>
    <col min="30" max="30" width="8.6640625" customWidth="1"/>
  </cols>
  <sheetData>
    <row r="1" spans="2:57" s="1" customFormat="1" ht="15" customHeight="1" x14ac:dyDescent="0.3">
      <c r="B1" s="254" t="str">
        <f>IF(ISBLANK(tb),"Ce taux est à renseigner dans l'onglet du 1er projet"," ")</f>
        <v>Ce taux est à renseigner dans l'onglet du 1er projet</v>
      </c>
      <c r="C1" s="254"/>
      <c r="D1" s="254"/>
      <c r="E1" s="254"/>
      <c r="F1" s="168"/>
      <c r="G1" s="168"/>
      <c r="H1" s="168"/>
      <c r="I1" s="168"/>
      <c r="J1" s="168"/>
      <c r="K1" s="168"/>
      <c r="L1" s="168"/>
      <c r="M1" s="168"/>
      <c r="N1" s="168"/>
      <c r="O1" s="168"/>
      <c r="P1" s="168"/>
      <c r="Q1" s="168"/>
    </row>
    <row r="2" spans="2:57" s="1" customFormat="1" ht="21.9" customHeight="1" x14ac:dyDescent="0.3">
      <c r="B2" s="20" t="s">
        <v>28</v>
      </c>
      <c r="C2" s="218" t="s">
        <v>33</v>
      </c>
      <c r="D2" s="252"/>
      <c r="E2" s="165">
        <f>tb</f>
        <v>0</v>
      </c>
      <c r="F2" s="218" t="s">
        <v>43</v>
      </c>
      <c r="G2" s="218"/>
      <c r="H2" s="218"/>
      <c r="I2" s="57"/>
      <c r="J2" s="227" t="s">
        <v>27</v>
      </c>
      <c r="K2" s="227"/>
      <c r="L2" s="166">
        <f>IF(ISBLANK(tb),0,IF(I2="nul",tb+1%,IF(I2="faible",tb+3%,IF(I2="moyen",tb+5%,IF(I2="élevé",tb+10%,0)))))</f>
        <v>0</v>
      </c>
      <c r="M2" s="223" t="str">
        <f>IF(AND(tb&gt;0,ISBLANK(I2)),"Vous devez obligatoirement renseigner le niveau de risque"," ")</f>
        <v xml:space="preserve"> </v>
      </c>
      <c r="N2" s="224"/>
      <c r="O2" s="224"/>
      <c r="P2" s="224"/>
      <c r="Q2" s="224"/>
      <c r="R2" s="224"/>
    </row>
    <row r="3" spans="2:57" ht="3" customHeight="1" x14ac:dyDescent="0.25"/>
    <row r="4" spans="2:57" s="1" customFormat="1" ht="15" customHeight="1" x14ac:dyDescent="0.3">
      <c r="B4" s="107">
        <f>IF(AND(ISBLANK(tb),a_2&gt;0),1,0)</f>
        <v>0</v>
      </c>
      <c r="C4" s="179" t="str">
        <f>IF(AND(ISBLANK(tb),a_2&gt;0),"renseigner le taux d'actualisation ci-dessus"," ")</f>
        <v xml:space="preserve"> </v>
      </c>
      <c r="D4" s="179"/>
      <c r="E4" s="179"/>
      <c r="L4" s="107">
        <f>IF(da_2&gt;d_2,1,0)</f>
        <v>0</v>
      </c>
    </row>
    <row r="5" spans="2:57" ht="3" customHeight="1" x14ac:dyDescent="0.25"/>
    <row r="6" spans="2:57" s="5" customFormat="1" ht="20.100000000000001" customHeight="1" x14ac:dyDescent="0.3">
      <c r="B6" s="60" t="s">
        <v>59</v>
      </c>
      <c r="C6" s="196"/>
      <c r="D6" s="197"/>
      <c r="E6" s="208" t="s">
        <v>4</v>
      </c>
      <c r="F6" s="208"/>
      <c r="G6" s="208"/>
      <c r="H6" s="208"/>
      <c r="I6" s="210"/>
      <c r="J6" s="214" t="s">
        <v>40</v>
      </c>
      <c r="K6" s="215"/>
      <c r="L6" s="98"/>
      <c r="M6" s="100">
        <f>IF(L6="Oui",a_2,0)</f>
        <v>0</v>
      </c>
      <c r="N6" s="100">
        <f t="shared" ref="N6:V6" si="0">M6-M7</f>
        <v>0</v>
      </c>
      <c r="O6" s="100">
        <f t="shared" si="0"/>
        <v>0</v>
      </c>
      <c r="P6" s="100">
        <f t="shared" si="0"/>
        <v>0</v>
      </c>
      <c r="Q6" s="100">
        <f t="shared" si="0"/>
        <v>0</v>
      </c>
      <c r="R6" s="100">
        <f t="shared" si="0"/>
        <v>0</v>
      </c>
      <c r="S6" s="100">
        <f t="shared" si="0"/>
        <v>0</v>
      </c>
      <c r="T6" s="100">
        <f t="shared" si="0"/>
        <v>0</v>
      </c>
      <c r="U6" s="100">
        <f t="shared" si="0"/>
        <v>0</v>
      </c>
      <c r="V6" s="100">
        <f t="shared" si="0"/>
        <v>0</v>
      </c>
      <c r="W6" s="100">
        <f t="shared" ref="W6" si="1">V6-V7</f>
        <v>0</v>
      </c>
      <c r="X6" s="100">
        <f t="shared" ref="X6" si="2">W6-W7</f>
        <v>0</v>
      </c>
      <c r="Y6" s="100">
        <f t="shared" ref="Y6" si="3">X6-X7</f>
        <v>0</v>
      </c>
      <c r="Z6" s="100">
        <f t="shared" ref="Z6" si="4">Y6-Y7</f>
        <v>0</v>
      </c>
      <c r="AA6" s="100">
        <f t="shared" ref="AA6" si="5">Z6-Z7</f>
        <v>0</v>
      </c>
      <c r="AB6" s="1"/>
      <c r="AC6" s="3"/>
      <c r="AD6" s="3"/>
      <c r="AE6" s="3"/>
      <c r="AF6" s="3"/>
      <c r="AK6" s="3"/>
      <c r="AL6" s="3"/>
      <c r="AM6" s="3"/>
      <c r="AN6" s="3"/>
      <c r="AQ6" s="3"/>
      <c r="AR6" s="3"/>
      <c r="AS6" s="3"/>
      <c r="AT6" s="3"/>
      <c r="AU6" s="3"/>
      <c r="AV6" s="3"/>
      <c r="AW6" s="3"/>
      <c r="AX6" s="3"/>
      <c r="AY6" s="3"/>
      <c r="AZ6" s="3"/>
      <c r="BA6" s="3"/>
      <c r="BB6" s="3"/>
      <c r="BC6" s="3"/>
      <c r="BD6" s="3"/>
      <c r="BE6" s="3"/>
    </row>
    <row r="7" spans="2:57" s="3" customFormat="1" ht="20.100000000000001" customHeight="1" x14ac:dyDescent="0.3">
      <c r="B7" s="61" t="s">
        <v>45</v>
      </c>
      <c r="C7" s="198"/>
      <c r="D7" s="199"/>
      <c r="E7" s="209"/>
      <c r="F7" s="209"/>
      <c r="G7" s="209"/>
      <c r="H7" s="209"/>
      <c r="I7" s="211"/>
      <c r="J7" s="216" t="str">
        <f>IF(ISBLANK(L6)," ",IF(L6="Non"," "," Durée d'amortissement  :"))</f>
        <v xml:space="preserve"> </v>
      </c>
      <c r="K7" s="217"/>
      <c r="L7" s="99"/>
      <c r="M7" s="101">
        <f>IF(da_2=0,0,IF(M6=0,0,IF(L6="Oui",(M6/da_2)*k_2,0)))</f>
        <v>0</v>
      </c>
      <c r="N7" s="101">
        <f>IF(da_2=0,0,IF(N6=0,0,IF(L6="Oui",MAX(N6/(da_2-M11),(N6/da_2)*k_2),0)))</f>
        <v>0</v>
      </c>
      <c r="O7" s="101">
        <f>IF(da_2=0,0,IF(O6=0,0,IF(L6="Oui",MAX(O6/(da_2-N11),(O6/da_2)*k_2),0)))</f>
        <v>0</v>
      </c>
      <c r="P7" s="101">
        <f>IF(da_2=0,0,IF(P6=0,0,IF(L6="Oui",MAX(P6/(da_2-O11),(P6/da_2)*k_2),0)))</f>
        <v>0</v>
      </c>
      <c r="Q7" s="101">
        <f>IF(da_2=0,0,IF(Q6=0,0,IF(L6="Oui",MAX(Q6/(da_2-P11),(Q6/da_2)*k_2),0)))</f>
        <v>0</v>
      </c>
      <c r="R7" s="101">
        <f>IF(da_2=0,0,IF(R6=0,0,IF(L6="Oui",MAX(R6/(da_2-Q11),(R6/da_2)*k_2),0)))</f>
        <v>0</v>
      </c>
      <c r="S7" s="101">
        <f>IF(da_2=0,0,IF(S6=0,0,IF(L6="Oui",MAX(S6/(da_2-R11),(S6/da_2)*k_2),0)))</f>
        <v>0</v>
      </c>
      <c r="T7" s="101">
        <f>IF(da_2=0,0,IF(T6=0,0,IF(L6="Oui",MAX(T6/(da_2-S11),(T6/da_2)*k_2),0)))</f>
        <v>0</v>
      </c>
      <c r="U7" s="101">
        <f>IF(da_2=0,0,IF(U6=0,0,IF(L6="Oui",MAX(U6/(da_2-T11),(U6/da_2)*k_2),0)))</f>
        <v>0</v>
      </c>
      <c r="V7" s="101">
        <f>IF(da_2=0,0,IF(V6=0,0,IF(L6="Oui",MAX(V6/(da_2-U11),(V6/da_2)*k_2),0)))</f>
        <v>0</v>
      </c>
      <c r="W7" s="101">
        <f>IF(da_2=0,0,IF(W6=0,0,IF(L6="Oui",MAX(W6/(da_2-V11),(W6/da_2)*k_2),0)))</f>
        <v>0</v>
      </c>
      <c r="X7" s="101">
        <f>IF(da_2=0,0,IF(X6=0,0,IF(L6="Oui",MAX(X6/(da_2-W11),(X6/da_2)*k_2),0)))</f>
        <v>0</v>
      </c>
      <c r="Y7" s="101">
        <f>IF(da_2=0,0,IF(Y6=0,0,IF(L6="Oui",MAX(Y6/(da_2-X11),(Y6/da_2)*k_2),0)))</f>
        <v>0</v>
      </c>
      <c r="Z7" s="101">
        <f>IF(da_2=0,0,IF(Z6=0,0,IF(L6="Oui",MAX(Z6/(da_2-Y11),(Z6/da_2)*k_2),0)))</f>
        <v>0</v>
      </c>
      <c r="AA7" s="101">
        <f>IF(da_2=0,0,IF(AA6=0,0,IF(L6="Oui",MAX(AA6/(da_2-Z11),(AA6/da_2)*k_2),0)))</f>
        <v>0</v>
      </c>
      <c r="AB7" s="1"/>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57" ht="3" customHeight="1" x14ac:dyDescent="0.25"/>
    <row r="9" spans="2:57" s="5" customFormat="1" ht="15" customHeight="1" x14ac:dyDescent="0.3">
      <c r="B9" s="253" t="str">
        <f>IF(AND(ISBLANK(UM),a_2&gt;0),"renseigner l'unité monétaire retenue dans l'onglet du 1er projet"," ")</f>
        <v xml:space="preserve"> </v>
      </c>
      <c r="C9" s="253"/>
      <c r="D9" s="253"/>
      <c r="E9" s="253"/>
      <c r="F9" s="253"/>
      <c r="H9" s="219" t="str">
        <f>IF(AND(L6="Oui",L7&gt;d_2),"la durée d'amortissement ne peut pas être &gt; à la durée d'utilisation"," ")</f>
        <v xml:space="preserve"> </v>
      </c>
      <c r="I9" s="219"/>
      <c r="J9" s="219"/>
      <c r="K9" s="219"/>
      <c r="L9" s="219"/>
      <c r="M9" s="219"/>
      <c r="O9" s="1"/>
      <c r="P9" s="1"/>
      <c r="Q9" s="1"/>
      <c r="R9" s="1"/>
      <c r="S9" s="1"/>
      <c r="T9" s="1"/>
      <c r="U9" s="1"/>
      <c r="V9" s="1"/>
      <c r="W9" s="1"/>
      <c r="X9" s="1"/>
      <c r="Y9" s="1"/>
      <c r="Z9" s="1"/>
      <c r="AA9" s="1"/>
      <c r="AB9" s="1"/>
      <c r="AG9" s="1"/>
      <c r="AH9" s="1"/>
      <c r="AI9" s="1"/>
      <c r="AJ9" s="1"/>
      <c r="AK9" s="1"/>
      <c r="AL9" s="1"/>
      <c r="AM9" s="1"/>
      <c r="AN9" s="1"/>
      <c r="AO9" s="1"/>
      <c r="AP9" s="1"/>
      <c r="AQ9" s="1"/>
      <c r="AR9" s="1"/>
      <c r="AS9" s="1"/>
      <c r="AT9" s="1"/>
      <c r="AU9" s="1"/>
      <c r="AV9" s="1"/>
      <c r="AW9" s="1"/>
      <c r="AX9" s="1"/>
      <c r="AY9" s="1"/>
      <c r="AZ9" s="1"/>
      <c r="BA9" s="1"/>
      <c r="BB9" s="1"/>
      <c r="BC9" s="1"/>
      <c r="BD9" s="1"/>
      <c r="BE9" s="1"/>
    </row>
    <row r="10" spans="2:57" ht="3" customHeight="1" x14ac:dyDescent="0.25"/>
    <row r="11" spans="2:57" s="1" customFormat="1" ht="21.9" customHeight="1" x14ac:dyDescent="0.3">
      <c r="B11" s="204" t="s">
        <v>42</v>
      </c>
      <c r="C11" s="205"/>
      <c r="D11" s="205"/>
      <c r="E11" s="136" t="s">
        <v>58</v>
      </c>
      <c r="F11" s="137" t="str">
        <f>IF(ISBLANK(UM)," ",UM)</f>
        <v>€</v>
      </c>
      <c r="H11" s="187" t="s">
        <v>61</v>
      </c>
      <c r="I11" s="188"/>
      <c r="J11" s="188"/>
      <c r="K11" s="188"/>
      <c r="L11" s="138" t="str">
        <f>IF(ISBLANK(UM)," ",UM)</f>
        <v>€</v>
      </c>
      <c r="M11" s="140">
        <v>1</v>
      </c>
      <c r="N11" s="141">
        <v>2</v>
      </c>
      <c r="O11" s="141">
        <v>3</v>
      </c>
      <c r="P11" s="141">
        <v>4</v>
      </c>
      <c r="Q11" s="141">
        <v>5</v>
      </c>
      <c r="R11" s="141">
        <v>6</v>
      </c>
      <c r="S11" s="141">
        <v>7</v>
      </c>
      <c r="T11" s="141">
        <v>8</v>
      </c>
      <c r="U11" s="141">
        <v>9</v>
      </c>
      <c r="V11" s="141">
        <v>10</v>
      </c>
      <c r="W11" s="141">
        <v>11</v>
      </c>
      <c r="X11" s="141">
        <v>12</v>
      </c>
      <c r="Y11" s="141">
        <v>13</v>
      </c>
      <c r="Z11" s="141">
        <v>14</v>
      </c>
      <c r="AA11" s="142">
        <v>15</v>
      </c>
      <c r="AB11" s="139" t="s">
        <v>0</v>
      </c>
    </row>
    <row r="12" spans="2:57" s="1" customFormat="1" ht="21.9" customHeight="1" x14ac:dyDescent="0.3">
      <c r="B12" s="200" t="s">
        <v>46</v>
      </c>
      <c r="C12" s="201"/>
      <c r="D12" s="201"/>
      <c r="E12" s="202"/>
      <c r="F12" s="50"/>
      <c r="H12" s="236" t="s">
        <v>34</v>
      </c>
      <c r="I12" s="237"/>
      <c r="J12" s="237"/>
      <c r="K12" s="237"/>
      <c r="L12" s="237"/>
      <c r="M12" s="86"/>
      <c r="N12" s="86"/>
      <c r="O12" s="86"/>
      <c r="P12" s="86"/>
      <c r="Q12" s="86"/>
      <c r="R12" s="86"/>
      <c r="S12" s="86"/>
      <c r="T12" s="86"/>
      <c r="U12" s="86"/>
      <c r="V12" s="86"/>
      <c r="W12" s="87"/>
      <c r="X12" s="86"/>
      <c r="Y12" s="86"/>
      <c r="Z12" s="86"/>
      <c r="AA12" s="88"/>
      <c r="AB12" s="89">
        <f>SUM(M12:AA12)</f>
        <v>0</v>
      </c>
    </row>
    <row r="13" spans="2:57" s="1" customFormat="1" ht="21.9" customHeight="1" x14ac:dyDescent="0.3">
      <c r="B13" s="184" t="s">
        <v>47</v>
      </c>
      <c r="C13" s="185"/>
      <c r="D13" s="185"/>
      <c r="E13" s="186"/>
      <c r="F13" s="51"/>
      <c r="H13" s="238" t="s">
        <v>9</v>
      </c>
      <c r="I13" s="239"/>
      <c r="J13" s="239"/>
      <c r="K13" s="239"/>
      <c r="L13" s="239"/>
      <c r="M13" s="90"/>
      <c r="N13" s="90"/>
      <c r="O13" s="90"/>
      <c r="P13" s="90"/>
      <c r="Q13" s="90"/>
      <c r="R13" s="90"/>
      <c r="S13" s="90"/>
      <c r="T13" s="90"/>
      <c r="U13" s="90"/>
      <c r="V13" s="90"/>
      <c r="W13" s="91"/>
      <c r="X13" s="90"/>
      <c r="Y13" s="90"/>
      <c r="Z13" s="90"/>
      <c r="AA13" s="92"/>
      <c r="AB13" s="93">
        <f>SUM(M13:AA13)</f>
        <v>0</v>
      </c>
    </row>
    <row r="14" spans="2:57" s="1" customFormat="1" ht="21.9" customHeight="1" x14ac:dyDescent="0.3">
      <c r="B14" s="184" t="s">
        <v>48</v>
      </c>
      <c r="C14" s="185"/>
      <c r="D14" s="185"/>
      <c r="E14" s="186"/>
      <c r="F14" s="51"/>
      <c r="H14" s="221" t="s">
        <v>22</v>
      </c>
      <c r="I14" s="222"/>
      <c r="J14" s="222"/>
      <c r="K14" s="222"/>
      <c r="L14" s="222"/>
      <c r="M14" s="94">
        <f t="shared" ref="M14:AB14" si="6">SUM(M12:M13)</f>
        <v>0</v>
      </c>
      <c r="N14" s="94">
        <f t="shared" si="6"/>
        <v>0</v>
      </c>
      <c r="O14" s="94">
        <f t="shared" si="6"/>
        <v>0</v>
      </c>
      <c r="P14" s="94">
        <f t="shared" si="6"/>
        <v>0</v>
      </c>
      <c r="Q14" s="94">
        <f t="shared" si="6"/>
        <v>0</v>
      </c>
      <c r="R14" s="94">
        <f t="shared" si="6"/>
        <v>0</v>
      </c>
      <c r="S14" s="94">
        <f t="shared" si="6"/>
        <v>0</v>
      </c>
      <c r="T14" s="94">
        <f t="shared" si="6"/>
        <v>0</v>
      </c>
      <c r="U14" s="94">
        <f t="shared" si="6"/>
        <v>0</v>
      </c>
      <c r="V14" s="94">
        <f t="shared" si="6"/>
        <v>0</v>
      </c>
      <c r="W14" s="95">
        <f t="shared" ref="W14:AA14" si="7">SUM(W12:W13)</f>
        <v>0</v>
      </c>
      <c r="X14" s="94">
        <f t="shared" si="7"/>
        <v>0</v>
      </c>
      <c r="Y14" s="94">
        <f t="shared" si="7"/>
        <v>0</v>
      </c>
      <c r="Z14" s="94">
        <f t="shared" si="7"/>
        <v>0</v>
      </c>
      <c r="AA14" s="96">
        <f t="shared" si="7"/>
        <v>0</v>
      </c>
      <c r="AB14" s="96">
        <f t="shared" si="6"/>
        <v>0</v>
      </c>
    </row>
    <row r="15" spans="2:57" s="1" customFormat="1" ht="21.9" customHeight="1" x14ac:dyDescent="0.3">
      <c r="B15" s="184" t="s">
        <v>49</v>
      </c>
      <c r="C15" s="185"/>
      <c r="D15" s="185"/>
      <c r="E15" s="203"/>
      <c r="F15" s="51"/>
      <c r="H15" s="212" t="s">
        <v>8</v>
      </c>
      <c r="I15" s="213"/>
      <c r="J15" s="213"/>
      <c r="K15" s="213"/>
      <c r="L15" s="213"/>
      <c r="M15" s="65"/>
      <c r="N15" s="65"/>
      <c r="O15" s="65"/>
      <c r="P15" s="65"/>
      <c r="Q15" s="65"/>
      <c r="R15" s="65"/>
      <c r="S15" s="65"/>
      <c r="T15" s="65"/>
      <c r="U15" s="65"/>
      <c r="V15" s="65"/>
      <c r="W15" s="66"/>
      <c r="X15" s="65"/>
      <c r="Y15" s="65"/>
      <c r="Z15" s="65"/>
      <c r="AA15" s="67"/>
      <c r="AB15" s="68">
        <f t="shared" ref="AB15:AB23" si="8">SUM(M15:AA15)</f>
        <v>0</v>
      </c>
    </row>
    <row r="16" spans="2:57" s="1" customFormat="1" ht="21.9" customHeight="1" x14ac:dyDescent="0.3">
      <c r="B16" s="184" t="s">
        <v>50</v>
      </c>
      <c r="C16" s="185"/>
      <c r="D16" s="185"/>
      <c r="E16" s="186"/>
      <c r="F16" s="51"/>
      <c r="H16" s="206" t="s">
        <v>1</v>
      </c>
      <c r="I16" s="207"/>
      <c r="J16" s="207"/>
      <c r="K16" s="207"/>
      <c r="L16" s="207"/>
      <c r="M16" s="69"/>
      <c r="N16" s="69"/>
      <c r="O16" s="69"/>
      <c r="P16" s="69"/>
      <c r="Q16" s="69"/>
      <c r="R16" s="69"/>
      <c r="S16" s="69"/>
      <c r="T16" s="69"/>
      <c r="U16" s="69"/>
      <c r="V16" s="69"/>
      <c r="W16" s="70"/>
      <c r="X16" s="69"/>
      <c r="Y16" s="69"/>
      <c r="Z16" s="69"/>
      <c r="AA16" s="71"/>
      <c r="AB16" s="72">
        <f t="shared" si="8"/>
        <v>0</v>
      </c>
    </row>
    <row r="17" spans="2:57" s="1" customFormat="1" ht="21.9" customHeight="1" x14ac:dyDescent="0.3">
      <c r="B17" s="184" t="s">
        <v>51</v>
      </c>
      <c r="C17" s="185"/>
      <c r="D17" s="185"/>
      <c r="E17" s="186"/>
      <c r="F17" s="51"/>
      <c r="H17" s="206" t="s">
        <v>2</v>
      </c>
      <c r="I17" s="207"/>
      <c r="J17" s="207"/>
      <c r="K17" s="207"/>
      <c r="L17" s="207"/>
      <c r="M17" s="69"/>
      <c r="N17" s="69"/>
      <c r="O17" s="69"/>
      <c r="P17" s="69"/>
      <c r="Q17" s="69"/>
      <c r="R17" s="69"/>
      <c r="S17" s="69"/>
      <c r="T17" s="69"/>
      <c r="U17" s="69"/>
      <c r="V17" s="69"/>
      <c r="W17" s="70"/>
      <c r="X17" s="69"/>
      <c r="Y17" s="69"/>
      <c r="Z17" s="69"/>
      <c r="AA17" s="71"/>
      <c r="AB17" s="72">
        <f t="shared" si="8"/>
        <v>0</v>
      </c>
    </row>
    <row r="18" spans="2:57" s="1" customFormat="1" ht="21.9" customHeight="1" x14ac:dyDescent="0.3">
      <c r="B18" s="184" t="s">
        <v>52</v>
      </c>
      <c r="C18" s="185"/>
      <c r="D18" s="185"/>
      <c r="E18" s="186"/>
      <c r="F18" s="51"/>
      <c r="H18" s="206" t="s">
        <v>7</v>
      </c>
      <c r="I18" s="207"/>
      <c r="J18" s="207"/>
      <c r="K18" s="207"/>
      <c r="L18" s="207"/>
      <c r="M18" s="97"/>
      <c r="N18" s="69"/>
      <c r="O18" s="69"/>
      <c r="P18" s="69"/>
      <c r="Q18" s="69"/>
      <c r="R18" s="69"/>
      <c r="S18" s="69"/>
      <c r="T18" s="69"/>
      <c r="U18" s="69"/>
      <c r="V18" s="69"/>
      <c r="W18" s="70"/>
      <c r="X18" s="69"/>
      <c r="Y18" s="69"/>
      <c r="Z18" s="69"/>
      <c r="AA18" s="71"/>
      <c r="AB18" s="72">
        <f t="shared" si="8"/>
        <v>0</v>
      </c>
    </row>
    <row r="19" spans="2:57" s="1" customFormat="1" ht="21.9" customHeight="1" x14ac:dyDescent="0.3">
      <c r="B19" s="184" t="s">
        <v>53</v>
      </c>
      <c r="C19" s="185"/>
      <c r="D19" s="185"/>
      <c r="E19" s="186"/>
      <c r="F19" s="51"/>
      <c r="H19" s="206" t="s">
        <v>11</v>
      </c>
      <c r="I19" s="207"/>
      <c r="J19" s="207"/>
      <c r="K19" s="207"/>
      <c r="L19" s="207"/>
      <c r="M19" s="69"/>
      <c r="N19" s="69"/>
      <c r="O19" s="69"/>
      <c r="P19" s="69"/>
      <c r="Q19" s="69"/>
      <c r="R19" s="69"/>
      <c r="S19" s="69"/>
      <c r="T19" s="69"/>
      <c r="U19" s="69"/>
      <c r="V19" s="69"/>
      <c r="W19" s="70"/>
      <c r="X19" s="69"/>
      <c r="Y19" s="69"/>
      <c r="Z19" s="69"/>
      <c r="AA19" s="71"/>
      <c r="AB19" s="72">
        <f t="shared" si="8"/>
        <v>0</v>
      </c>
    </row>
    <row r="20" spans="2:57" s="1" customFormat="1" ht="21.9" customHeight="1" x14ac:dyDescent="0.3">
      <c r="B20" s="184"/>
      <c r="C20" s="185"/>
      <c r="D20" s="185"/>
      <c r="E20" s="186"/>
      <c r="F20" s="51"/>
      <c r="H20" s="206" t="s">
        <v>12</v>
      </c>
      <c r="I20" s="207"/>
      <c r="J20" s="207"/>
      <c r="K20" s="207"/>
      <c r="L20" s="207"/>
      <c r="M20" s="69"/>
      <c r="N20" s="69"/>
      <c r="O20" s="69"/>
      <c r="P20" s="69"/>
      <c r="Q20" s="69"/>
      <c r="R20" s="69"/>
      <c r="S20" s="69"/>
      <c r="T20" s="69"/>
      <c r="U20" s="69"/>
      <c r="V20" s="69"/>
      <c r="W20" s="70"/>
      <c r="X20" s="69"/>
      <c r="Y20" s="69"/>
      <c r="Z20" s="69"/>
      <c r="AA20" s="71"/>
      <c r="AB20" s="72">
        <f t="shared" si="8"/>
        <v>0</v>
      </c>
    </row>
    <row r="21" spans="2:57" s="1" customFormat="1" ht="21.9" customHeight="1" x14ac:dyDescent="0.3">
      <c r="B21" s="184"/>
      <c r="C21" s="185"/>
      <c r="D21" s="185"/>
      <c r="E21" s="186"/>
      <c r="F21" s="51"/>
      <c r="H21" s="206" t="s">
        <v>10</v>
      </c>
      <c r="I21" s="207"/>
      <c r="J21" s="207"/>
      <c r="K21" s="207"/>
      <c r="L21" s="207"/>
      <c r="M21" s="73">
        <f t="shared" ref="M21:V21" si="9">IF(M11&gt;d_2,0,a_2/d_2)</f>
        <v>0</v>
      </c>
      <c r="N21" s="73">
        <f t="shared" si="9"/>
        <v>0</v>
      </c>
      <c r="O21" s="73">
        <f t="shared" si="9"/>
        <v>0</v>
      </c>
      <c r="P21" s="73">
        <f t="shared" si="9"/>
        <v>0</v>
      </c>
      <c r="Q21" s="73">
        <f t="shared" si="9"/>
        <v>0</v>
      </c>
      <c r="R21" s="73">
        <f t="shared" si="9"/>
        <v>0</v>
      </c>
      <c r="S21" s="73">
        <f t="shared" si="9"/>
        <v>0</v>
      </c>
      <c r="T21" s="73">
        <f t="shared" si="9"/>
        <v>0</v>
      </c>
      <c r="U21" s="73">
        <f t="shared" si="9"/>
        <v>0</v>
      </c>
      <c r="V21" s="73">
        <f t="shared" si="9"/>
        <v>0</v>
      </c>
      <c r="W21" s="74">
        <f t="shared" ref="W21:AA21" si="10">IF(W11&gt;d_2,0,a_2/d_2)</f>
        <v>0</v>
      </c>
      <c r="X21" s="73">
        <f t="shared" si="10"/>
        <v>0</v>
      </c>
      <c r="Y21" s="73">
        <f t="shared" si="10"/>
        <v>0</v>
      </c>
      <c r="Z21" s="73">
        <f t="shared" si="10"/>
        <v>0</v>
      </c>
      <c r="AA21" s="75">
        <f t="shared" si="10"/>
        <v>0</v>
      </c>
      <c r="AB21" s="68">
        <f t="shared" si="8"/>
        <v>0</v>
      </c>
    </row>
    <row r="22" spans="2:57" s="1" customFormat="1" ht="21.9" customHeight="1" x14ac:dyDescent="0.3">
      <c r="B22" s="243"/>
      <c r="C22" s="244"/>
      <c r="D22" s="244"/>
      <c r="E22" s="245"/>
      <c r="F22" s="51"/>
      <c r="H22" s="76" t="s">
        <v>21</v>
      </c>
      <c r="I22" s="77"/>
      <c r="J22" s="77"/>
      <c r="K22" s="233">
        <f>IF(da_2&lt;3,0,IF(da_2&lt;5,1.25,IF(da_2&lt;6.67,1.75,2.25)))</f>
        <v>0</v>
      </c>
      <c r="L22" s="233"/>
      <c r="M22" s="78">
        <f>IF(L6="Oui",M7-M21,0)</f>
        <v>0</v>
      </c>
      <c r="N22" s="78">
        <f>IF(L6="Oui",N7-N21,0)</f>
        <v>0</v>
      </c>
      <c r="O22" s="78">
        <f>IF(L6="Oui",O7-O21,0)</f>
        <v>0</v>
      </c>
      <c r="P22" s="78">
        <f>IF(L6="Oui",P7-P21,0)</f>
        <v>0</v>
      </c>
      <c r="Q22" s="78">
        <f>IF(L6="Oui",Q7-Q21,0)</f>
        <v>0</v>
      </c>
      <c r="R22" s="78">
        <f>IF(L6="Oui",R7-R21,0)</f>
        <v>0</v>
      </c>
      <c r="S22" s="78">
        <f>IF(L6="Oui",S7-S21,0)</f>
        <v>0</v>
      </c>
      <c r="T22" s="78">
        <f>IF(L6="Oui",T7-T21,0)</f>
        <v>0</v>
      </c>
      <c r="U22" s="78">
        <f>IF(L6="Oui",U7-U21,0)</f>
        <v>0</v>
      </c>
      <c r="V22" s="78">
        <f>IF(L6="Oui",V7-V21,0)</f>
        <v>0</v>
      </c>
      <c r="W22" s="79">
        <f>IF(Q6="Oui",W7-W21,0)</f>
        <v>0</v>
      </c>
      <c r="X22" s="78">
        <f>IF(Q6="Oui",X7-X21,0)</f>
        <v>0</v>
      </c>
      <c r="Y22" s="78">
        <f>IF(Q6="Oui",Y7-Y21,0)</f>
        <v>0</v>
      </c>
      <c r="Z22" s="78">
        <f>IF(Q6="Oui",Z7-Z21,0)</f>
        <v>0</v>
      </c>
      <c r="AA22" s="80">
        <f>IF(Q6="Oui",AA7-AA21,0)</f>
        <v>0</v>
      </c>
      <c r="AB22" s="72">
        <f t="shared" si="8"/>
        <v>0</v>
      </c>
    </row>
    <row r="23" spans="2:57" s="1" customFormat="1" ht="21.9" customHeight="1" x14ac:dyDescent="0.3">
      <c r="B23" s="240" t="s">
        <v>54</v>
      </c>
      <c r="C23" s="241"/>
      <c r="D23" s="241"/>
      <c r="E23" s="242"/>
      <c r="F23" s="51"/>
      <c r="H23" s="234" t="s">
        <v>37</v>
      </c>
      <c r="I23" s="235"/>
      <c r="J23" s="235"/>
      <c r="K23" s="151" t="s">
        <v>36</v>
      </c>
      <c r="L23" s="150"/>
      <c r="M23" s="73">
        <f t="shared" ref="M23:V23" si="11">ROUND(IF(M14&gt;SUM(M15:M22),(M14-SUM(M15:M22))*$L$23,0),2)</f>
        <v>0</v>
      </c>
      <c r="N23" s="81">
        <f t="shared" si="11"/>
        <v>0</v>
      </c>
      <c r="O23" s="73">
        <f t="shared" si="11"/>
        <v>0</v>
      </c>
      <c r="P23" s="73">
        <f t="shared" si="11"/>
        <v>0</v>
      </c>
      <c r="Q23" s="73">
        <f t="shared" si="11"/>
        <v>0</v>
      </c>
      <c r="R23" s="73">
        <f t="shared" si="11"/>
        <v>0</v>
      </c>
      <c r="S23" s="73">
        <f t="shared" si="11"/>
        <v>0</v>
      </c>
      <c r="T23" s="73">
        <f t="shared" si="11"/>
        <v>0</v>
      </c>
      <c r="U23" s="73">
        <f t="shared" si="11"/>
        <v>0</v>
      </c>
      <c r="V23" s="73">
        <f t="shared" si="11"/>
        <v>0</v>
      </c>
      <c r="W23" s="74">
        <f t="shared" ref="W23:AA23" si="12">ROUND(IF(W14&gt;SUM(W15:W22),(W14-SUM(W15:W22))*$L$23,0),2)</f>
        <v>0</v>
      </c>
      <c r="X23" s="73">
        <f t="shared" si="12"/>
        <v>0</v>
      </c>
      <c r="Y23" s="73">
        <f t="shared" si="12"/>
        <v>0</v>
      </c>
      <c r="Z23" s="73">
        <f t="shared" si="12"/>
        <v>0</v>
      </c>
      <c r="AA23" s="75">
        <f t="shared" si="12"/>
        <v>0</v>
      </c>
      <c r="AB23" s="68">
        <f t="shared" si="8"/>
        <v>0</v>
      </c>
    </row>
    <row r="24" spans="2:57" s="1" customFormat="1" ht="21.9" customHeight="1" x14ac:dyDescent="0.3">
      <c r="B24" s="230" t="s">
        <v>55</v>
      </c>
      <c r="C24" s="185"/>
      <c r="D24" s="185"/>
      <c r="E24" s="186"/>
      <c r="F24" s="51"/>
      <c r="H24" s="246" t="s">
        <v>23</v>
      </c>
      <c r="I24" s="247"/>
      <c r="J24" s="247"/>
      <c r="K24" s="247"/>
      <c r="L24" s="247"/>
      <c r="M24" s="82">
        <f t="shared" ref="M24:AB24" si="13">SUM(M15:M23)</f>
        <v>0</v>
      </c>
      <c r="N24" s="83">
        <f t="shared" si="13"/>
        <v>0</v>
      </c>
      <c r="O24" s="83">
        <f t="shared" si="13"/>
        <v>0</v>
      </c>
      <c r="P24" s="83">
        <f t="shared" si="13"/>
        <v>0</v>
      </c>
      <c r="Q24" s="83">
        <f t="shared" si="13"/>
        <v>0</v>
      </c>
      <c r="R24" s="83">
        <f t="shared" si="13"/>
        <v>0</v>
      </c>
      <c r="S24" s="83">
        <f t="shared" si="13"/>
        <v>0</v>
      </c>
      <c r="T24" s="83">
        <f t="shared" si="13"/>
        <v>0</v>
      </c>
      <c r="U24" s="83">
        <f t="shared" si="13"/>
        <v>0</v>
      </c>
      <c r="V24" s="83">
        <f t="shared" si="13"/>
        <v>0</v>
      </c>
      <c r="W24" s="84">
        <f t="shared" ref="W24:AA24" si="14">SUM(W15:W23)</f>
        <v>0</v>
      </c>
      <c r="X24" s="83">
        <f t="shared" si="14"/>
        <v>0</v>
      </c>
      <c r="Y24" s="83">
        <f t="shared" si="14"/>
        <v>0</v>
      </c>
      <c r="Z24" s="83">
        <f t="shared" si="14"/>
        <v>0</v>
      </c>
      <c r="AA24" s="85">
        <f t="shared" si="14"/>
        <v>0</v>
      </c>
      <c r="AB24" s="85">
        <f t="shared" si="13"/>
        <v>0</v>
      </c>
    </row>
    <row r="25" spans="2:57" s="1" customFormat="1" ht="21.9" customHeight="1" x14ac:dyDescent="0.3">
      <c r="B25" s="189"/>
      <c r="C25" s="190"/>
      <c r="D25" s="190"/>
      <c r="E25" s="191"/>
      <c r="F25" s="50"/>
      <c r="H25" s="248" t="s">
        <v>3</v>
      </c>
      <c r="I25" s="249"/>
      <c r="J25" s="249"/>
      <c r="K25" s="115" t="str">
        <f>IF(ISBLANK(UM)," ",UM)</f>
        <v>€</v>
      </c>
      <c r="L25" s="116">
        <f>-a_2</f>
        <v>0</v>
      </c>
      <c r="M25" s="117">
        <f t="shared" ref="M25:V25" si="15">M14-M24+M21+M22</f>
        <v>0</v>
      </c>
      <c r="N25" s="118">
        <f t="shared" si="15"/>
        <v>0</v>
      </c>
      <c r="O25" s="118">
        <f t="shared" si="15"/>
        <v>0</v>
      </c>
      <c r="P25" s="118">
        <f t="shared" si="15"/>
        <v>0</v>
      </c>
      <c r="Q25" s="118">
        <f t="shared" si="15"/>
        <v>0</v>
      </c>
      <c r="R25" s="118">
        <f t="shared" si="15"/>
        <v>0</v>
      </c>
      <c r="S25" s="118">
        <f t="shared" si="15"/>
        <v>0</v>
      </c>
      <c r="T25" s="118">
        <f t="shared" si="15"/>
        <v>0</v>
      </c>
      <c r="U25" s="118">
        <f t="shared" si="15"/>
        <v>0</v>
      </c>
      <c r="V25" s="118">
        <f t="shared" si="15"/>
        <v>0</v>
      </c>
      <c r="W25" s="118">
        <f t="shared" ref="W25:AA25" si="16">W14-W24+W21+W22</f>
        <v>0</v>
      </c>
      <c r="X25" s="118">
        <f t="shared" si="16"/>
        <v>0</v>
      </c>
      <c r="Y25" s="118">
        <f t="shared" si="16"/>
        <v>0</v>
      </c>
      <c r="Z25" s="118">
        <f t="shared" si="16"/>
        <v>0</v>
      </c>
      <c r="AA25" s="122">
        <f t="shared" si="16"/>
        <v>0</v>
      </c>
      <c r="AB25" s="127">
        <f>SUM(M25:AA25)</f>
        <v>0</v>
      </c>
      <c r="AG25" s="3"/>
      <c r="AH25" s="3"/>
      <c r="AI25" s="3"/>
      <c r="AJ25" s="3"/>
      <c r="AK25" s="3"/>
      <c r="AO25" s="3"/>
      <c r="AP25" s="3"/>
    </row>
    <row r="26" spans="2:57" s="1" customFormat="1" ht="21.9" customHeight="1" x14ac:dyDescent="0.3">
      <c r="B26" s="228" t="s">
        <v>24</v>
      </c>
      <c r="C26" s="229"/>
      <c r="D26" s="229"/>
      <c r="E26" s="132" t="str">
        <f>IF(ISBLANK(UM)," ",UM)</f>
        <v>€</v>
      </c>
      <c r="F26" s="133">
        <f>SUM(F11:F25)</f>
        <v>0</v>
      </c>
      <c r="H26" s="231" t="s">
        <v>5</v>
      </c>
      <c r="I26" s="232"/>
      <c r="J26" s="232"/>
      <c r="K26" s="144" t="str">
        <f>IF(ISBLANK(UM)," ",UM)</f>
        <v>€</v>
      </c>
      <c r="L26" s="145"/>
      <c r="M26" s="146">
        <f t="shared" ref="M26:V26" si="17">M25/(POWER((1+tx_2),M11))</f>
        <v>0</v>
      </c>
      <c r="N26" s="147">
        <f t="shared" si="17"/>
        <v>0</v>
      </c>
      <c r="O26" s="147">
        <f t="shared" si="17"/>
        <v>0</v>
      </c>
      <c r="P26" s="147">
        <f t="shared" si="17"/>
        <v>0</v>
      </c>
      <c r="Q26" s="147">
        <f t="shared" si="17"/>
        <v>0</v>
      </c>
      <c r="R26" s="147">
        <f t="shared" si="17"/>
        <v>0</v>
      </c>
      <c r="S26" s="147">
        <f t="shared" si="17"/>
        <v>0</v>
      </c>
      <c r="T26" s="147">
        <f t="shared" si="17"/>
        <v>0</v>
      </c>
      <c r="U26" s="147">
        <f t="shared" si="17"/>
        <v>0</v>
      </c>
      <c r="V26" s="147">
        <f t="shared" si="17"/>
        <v>0</v>
      </c>
      <c r="W26" s="147">
        <f t="shared" ref="W26:AA26" si="18">W25/(POWER((1+tx_2),W11))</f>
        <v>0</v>
      </c>
      <c r="X26" s="147">
        <f t="shared" si="18"/>
        <v>0</v>
      </c>
      <c r="Y26" s="147">
        <f t="shared" si="18"/>
        <v>0</v>
      </c>
      <c r="Z26" s="147">
        <f t="shared" si="18"/>
        <v>0</v>
      </c>
      <c r="AA26" s="148">
        <f t="shared" si="18"/>
        <v>0</v>
      </c>
      <c r="AB26" s="149">
        <f>SUM(M26:AA26)</f>
        <v>0</v>
      </c>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row>
    <row r="27" spans="2:57" ht="6" customHeight="1" x14ac:dyDescent="0.3">
      <c r="H27" s="1"/>
      <c r="I27" s="1"/>
      <c r="J27" s="1"/>
      <c r="K27" s="1"/>
      <c r="L27" s="1"/>
      <c r="M27" s="1"/>
      <c r="N27" s="1"/>
      <c r="O27" s="1"/>
      <c r="P27" s="1"/>
      <c r="Q27" s="1"/>
      <c r="R27" s="1"/>
      <c r="S27" s="1"/>
      <c r="T27" s="1"/>
      <c r="U27" s="1"/>
      <c r="V27" s="1"/>
      <c r="W27" s="1"/>
      <c r="X27" s="1"/>
      <c r="Y27" s="1"/>
      <c r="Z27" s="1"/>
      <c r="AA27" s="1"/>
      <c r="AB27" s="1"/>
    </row>
    <row r="28" spans="2:57" s="3" customFormat="1" ht="21.9" customHeight="1" x14ac:dyDescent="0.3">
      <c r="B28" s="180" t="s">
        <v>64</v>
      </c>
      <c r="C28" s="181"/>
      <c r="D28" s="181"/>
      <c r="E28" s="134" t="str">
        <f>IF(ISBLANK(UM)," ",UM)</f>
        <v>€</v>
      </c>
      <c r="F28" s="135">
        <f>AA28</f>
        <v>0</v>
      </c>
      <c r="G28" s="1"/>
      <c r="H28" s="180" t="s">
        <v>6</v>
      </c>
      <c r="I28" s="181"/>
      <c r="J28" s="181"/>
      <c r="K28" s="128" t="str">
        <f>IF(ISBLANK(UM)," ",UM)</f>
        <v>€</v>
      </c>
      <c r="L28" s="129"/>
      <c r="M28" s="130">
        <f>M26</f>
        <v>0</v>
      </c>
      <c r="N28" s="130">
        <f t="shared" ref="N28:V28" si="19">M28+N26</f>
        <v>0</v>
      </c>
      <c r="O28" s="130">
        <f t="shared" si="19"/>
        <v>0</v>
      </c>
      <c r="P28" s="130">
        <f t="shared" si="19"/>
        <v>0</v>
      </c>
      <c r="Q28" s="130">
        <f t="shared" si="19"/>
        <v>0</v>
      </c>
      <c r="R28" s="130">
        <f t="shared" si="19"/>
        <v>0</v>
      </c>
      <c r="S28" s="130">
        <f t="shared" si="19"/>
        <v>0</v>
      </c>
      <c r="T28" s="130">
        <f t="shared" si="19"/>
        <v>0</v>
      </c>
      <c r="U28" s="130">
        <f t="shared" si="19"/>
        <v>0</v>
      </c>
      <c r="V28" s="130">
        <f t="shared" si="19"/>
        <v>0</v>
      </c>
      <c r="W28" s="130">
        <f t="shared" ref="W28" si="20">V28+W26</f>
        <v>0</v>
      </c>
      <c r="X28" s="130">
        <f t="shared" ref="X28" si="21">W28+X26</f>
        <v>0</v>
      </c>
      <c r="Y28" s="130">
        <f t="shared" ref="Y28" si="22">X28+Y26</f>
        <v>0</v>
      </c>
      <c r="Z28" s="130">
        <f t="shared" ref="Z28" si="23">Y28+Z26</f>
        <v>0</v>
      </c>
      <c r="AA28" s="131">
        <f t="shared" ref="AA28" si="24">Z28+AA26</f>
        <v>0</v>
      </c>
      <c r="AB28" s="106" t="str">
        <f>IF(AB26=AA28,"ok",AB26-AA28)</f>
        <v>ok</v>
      </c>
      <c r="AC28" s="1"/>
      <c r="AD28" s="1"/>
      <c r="AG28" s="1"/>
      <c r="AH28" s="1"/>
      <c r="AI28" s="1"/>
      <c r="AJ28" s="1"/>
      <c r="AK28" s="1"/>
      <c r="AO28" s="1"/>
      <c r="AP28" s="1"/>
    </row>
    <row r="29" spans="2:57" s="3" customFormat="1" ht="6" customHeight="1" x14ac:dyDescent="0.3">
      <c r="G29" s="1"/>
      <c r="H29" s="1"/>
      <c r="I29" s="1"/>
      <c r="J29" s="1"/>
      <c r="K29" s="1"/>
      <c r="L29" s="1"/>
      <c r="M29" s="1"/>
      <c r="N29" s="1"/>
      <c r="O29" s="1"/>
      <c r="P29" s="1"/>
      <c r="Q29" s="1"/>
      <c r="R29" s="1"/>
      <c r="S29" s="1"/>
      <c r="T29" s="1"/>
      <c r="U29" s="1"/>
      <c r="V29" s="1"/>
      <c r="W29" s="1"/>
      <c r="X29" s="1"/>
      <c r="Y29" s="1"/>
      <c r="Z29" s="1"/>
      <c r="AA29" s="1"/>
      <c r="AB29" s="1"/>
      <c r="AC29" s="1"/>
      <c r="AD29" s="1"/>
      <c r="AG29" s="1"/>
      <c r="AH29" s="1"/>
      <c r="AI29" s="1"/>
      <c r="AJ29" s="1"/>
      <c r="AK29" s="1"/>
      <c r="AO29" s="1"/>
      <c r="AP29" s="1"/>
    </row>
    <row r="30" spans="2:57" s="3" customFormat="1" ht="21.9" customHeight="1" x14ac:dyDescent="0.3">
      <c r="B30" s="182" t="s">
        <v>57</v>
      </c>
      <c r="C30" s="183"/>
      <c r="D30" s="183"/>
      <c r="E30" s="63" t="str">
        <f>IF(ISBLANK(UM)," ",UM)</f>
        <v>€</v>
      </c>
      <c r="F30" s="64">
        <f>F28-F26</f>
        <v>0</v>
      </c>
      <c r="G30" s="7"/>
      <c r="H30" s="58"/>
      <c r="I30" s="58"/>
      <c r="J30" s="58"/>
      <c r="K30" s="59"/>
      <c r="L30" s="59"/>
      <c r="M30" s="21" t="str">
        <f>IF(a_2=0," ",IF(M28&lt;a_2,0,M11))</f>
        <v xml:space="preserve"> </v>
      </c>
      <c r="N30" s="21" t="str">
        <f t="shared" ref="N30:AB30" si="25">IF(N28&lt;a_2,0,IF(M30&gt;0," ",N11))</f>
        <v xml:space="preserve"> </v>
      </c>
      <c r="O30" s="21" t="str">
        <f t="shared" si="25"/>
        <v xml:space="preserve"> </v>
      </c>
      <c r="P30" s="21" t="str">
        <f t="shared" si="25"/>
        <v xml:space="preserve"> </v>
      </c>
      <c r="Q30" s="21" t="str">
        <f t="shared" si="25"/>
        <v xml:space="preserve"> </v>
      </c>
      <c r="R30" s="21" t="str">
        <f t="shared" si="25"/>
        <v xml:space="preserve"> </v>
      </c>
      <c r="S30" s="21" t="str">
        <f t="shared" si="25"/>
        <v xml:space="preserve"> </v>
      </c>
      <c r="T30" s="21" t="str">
        <f t="shared" si="25"/>
        <v xml:space="preserve"> </v>
      </c>
      <c r="U30" s="21" t="str">
        <f t="shared" si="25"/>
        <v xml:space="preserve"> </v>
      </c>
      <c r="V30" s="21" t="str">
        <f t="shared" si="25"/>
        <v xml:space="preserve"> </v>
      </c>
      <c r="W30" s="21" t="str">
        <f t="shared" si="25"/>
        <v xml:space="preserve"> </v>
      </c>
      <c r="X30" s="21" t="str">
        <f t="shared" si="25"/>
        <v xml:space="preserve"> </v>
      </c>
      <c r="Y30" s="21" t="str">
        <f t="shared" si="25"/>
        <v xml:space="preserve"> </v>
      </c>
      <c r="Z30" s="21" t="str">
        <f t="shared" si="25"/>
        <v xml:space="preserve"> </v>
      </c>
      <c r="AA30" s="21" t="str">
        <f t="shared" si="25"/>
        <v xml:space="preserve"> </v>
      </c>
      <c r="AB30" s="21" t="str">
        <f t="shared" si="25"/>
        <v xml:space="preserve"> </v>
      </c>
      <c r="AC30" s="1"/>
      <c r="AD30" s="1"/>
      <c r="AE30" s="1"/>
      <c r="AF30" s="1"/>
      <c r="AL30" s="1"/>
      <c r="AM30" s="1"/>
      <c r="AN30" s="1"/>
      <c r="AQ30" s="1"/>
      <c r="AR30" s="1"/>
      <c r="AS30" s="1"/>
      <c r="AT30" s="1"/>
      <c r="AU30" s="1"/>
      <c r="AV30" s="1"/>
      <c r="AW30" s="1"/>
      <c r="AX30" s="1"/>
      <c r="AY30" s="1"/>
      <c r="AZ30" s="1"/>
      <c r="BA30" s="1"/>
      <c r="BB30" s="1"/>
      <c r="BC30" s="1"/>
      <c r="BD30" s="1"/>
      <c r="BE30" s="1"/>
    </row>
    <row r="31" spans="2:57" ht="6" customHeight="1" x14ac:dyDescent="0.25"/>
    <row r="32" spans="2:57" ht="21.9" customHeight="1" x14ac:dyDescent="0.25">
      <c r="B32" s="194" t="s">
        <v>62</v>
      </c>
      <c r="C32" s="194"/>
      <c r="D32" s="194"/>
      <c r="E32" s="192">
        <f>SUM(M30:AA30)</f>
        <v>0</v>
      </c>
      <c r="F32" s="193"/>
      <c r="L32" s="38"/>
      <c r="V32" s="38"/>
      <c r="AA32" s="38"/>
      <c r="AB32" s="38"/>
    </row>
    <row r="33" spans="2:6" ht="6" customHeight="1" x14ac:dyDescent="0.3">
      <c r="B33" s="1"/>
      <c r="C33" s="1"/>
      <c r="D33" s="1"/>
      <c r="E33" s="1"/>
      <c r="F33" s="1"/>
    </row>
    <row r="34" spans="2:6" ht="20.100000000000001" customHeight="1" x14ac:dyDescent="0.25">
      <c r="B34" s="250" t="s">
        <v>63</v>
      </c>
      <c r="C34" s="250"/>
      <c r="D34" s="251"/>
      <c r="E34" s="225" t="str">
        <f>IF(a_2=0," ",IRR(L25:AA25))</f>
        <v xml:space="preserve"> </v>
      </c>
      <c r="F34" s="226"/>
    </row>
  </sheetData>
  <sheetProtection algorithmName="SHA-512" hashValue="3MHo0lQjgDhvu5NVaE/GIQo3XxdKdANAey7osddTJoDrrp8cqvWP42vr3+hfL5sikEk8+nvZL65RRdjOqn8Hsw==" saltValue="RG1gpWuvHKwLOlM9QseXXg==" spinCount="100000" sheet="1" formatCells="0" formatColumns="0" formatRows="0" insertColumns="0" insertRows="0" insertHyperlinks="0" deleteColumns="0" deleteRows="0" sort="0" autoFilter="0" pivotTables="0"/>
  <mergeCells count="52">
    <mergeCell ref="M2:R2"/>
    <mergeCell ref="H12:L12"/>
    <mergeCell ref="H13:L13"/>
    <mergeCell ref="J2:K2"/>
    <mergeCell ref="C6:D7"/>
    <mergeCell ref="E6:H7"/>
    <mergeCell ref="I6:I7"/>
    <mergeCell ref="J6:K6"/>
    <mergeCell ref="J7:K7"/>
    <mergeCell ref="B34:D34"/>
    <mergeCell ref="H15:L15"/>
    <mergeCell ref="H24:L24"/>
    <mergeCell ref="H26:J26"/>
    <mergeCell ref="H28:J28"/>
    <mergeCell ref="B22:E22"/>
    <mergeCell ref="B23:E23"/>
    <mergeCell ref="B24:E24"/>
    <mergeCell ref="B16:E16"/>
    <mergeCell ref="B17:E17"/>
    <mergeCell ref="B18:E18"/>
    <mergeCell ref="B19:E19"/>
    <mergeCell ref="E34:F34"/>
    <mergeCell ref="H14:L14"/>
    <mergeCell ref="H21:L21"/>
    <mergeCell ref="H25:J25"/>
    <mergeCell ref="H11:K11"/>
    <mergeCell ref="H9:M9"/>
    <mergeCell ref="H16:L16"/>
    <mergeCell ref="H17:L17"/>
    <mergeCell ref="H18:L18"/>
    <mergeCell ref="H19:L19"/>
    <mergeCell ref="H20:L20"/>
    <mergeCell ref="B30:D30"/>
    <mergeCell ref="B32:D32"/>
    <mergeCell ref="E32:F32"/>
    <mergeCell ref="K22:L22"/>
    <mergeCell ref="H23:J23"/>
    <mergeCell ref="B25:E25"/>
    <mergeCell ref="B26:D26"/>
    <mergeCell ref="B20:E20"/>
    <mergeCell ref="B9:F9"/>
    <mergeCell ref="B1:E1"/>
    <mergeCell ref="C4:E4"/>
    <mergeCell ref="B28:D28"/>
    <mergeCell ref="B14:E14"/>
    <mergeCell ref="B15:E15"/>
    <mergeCell ref="B21:E21"/>
    <mergeCell ref="B11:D11"/>
    <mergeCell ref="B12:E12"/>
    <mergeCell ref="B13:E13"/>
    <mergeCell ref="C2:D2"/>
    <mergeCell ref="F2:H2"/>
  </mergeCells>
  <conditionalFormatting sqref="M6:V7 W7:AA7">
    <cfRule type="cellIs" dxfId="25" priority="53" stopIfTrue="1" operator="equal">
      <formula>0</formula>
    </cfRule>
  </conditionalFormatting>
  <conditionalFormatting sqref="M30:V30">
    <cfRule type="cellIs" dxfId="24" priority="45" operator="equal">
      <formula>0</formula>
    </cfRule>
  </conditionalFormatting>
  <conditionalFormatting sqref="E2">
    <cfRule type="cellIs" dxfId="23" priority="44" operator="equal">
      <formula>0</formula>
    </cfRule>
  </conditionalFormatting>
  <conditionalFormatting sqref="L2">
    <cfRule type="cellIs" dxfId="22" priority="43" operator="equal">
      <formula>0</formula>
    </cfRule>
  </conditionalFormatting>
  <conditionalFormatting sqref="C6:D7">
    <cfRule type="cellIs" dxfId="21" priority="39" operator="equal">
      <formula>0</formula>
    </cfRule>
  </conditionalFormatting>
  <conditionalFormatting sqref="W6:AA6">
    <cfRule type="cellIs" dxfId="20" priority="38" stopIfTrue="1" operator="equal">
      <formula>0</formula>
    </cfRule>
  </conditionalFormatting>
  <conditionalFormatting sqref="W30:AB30">
    <cfRule type="cellIs" dxfId="19" priority="35" operator="equal">
      <formula>0</formula>
    </cfRule>
  </conditionalFormatting>
  <conditionalFormatting sqref="K22">
    <cfRule type="cellIs" dxfId="18" priority="24" operator="equal">
      <formula>0</formula>
    </cfRule>
  </conditionalFormatting>
  <conditionalFormatting sqref="L23">
    <cfRule type="cellIs" dxfId="17" priority="23" operator="equal">
      <formula>0</formula>
    </cfRule>
  </conditionalFormatting>
  <conditionalFormatting sqref="F11">
    <cfRule type="expression" dxfId="16" priority="17">
      <formula>$B$9=1</formula>
    </cfRule>
  </conditionalFormatting>
  <conditionalFormatting sqref="E28">
    <cfRule type="cellIs" dxfId="15" priority="16" stopIfTrue="1" operator="equal">
      <formula>0</formula>
    </cfRule>
  </conditionalFormatting>
  <conditionalFormatting sqref="F28">
    <cfRule type="cellIs" dxfId="14" priority="15" operator="equal">
      <formula>0</formula>
    </cfRule>
  </conditionalFormatting>
  <conditionalFormatting sqref="M11:AA11">
    <cfRule type="cellIs" dxfId="13" priority="14" operator="greaterThan">
      <formula>$I$6</formula>
    </cfRule>
  </conditionalFormatting>
  <conditionalFormatting sqref="L26 L28">
    <cfRule type="cellIs" dxfId="12" priority="13" stopIfTrue="1" operator="equal">
      <formula>0</formula>
    </cfRule>
  </conditionalFormatting>
  <conditionalFormatting sqref="L26:V26 AB26">
    <cfRule type="cellIs" dxfId="11" priority="12" operator="equal">
      <formula>0</formula>
    </cfRule>
  </conditionalFormatting>
  <conditionalFormatting sqref="K26">
    <cfRule type="cellIs" dxfId="10" priority="11" stopIfTrue="1" operator="equal">
      <formula>0</formula>
    </cfRule>
  </conditionalFormatting>
  <conditionalFormatting sqref="K26">
    <cfRule type="cellIs" dxfId="9" priority="10" operator="equal">
      <formula>0</formula>
    </cfRule>
  </conditionalFormatting>
  <conditionalFormatting sqref="K28">
    <cfRule type="cellIs" dxfId="8" priority="9" stopIfTrue="1" operator="equal">
      <formula>0</formula>
    </cfRule>
  </conditionalFormatting>
  <conditionalFormatting sqref="M28:V28">
    <cfRule type="cellIs" dxfId="7" priority="8" operator="equal">
      <formula>0</formula>
    </cfRule>
  </conditionalFormatting>
  <conditionalFormatting sqref="M25:V25 AB25">
    <cfRule type="cellIs" dxfId="6" priority="7" operator="equal">
      <formula>0</formula>
    </cfRule>
  </conditionalFormatting>
  <conditionalFormatting sqref="W26:AA26">
    <cfRule type="cellIs" dxfId="5" priority="6" operator="equal">
      <formula>0</formula>
    </cfRule>
  </conditionalFormatting>
  <conditionalFormatting sqref="W28:AA28">
    <cfRule type="cellIs" dxfId="4" priority="5" operator="equal">
      <formula>0</formula>
    </cfRule>
  </conditionalFormatting>
  <conditionalFormatting sqref="W25:AA25">
    <cfRule type="cellIs" dxfId="3" priority="4" operator="equal">
      <formula>0</formula>
    </cfRule>
  </conditionalFormatting>
  <conditionalFormatting sqref="E32">
    <cfRule type="cellIs" dxfId="2" priority="3" operator="equal">
      <formula>0</formula>
    </cfRule>
  </conditionalFormatting>
  <conditionalFormatting sqref="L7">
    <cfRule type="expression" dxfId="1" priority="2">
      <formula>$L$4=1</formula>
    </cfRule>
  </conditionalFormatting>
  <conditionalFormatting sqref="C4:E4">
    <cfRule type="expression" dxfId="0" priority="1">
      <formula>B4=1</formula>
    </cfRule>
  </conditionalFormatting>
  <dataValidations count="3">
    <dataValidation allowBlank="1" showInputMessage="1" showErrorMessage="1" sqref="F13:F25" xr:uid="{00000000-0002-0000-0300-000000000000}"/>
    <dataValidation type="list" allowBlank="1" showInputMessage="1" showErrorMessage="1" sqref="L6" xr:uid="{00000000-0002-0000-0300-000001000000}">
      <formula1>"Non,Oui"</formula1>
    </dataValidation>
    <dataValidation type="list" allowBlank="1" showInputMessage="1" showErrorMessage="1" sqref="I2" xr:uid="{00000000-0002-0000-0300-000002000000}">
      <formula1>"nul,faible,moyen,élevé"</formula1>
    </dataValidation>
  </dataValidations>
  <pageMargins left="0" right="0" top="0" bottom="0" header="0" footer="0"/>
  <pageSetup paperSize="9" scale="6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38</vt:i4>
      </vt:variant>
    </vt:vector>
  </HeadingPairs>
  <TitlesOfParts>
    <vt:vector size="42" baseType="lpstr">
      <vt:lpstr>Synthèse</vt:lpstr>
      <vt:lpstr>Rentabilité 1er projet</vt:lpstr>
      <vt:lpstr>Rentabilité 2ème projet</vt:lpstr>
      <vt:lpstr>Rentabilité 3ème projet</vt:lpstr>
      <vt:lpstr>_r</vt:lpstr>
      <vt:lpstr>a</vt:lpstr>
      <vt:lpstr>a_1</vt:lpstr>
      <vt:lpstr>a_2</vt:lpstr>
      <vt:lpstr>cf</vt:lpstr>
      <vt:lpstr>cf_1</vt:lpstr>
      <vt:lpstr>cf_2</vt:lpstr>
      <vt:lpstr>cfa</vt:lpstr>
      <vt:lpstr>cfa_1</vt:lpstr>
      <vt:lpstr>cfa_2</vt:lpstr>
      <vt:lpstr>d</vt:lpstr>
      <vt:lpstr>d_1</vt:lpstr>
      <vt:lpstr>d_2</vt:lpstr>
      <vt:lpstr>da</vt:lpstr>
      <vt:lpstr>da_1</vt:lpstr>
      <vt:lpstr>da_2</vt:lpstr>
      <vt:lpstr>k</vt:lpstr>
      <vt:lpstr>k_1</vt:lpstr>
      <vt:lpstr>k_2</vt:lpstr>
      <vt:lpstr>projet_1</vt:lpstr>
      <vt:lpstr>projet_2</vt:lpstr>
      <vt:lpstr>projet_3</vt:lpstr>
      <vt:lpstr>r_1</vt:lpstr>
      <vt:lpstr>r_2</vt:lpstr>
      <vt:lpstr>tb</vt:lpstr>
      <vt:lpstr>tri</vt:lpstr>
      <vt:lpstr>tri_1</vt:lpstr>
      <vt:lpstr>tri_2</vt:lpstr>
      <vt:lpstr>tx</vt:lpstr>
      <vt:lpstr>tx_1</vt:lpstr>
      <vt:lpstr>tx_2</vt:lpstr>
      <vt:lpstr>UM</vt:lpstr>
      <vt:lpstr>va</vt:lpstr>
      <vt:lpstr>va_1</vt:lpstr>
      <vt:lpstr>va_2</vt:lpstr>
      <vt:lpstr>'Rentabilité 1er projet'!Zone_d_impression</vt:lpstr>
      <vt:lpstr>'Rentabilité 2ème projet'!Zone_d_impression</vt:lpstr>
      <vt:lpstr>'Rentabilité 3ème projet'!Zone_d_impression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J. BERGARA</cp:lastModifiedBy>
  <cp:lastPrinted>2017-12-28T18:02:35Z</cp:lastPrinted>
  <dcterms:created xsi:type="dcterms:W3CDTF">1996-10-21T11:03:58Z</dcterms:created>
  <dcterms:modified xsi:type="dcterms:W3CDTF">2020-01-28T11:23:08Z</dcterms:modified>
</cp:coreProperties>
</file>