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omments7.xml" ContentType="application/vnd.openxmlformats-officedocument.spreadsheetml.comments+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autoCompressPictures="0"/>
  <mc:AlternateContent xmlns:mc="http://schemas.openxmlformats.org/markup-compatibility/2006">
    <mc:Choice Requires="x15">
      <x15ac:absPath xmlns:x15ac="http://schemas.microsoft.com/office/spreadsheetml/2010/11/ac" url="D:\Herrikoa\Dossiers de financement\Dossiers HERRIKOA\Dossiers en cours\"/>
    </mc:Choice>
  </mc:AlternateContent>
  <xr:revisionPtr revIDLastSave="0" documentId="13_ncr:1_{5147A54B-F271-4766-A8CE-8D9F5A1A771B}" xr6:coauthVersionLast="43" xr6:coauthVersionMax="43" xr10:uidLastSave="{00000000-0000-0000-0000-000000000000}"/>
  <bookViews>
    <workbookView xWindow="-108" yWindow="-108" windowWidth="23256" windowHeight="12576" tabRatio="572" xr2:uid="{00000000-000D-0000-FFFF-FFFF00000000}"/>
  </bookViews>
  <sheets>
    <sheet name="Accueil" sheetId="8" r:id="rId1"/>
    <sheet name="Préambule" sheetId="12" r:id="rId2"/>
    <sheet name="Créateur(s)" sheetId="9" r:id="rId3"/>
    <sheet name="Projet" sheetId="13" r:id="rId4"/>
    <sheet name="Chiffre d'affaires" sheetId="7" r:id="rId5"/>
    <sheet name="Moyens d'exploitation" sheetId="17" r:id="rId6"/>
    <sheet name="Compte de résulat prévisionnel" sheetId="1" r:id="rId7"/>
    <sheet name="Bfr" sheetId="6" r:id="rId8"/>
    <sheet name="Plan de financement" sheetId="16" r:id="rId9"/>
    <sheet name="Budget de trésorerie" sheetId="24" r:id="rId10"/>
    <sheet name="Synthèse" sheetId="23" r:id="rId11"/>
    <sheet name="Simulations" sheetId="22" r:id="rId12"/>
    <sheet name="tableaux d'emprunts" sheetId="20" r:id="rId13"/>
    <sheet name="Comprendre" sheetId="11" r:id="rId14"/>
    <sheet name="Cotation" sheetId="18" r:id="rId15"/>
    <sheet name="Avis comité technique" sheetId="25" r:id="rId16"/>
  </sheets>
  <definedNames>
    <definedName name="_xlnm._FilterDatabase" localSheetId="4" hidden="1">'Chiffre d''affaires'!$C$23:$P$23</definedName>
    <definedName name="_xlnm._FilterDatabase" localSheetId="14" hidden="1">Cotation!$K$8:$K$8</definedName>
    <definedName name="activité">'Compte de résulat prévisionnel'!$C$6</definedName>
    <definedName name="amort_1">'Moyens d''exploitation'!$N$48</definedName>
    <definedName name="amort_2">'Moyens d''exploitation'!$Q$48</definedName>
    <definedName name="amort_3">'Moyens d''exploitation'!$S$48</definedName>
    <definedName name="annuité_emprunt1">'tableaux d''emprunts'!$M$6</definedName>
    <definedName name="annuité_emprunt2">'tableaux d''emprunts'!$S$6</definedName>
    <definedName name="annuité_emprunt3">'tableaux d''emprunts'!$Y$6</definedName>
    <definedName name="annuité_emprunt4">'tableaux d''emprunts'!$AE$6</definedName>
    <definedName name="annuité_emprunt5">'tableaux d''emprunts'!$AK$6</definedName>
    <definedName name="apport_capital0">'Plan de financement'!$J$44</definedName>
    <definedName name="apport_capital1">'Plan de financement'!$M$44</definedName>
    <definedName name="apport_capital2">'Plan de financement'!$N$44</definedName>
    <definedName name="apport_capital3">'Plan de financement'!$O$44</definedName>
    <definedName name="apport_nature">'Moyens d''exploitation'!$K$53</definedName>
    <definedName name="Besoin_Initial">'Plan de financement'!$J$19</definedName>
    <definedName name="Besoin_N1">'Plan de financement'!$M$19</definedName>
    <definedName name="Besoin_N2">'Plan de financement'!$N$19</definedName>
    <definedName name="Besoin_N3">'Plan de financement'!$O$19</definedName>
    <definedName name="BFR_1">Bfr!$E$75</definedName>
    <definedName name="BFR_2">Bfr!$I$75</definedName>
    <definedName name="BFR_3">Bfr!$M$75</definedName>
    <definedName name="ca_1">'Chiffre d''affaires'!$C$8</definedName>
    <definedName name="ca_2">'Chiffre d''affaires'!$F$8</definedName>
    <definedName name="ca_3">'Chiffre d''affaires'!$I$8</definedName>
    <definedName name="caf_1">'Compte de résulat prévisionnel'!$G$63</definedName>
    <definedName name="caf_1_révisé">Simulations!$H$17</definedName>
    <definedName name="caf_2">'Compte de résulat prévisionnel'!$J$63</definedName>
    <definedName name="caf_2_révisé">Simulations!$P$17</definedName>
    <definedName name="caf_3">'Compte de résulat prévisionnel'!$M$63</definedName>
    <definedName name="caf_3_révisé">Simulations!$X$17</definedName>
    <definedName name="cc.bloqué_0">'Plan de financement'!$J$87</definedName>
    <definedName name="cc.bloqué_1">'Plan de financement'!$M$87</definedName>
    <definedName name="cc.bloqué_2">'Plan de financement'!$N$87</definedName>
    <definedName name="cc.bloqué_3">'Plan de financement'!$O$87</definedName>
    <definedName name="ch.variables_1">'Compte de résulat prévisionnel'!$G$65</definedName>
    <definedName name="ch.variables_2">'Compte de résulat prévisionnel'!$J$65</definedName>
    <definedName name="ch.variables_3">'Compte de résulat prévisionnel'!$M$65</definedName>
    <definedName name="client_1">Bfr!$E$69</definedName>
    <definedName name="client_2">Bfr!$I$69</definedName>
    <definedName name="client_3">Bfr!$M$69</definedName>
    <definedName name="commune">Projet!$L$20</definedName>
    <definedName name="départ">'Chiffre d''affaires'!$N$18</definedName>
    <definedName name="DFR_1">Bfr!$E$79</definedName>
    <definedName name="DFR_2">Bfr!$I$79</definedName>
    <definedName name="DFR_3">Bfr!$M$79</definedName>
    <definedName name="différé_emprunt1">'tableaux d''emprunts'!$M$1</definedName>
    <definedName name="différé_emprunt2">'tableaux d''emprunts'!$S$1</definedName>
    <definedName name="différé_emprunt3">'tableaux d''emprunts'!$Y$1</definedName>
    <definedName name="différé_emprunt4">'tableaux d''emprunts'!$AE$1</definedName>
    <definedName name="différé_emprunt5">'tableaux d''emprunts'!$AK$1</definedName>
    <definedName name="différé_HK">'Plan de financement'!$G$59</definedName>
    <definedName name="dividende_1">'Plan de financement'!$M$17</definedName>
    <definedName name="dividende_2">'Plan de financement'!$N$17</definedName>
    <definedName name="dividende_3">'Plan de financement'!$O$17</definedName>
    <definedName name="dossier">Accueil!$E$5</definedName>
    <definedName name="durée_1">'Chiffre d''affaires'!$B$8</definedName>
    <definedName name="durée_2">'Chiffre d''affaires'!$E$8</definedName>
    <definedName name="durée_3">'Chiffre d''affaires'!$H$8</definedName>
    <definedName name="Durée_HK">'Plan de financement'!$F$59</definedName>
    <definedName name="ebe_1">'Compte de résulat prévisionnel'!$G$50</definedName>
    <definedName name="ebe_2">'Compte de résulat prévisionnel'!$J$50</definedName>
    <definedName name="ebe_3">'Compte de résulat prévisionnel'!$M$50</definedName>
    <definedName name="effectif_1">'Moyens d''exploitation'!$N$95</definedName>
    <definedName name="effectif_2">'Moyens d''exploitation'!$Q$95</definedName>
    <definedName name="effectif_3">'Moyens d''exploitation'!$S$95</definedName>
    <definedName name="emprunt_1">'Plan de financement'!$M$98</definedName>
    <definedName name="emprunt_2">'Plan de financement'!$N$98</definedName>
    <definedName name="emprunt_3">'Plan de financement'!$O$98</definedName>
    <definedName name="emprunt1">'tableaux d''emprunts'!$J$4</definedName>
    <definedName name="emprunt2">'tableaux d''emprunts'!$P$4</definedName>
    <definedName name="emprunt3">'tableaux d''emprunts'!$V$4</definedName>
    <definedName name="emprunt4">'tableaux d''emprunts'!$AB$4</definedName>
    <definedName name="emprunt5">'tableaux d''emprunts'!$AH$4</definedName>
    <definedName name="En_savoir_plus_sur_le_fonds_de_roulement">'Plan de financement'!$K$3:$L$3</definedName>
    <definedName name="ff_1">'Compte de résulat prévisionnel'!$G$67</definedName>
    <definedName name="ff_2">'Compte de résulat prévisionnel'!$J$67</definedName>
    <definedName name="ff_3">'Compte de résulat prévisionnel'!$M$67</definedName>
    <definedName name="fonds.empruntés_0">'Plan de financement'!$J$96</definedName>
    <definedName name="fonds.empruntés_1">'Plan de financement'!$M$96</definedName>
    <definedName name="fonds.empruntés_2">'Plan de financement'!$N$96</definedName>
    <definedName name="fonds.empruntés_3">'Plan de financement'!$O$96</definedName>
    <definedName name="fonds_propres_1">'Plan de financement'!$M$90</definedName>
    <definedName name="fonds_propres_2">'Plan de financement'!$N$90</definedName>
    <definedName name="fonds_propres_3">'Plan de financement'!$O$90</definedName>
    <definedName name="FR_0">'Plan de financement'!$J$102</definedName>
    <definedName name="FR_1">'Plan de financement'!$M$102</definedName>
    <definedName name="FR_1_révisé">Simulations!$H$20</definedName>
    <definedName name="FR_2">'Plan de financement'!$N$102</definedName>
    <definedName name="FR_2_révisé">Simulations!$P$20</definedName>
    <definedName name="FR_3">'Plan de financement'!$O$102</definedName>
    <definedName name="FR_Initial">'Plan de financement'!$J$12</definedName>
    <definedName name="HK">'Plan de financement'!$M$59</definedName>
    <definedName name="i_1">'Compte de résulat prévisionnel'!$G$58</definedName>
    <definedName name="i_2">'Compte de résulat prévisionnel'!$J$58</definedName>
    <definedName name="i_3">'Compte de résulat prévisionnel'!$M$58</definedName>
    <definedName name="_xlnm.Print_Titles" localSheetId="7">Bfr!$2:$3</definedName>
    <definedName name="_xlnm.Print_Titles" localSheetId="6">'Compte de résulat prévisionnel'!$2:$9</definedName>
    <definedName name="_xlnm.Print_Titles" localSheetId="5">'Moyens d''exploitation'!$2:$8</definedName>
    <definedName name="_xlnm.Print_Titles" localSheetId="8">'Plan de financement'!$2:$7</definedName>
    <definedName name="inv_cb0">'Moyens d''exploitation'!$K$64</definedName>
    <definedName name="inv_cb1">'Moyens d''exploitation'!$L$64</definedName>
    <definedName name="inv_cb2">'Moyens d''exploitation'!$Q$64</definedName>
    <definedName name="inv_cb3">'Moyens d''exploitation'!$S$64</definedName>
    <definedName name="invest_0">'Moyens d''exploitation'!$K$46</definedName>
    <definedName name="invest_1">'Moyens d''exploitation'!$L$46</definedName>
    <definedName name="invest_2">'Moyens d''exploitation'!$Q$46</definedName>
    <definedName name="invest_3">'Moyens d''exploitation'!$S$46</definedName>
    <definedName name="IS_1">'Compte de résulat prévisionnel'!$G$61</definedName>
    <definedName name="IS_2">'Compte de résulat prévisionnel'!$J$61</definedName>
    <definedName name="IS_3">'Compte de résulat prévisionnel'!$M$61</definedName>
    <definedName name="JBFR_1">Bfr!$D$75</definedName>
    <definedName name="JBFR_2">Bfr!$H$75</definedName>
    <definedName name="JBFR_3">Bfr!$L$75</definedName>
    <definedName name="k_herrikoa">'Plan de financement'!$M$42</definedName>
    <definedName name="loyer_1">'Moyens d''exploitation'!$N$76</definedName>
    <definedName name="loyer_2">'Moyens d''exploitation'!$Q$76</definedName>
    <definedName name="loyer_3">'Moyens d''exploitation'!$S$76</definedName>
    <definedName name="loyer_créditbail_1">'Moyens d''exploitation'!$N$65</definedName>
    <definedName name="loyer_créditbail_2">'Moyens d''exploitation'!$Q$65</definedName>
    <definedName name="loyer_créditbail_3">'Moyens d''exploitation'!$S$65</definedName>
    <definedName name="marge_brute_1">'Compte de résulat prévisionnel'!$G$25</definedName>
    <definedName name="marge_brute_2">'Compte de résulat prévisionnel'!$J$25</definedName>
    <definedName name="marge_brute_3">'Compte de résulat prévisionnel'!$M$25</definedName>
    <definedName name="marge_CV_1">'Compte de résulat prévisionnel'!$H$66</definedName>
    <definedName name="marge_CV_2">'Compte de résulat prévisionnel'!$K$66</definedName>
    <definedName name="marge_CV_3">'Compte de résulat prévisionnel'!$N$66</definedName>
    <definedName name="p">'tableaux d''emprunts'!$C$5</definedName>
    <definedName name="p_1">'Compte de résulat prévisionnel'!$G$13</definedName>
    <definedName name="p_2">'Compte de résulat prévisionnel'!$J$13</definedName>
    <definedName name="p_3">'Compte de résulat prévisionnel'!$M$13</definedName>
    <definedName name="participants">'Avis comité technique'!$L$2</definedName>
    <definedName name="périodicité_emprunt1">'tableaux d''emprunts'!$L$1</definedName>
    <definedName name="périodicité_emprunt2">'tableaux d''emprunts'!$R$1</definedName>
    <definedName name="périodicité_emprunt3">'tableaux d''emprunts'!$X$1</definedName>
    <definedName name="périodicité_emprunt4">'tableaux d''emprunts'!$AD$1</definedName>
    <definedName name="périodicité_emprunt5">'tableaux d''emprunts'!$AJ$1</definedName>
    <definedName name="perso_1">'Moyens d''exploitation'!$N$106</definedName>
    <definedName name="perso_2">'Moyens d''exploitation'!$Q$106</definedName>
    <definedName name="perso_3">'Moyens d''exploitation'!$S$106</definedName>
    <definedName name="personnel_1">'Compte de résulat prévisionnel'!$G$49</definedName>
    <definedName name="personnel_2">'Compte de résulat prévisionnel'!$J$49</definedName>
    <definedName name="personnel_3">'Compte de résulat prévisionnel'!$M$49</definedName>
    <definedName name="pi_1">'Compte de résulat prévisionnel'!$G$12</definedName>
    <definedName name="pi_2">'Compte de résulat prévisionnel'!$J$12</definedName>
    <definedName name="pi_3">'Compte de résulat prévisionnel'!$M$12</definedName>
    <definedName name="point_mort_1">'Compte de résulat prévisionnel'!$G$68</definedName>
    <definedName name="point_mort_2">'Compte de résulat prévisionnel'!$J$68</definedName>
    <definedName name="point_mort_3">'Compte de résulat prévisionnel'!$M$68</definedName>
    <definedName name="prov_1">'Compte de résulat prévisionnel'!$G$52</definedName>
    <definedName name="prov_2">'Compte de résulat prévisionnel'!$J$52</definedName>
    <definedName name="prov_3">'Compte de résulat prévisionnel'!$M$52</definedName>
    <definedName name="ps_1">'Compte de résulat prévisionnel'!$G$11</definedName>
    <definedName name="ps_2">'Compte de résulat prévisionnel'!$J$11</definedName>
    <definedName name="ps_3">'Compte de résulat prévisionnel'!$M$11</definedName>
    <definedName name="quotité_ta">Bfr!$I$15</definedName>
    <definedName name="quotité_tv">Bfr!$E$15</definedName>
    <definedName name="rc_1">'Compte de résulat prévisionnel'!$G$59</definedName>
    <definedName name="rc_2">'Compte de résulat prévisionnel'!$J$59</definedName>
    <definedName name="rc_3">'Compte de résulat prévisionnel'!$M$59</definedName>
    <definedName name="re_1">'Compte de résulat prévisionnel'!$G$55</definedName>
    <definedName name="re_2">'Compte de résulat prévisionnel'!$J$55</definedName>
    <definedName name="re_3">'Compte de résulat prévisionnel'!$M$55</definedName>
    <definedName name="remb1_emprunt">'Plan de financement'!$M$16</definedName>
    <definedName name="remb2_emprunt">'Plan de financement'!$N$16</definedName>
    <definedName name="remb3_emprunt">'Plan de financement'!$O$16</definedName>
    <definedName name="report_subv.invest_1">'Compte de résulat prévisionnel'!$G$60</definedName>
    <definedName name="report_subv.invest_2">'Compte de résulat prévisionnel'!$J$60</definedName>
    <definedName name="report_subv.invest_3">'Compte de résulat prévisionnel'!$M$60</definedName>
    <definedName name="rn_1">'Compte de résulat prévisionnel'!$G$62</definedName>
    <definedName name="rn_2">'Compte de résulat prévisionnel'!$J$62</definedName>
    <definedName name="rn_3">'Compte de résulat prévisionnel'!$M$62</definedName>
    <definedName name="solde_financement_N1">'Plan de financement'!$M$65</definedName>
    <definedName name="solde_financement_N2">'Plan de financement'!$N$65</definedName>
    <definedName name="solde_financement_N3">'Plan de financement'!$O$65</definedName>
    <definedName name="subv0">'Plan de financement'!$J$86</definedName>
    <definedName name="subv1">'Plan de financement'!$M$86</definedName>
    <definedName name="subv2">'Plan de financement'!$N$86</definedName>
    <definedName name="subv3">'Plan de financement'!$O$86</definedName>
    <definedName name="ta">Bfr!$M$15</definedName>
    <definedName name="taux_emprunt1">'tableaux d''emprunts'!$M$4</definedName>
    <definedName name="taux_emprunt2">'tableaux d''emprunts'!$S$4</definedName>
    <definedName name="taux_emprunt3">'tableaux d''emprunts'!$Y$4</definedName>
    <definedName name="taux_emprunt4">'tableaux d''emprunts'!$AE$4</definedName>
    <definedName name="taux_emprunt5">'tableaux d''emprunts'!$AK$4</definedName>
    <definedName name="Taux_HK">'Plan de financement'!$K$59</definedName>
    <definedName name="TN_0">'Plan de financement'!$J$69</definedName>
    <definedName name="TN_1">'Plan de financement'!$M$69</definedName>
    <definedName name="TN_2">'Plan de financement'!$N$69</definedName>
    <definedName name="TN_3">'Plan de financement'!$O$69</definedName>
    <definedName name="total_caf">'Plan de financement'!$R$83</definedName>
    <definedName name="total_emprunts">'Plan de financement'!$R$96</definedName>
    <definedName name="TP_1">'Plan de financement'!$M$88</definedName>
    <definedName name="TP_2">'Plan de financement'!$N$88</definedName>
    <definedName name="TP_3">'Plan de financement'!$O$88</definedName>
    <definedName name="TP0">'Plan de financement'!$J$88</definedName>
    <definedName name="TRI">Cotation!$D$42</definedName>
    <definedName name="tv">Bfr!$L$15</definedName>
    <definedName name="tx_achats_1">'Compte de résulat prévisionnel'!$H$70</definedName>
    <definedName name="tx_achats_2">'Compte de résulat prévisionnel'!$K$70</definedName>
    <definedName name="tx_achats_3">'Compte de résulat prévisionnel'!$N$70</definedName>
    <definedName name="tx_marge_brute_1">'Compte de résulat prévisionnel'!$H$25</definedName>
    <definedName name="tx_marge_brute_2">'Compte de résulat prévisionnel'!$K$25</definedName>
    <definedName name="tx_marge_brute_3">'Compte de résulat prévisionnel'!$N$25</definedName>
    <definedName name="va_1">'Compte de résulat prévisionnel'!$G$45</definedName>
    <definedName name="va_2">'Compte de résulat prévisionnel'!$J$45</definedName>
    <definedName name="va_3">'Compte de résulat prévisionnel'!$M$45</definedName>
    <definedName name="vs_mat1">'Compte de résulat prévisionnel'!$G$21</definedName>
    <definedName name="vs_mat2">'Compte de résulat prévisionnel'!$J$21</definedName>
    <definedName name="vs_mat3">'Compte de résulat prévisionnel'!$M$21</definedName>
    <definedName name="vs_mse1">'Compte de résulat prévisionnel'!$G$19</definedName>
    <definedName name="vs_mse2">'Compte de résulat prévisionnel'!$J$19</definedName>
    <definedName name="vs_mse3">'Compte de résulat prévisionnel'!$M$19</definedName>
    <definedName name="_xlnm.Print_Area" localSheetId="0">Accueil!$B$2:$J$25</definedName>
    <definedName name="_xlnm.Print_Area" localSheetId="15">'Avis comité technique'!$B$2:$L$50</definedName>
    <definedName name="_xlnm.Print_Area" localSheetId="7">Bfr!$B$2:$M$80</definedName>
    <definedName name="_xlnm.Print_Area" localSheetId="4">'Chiffre d''affaires'!$B$2:$P$80</definedName>
    <definedName name="_xlnm.Print_Area" localSheetId="6">'Compte de résulat prévisionnel'!$B$2:$N$68</definedName>
    <definedName name="_xlnm.Print_Area" localSheetId="14">Cotation!$B$2:$R$42</definedName>
    <definedName name="_xlnm.Print_Area" localSheetId="2">'Créateur(s)'!$B$2:$I$64</definedName>
    <definedName name="_xlnm.Print_Area" localSheetId="5">'Moyens d''exploitation'!$B$2:$T$137</definedName>
    <definedName name="_xlnm.Print_Area" localSheetId="8">'Plan de financement'!$B$2:$O$69</definedName>
    <definedName name="_xlnm.Print_Area" localSheetId="1">Préambule!$B$2:$B$41</definedName>
    <definedName name="_xlnm.Print_Area" localSheetId="3">Projet!$A$2:$P$121</definedName>
    <definedName name="_xlnm.Print_Area" localSheetId="11">Simulations!$B$8:$Z$25</definedName>
    <definedName name="_xlnm.Print_Area" localSheetId="10">Synthèse!$A$1:$P$88</definedName>
  </definedNames>
  <calcPr calcId="191029"/>
</workbook>
</file>

<file path=xl/calcChain.xml><?xml version="1.0" encoding="utf-8"?>
<calcChain xmlns="http://schemas.openxmlformats.org/spreadsheetml/2006/main">
  <c r="J26" i="23" l="1"/>
  <c r="H26" i="23"/>
  <c r="F26" i="23"/>
  <c r="Q17" i="16"/>
  <c r="Q16" i="16"/>
  <c r="Q15" i="16"/>
  <c r="R57" i="16"/>
  <c r="R56" i="16"/>
  <c r="R55" i="16"/>
  <c r="R54" i="16"/>
  <c r="R41" i="16"/>
  <c r="R40" i="16"/>
  <c r="I10" i="7" l="1"/>
  <c r="F10" i="7"/>
  <c r="F15" i="23" l="1"/>
  <c r="C41" i="23" l="1"/>
  <c r="C37" i="23"/>
  <c r="C35" i="23"/>
  <c r="C33" i="23"/>
  <c r="C31" i="23"/>
  <c r="J52" i="23" l="1"/>
  <c r="H52" i="23"/>
  <c r="F52" i="23"/>
  <c r="J40" i="16"/>
  <c r="H15" i="23" l="1"/>
  <c r="J15" i="23"/>
  <c r="J46" i="23" l="1"/>
  <c r="H46" i="23"/>
  <c r="F46" i="23"/>
  <c r="D24" i="23" l="1"/>
  <c r="J23" i="23" l="1"/>
  <c r="H23" i="23"/>
  <c r="F23" i="23"/>
  <c r="R17" i="16" l="1"/>
  <c r="R16" i="16"/>
  <c r="W51" i="17" l="1"/>
  <c r="H51" i="17"/>
  <c r="P46" i="7" l="1"/>
  <c r="L10" i="6" l="1"/>
  <c r="L11" i="6"/>
  <c r="L12" i="6"/>
  <c r="L13" i="6"/>
  <c r="L14" i="6"/>
  <c r="L15" i="6" l="1"/>
  <c r="I16" i="7" l="1"/>
  <c r="F16" i="7"/>
  <c r="Q46" i="7" l="1"/>
  <c r="L18" i="7"/>
  <c r="H12" i="7"/>
  <c r="E12" i="7"/>
  <c r="B12" i="7"/>
  <c r="I9" i="7" l="1"/>
  <c r="F9" i="7"/>
  <c r="C9" i="7"/>
  <c r="L33" i="25" l="1"/>
  <c r="K36" i="25" l="1"/>
  <c r="I36" i="25" s="1"/>
  <c r="L35" i="25"/>
  <c r="L34" i="25"/>
  <c r="K32" i="25"/>
  <c r="M28" i="25"/>
  <c r="J28" i="25"/>
  <c r="L28" i="25" s="1"/>
  <c r="M27" i="25"/>
  <c r="J27" i="25"/>
  <c r="L27" i="25" s="1"/>
  <c r="M26" i="25"/>
  <c r="J26" i="25"/>
  <c r="M21" i="25"/>
  <c r="J21" i="25"/>
  <c r="L21" i="25" s="1"/>
  <c r="M20" i="25"/>
  <c r="J20" i="25"/>
  <c r="L20" i="25" s="1"/>
  <c r="M19" i="25"/>
  <c r="J19" i="25"/>
  <c r="L19" i="25" s="1"/>
  <c r="M14" i="25"/>
  <c r="J14" i="25"/>
  <c r="L14" i="25" s="1"/>
  <c r="M13" i="25"/>
  <c r="J13" i="25"/>
  <c r="L13" i="25" s="1"/>
  <c r="M12" i="25"/>
  <c r="J12" i="25"/>
  <c r="M7" i="25"/>
  <c r="J7" i="25"/>
  <c r="L7" i="25" s="1"/>
  <c r="M6" i="25"/>
  <c r="J6" i="25"/>
  <c r="L6" i="25" s="1"/>
  <c r="M5" i="25"/>
  <c r="J5" i="25"/>
  <c r="L5" i="25" s="1"/>
  <c r="M30" i="25" l="1"/>
  <c r="J16" i="25"/>
  <c r="C34" i="25" s="1"/>
  <c r="E34" i="25" s="1"/>
  <c r="F34" i="25" s="1"/>
  <c r="L12" i="25"/>
  <c r="J9" i="25"/>
  <c r="M2" i="25" s="1"/>
  <c r="J30" i="25"/>
  <c r="J23" i="25"/>
  <c r="L26" i="25"/>
  <c r="L36" i="25"/>
  <c r="F9" i="23"/>
  <c r="H9" i="23"/>
  <c r="R4" i="23" s="1"/>
  <c r="J9" i="23"/>
  <c r="S4" i="23" s="1"/>
  <c r="Q4" i="23" l="1"/>
  <c r="L16" i="25"/>
  <c r="L9" i="25"/>
  <c r="C33" i="25"/>
  <c r="E33" i="25" s="1"/>
  <c r="L23" i="25"/>
  <c r="C35" i="25"/>
  <c r="E35" i="25" s="1"/>
  <c r="F35" i="25" s="1"/>
  <c r="L30" i="25"/>
  <c r="C36" i="25"/>
  <c r="E36" i="25" s="1"/>
  <c r="F36" i="25" s="1"/>
  <c r="K69" i="17"/>
  <c r="S69" i="17"/>
  <c r="Q69" i="17"/>
  <c r="N69" i="17"/>
  <c r="E38" i="25" l="1"/>
  <c r="F38" i="25" s="1"/>
  <c r="F33" i="25"/>
  <c r="M56" i="16"/>
  <c r="Q56" i="16" s="1"/>
  <c r="M55" i="16"/>
  <c r="Q55" i="16" s="1"/>
  <c r="AK1" i="20" l="1"/>
  <c r="AE1" i="20"/>
  <c r="Y1" i="20"/>
  <c r="S1" i="20"/>
  <c r="M1" i="20"/>
  <c r="J4" i="18" l="1"/>
  <c r="C21" i="7" l="1"/>
  <c r="E21" i="7" s="1"/>
  <c r="F21" i="7" s="1"/>
  <c r="H21" i="7" s="1"/>
  <c r="I21" i="7" s="1"/>
  <c r="J21" i="7" s="1"/>
  <c r="K21" i="7" s="1"/>
  <c r="L21" i="7" s="1"/>
  <c r="M21" i="7" s="1"/>
  <c r="N21" i="7" s="1"/>
  <c r="O21" i="7" s="1"/>
  <c r="P21" i="7" s="1"/>
  <c r="O93" i="16" l="1"/>
  <c r="N93" i="16"/>
  <c r="J93" i="16"/>
  <c r="M93" i="16" s="1"/>
  <c r="B11" i="22" l="1"/>
  <c r="I61" i="6" l="1"/>
  <c r="I34" i="6"/>
  <c r="I15" i="6"/>
  <c r="P85" i="17"/>
  <c r="P86" i="17"/>
  <c r="P87" i="17"/>
  <c r="P88" i="17"/>
  <c r="P89" i="17"/>
  <c r="P90" i="17"/>
  <c r="P84" i="17"/>
  <c r="V86" i="17"/>
  <c r="V87" i="17"/>
  <c r="U87" i="17"/>
  <c r="O87" i="17"/>
  <c r="N87" i="17"/>
  <c r="W87" i="17" s="1"/>
  <c r="U86" i="17"/>
  <c r="O86" i="17"/>
  <c r="N86" i="17"/>
  <c r="W86" i="17" s="1"/>
  <c r="N32" i="17"/>
  <c r="X35" i="17"/>
  <c r="N35" i="17"/>
  <c r="X31" i="17"/>
  <c r="N31" i="17"/>
  <c r="G17" i="6" l="1"/>
  <c r="X26" i="17" l="1"/>
  <c r="N26" i="17"/>
  <c r="X23" i="17"/>
  <c r="N23" i="17"/>
  <c r="X20" i="17"/>
  <c r="N20" i="17"/>
  <c r="N14" i="17"/>
  <c r="O20" i="22" l="1"/>
  <c r="W20" i="22"/>
  <c r="Z20" i="22"/>
  <c r="X20" i="22"/>
  <c r="R20" i="22"/>
  <c r="P20" i="22"/>
  <c r="G7" i="1" l="1"/>
  <c r="B2" i="24" l="1"/>
  <c r="D30" i="24" l="1"/>
  <c r="D29" i="24"/>
  <c r="D28" i="24"/>
  <c r="D27" i="24"/>
  <c r="D26" i="24"/>
  <c r="D25" i="24"/>
  <c r="D12" i="24" l="1"/>
  <c r="D11" i="24"/>
  <c r="D10" i="24"/>
  <c r="D9" i="24"/>
  <c r="D8" i="24"/>
  <c r="D7" i="24"/>
  <c r="E3" i="24"/>
  <c r="F3" i="24" s="1"/>
  <c r="G3" i="24" s="1"/>
  <c r="H3" i="24" s="1"/>
  <c r="I3" i="24" s="1"/>
  <c r="J3" i="24" s="1"/>
  <c r="K3" i="24" s="1"/>
  <c r="L3" i="24" s="1"/>
  <c r="M3" i="24" s="1"/>
  <c r="N3" i="24" s="1"/>
  <c r="O3" i="24" s="1"/>
  <c r="P3" i="24" s="1"/>
  <c r="Q3" i="24" s="1"/>
  <c r="R3" i="24" s="1"/>
  <c r="S3" i="24" s="1"/>
  <c r="T3" i="24" s="1"/>
  <c r="U3" i="24" s="1"/>
  <c r="V3" i="24" s="1"/>
  <c r="D32" i="24" l="1"/>
  <c r="D14" i="24"/>
  <c r="M14" i="6"/>
  <c r="M13" i="6"/>
  <c r="M12" i="6"/>
  <c r="M11" i="6"/>
  <c r="M10" i="6"/>
  <c r="M15" i="6" l="1"/>
  <c r="E15" i="6"/>
  <c r="B6" i="6" s="1"/>
  <c r="B17" i="6" l="1"/>
  <c r="V24" i="24"/>
  <c r="R24" i="24"/>
  <c r="N24" i="24"/>
  <c r="J24" i="24"/>
  <c r="F24" i="24"/>
  <c r="H24" i="24"/>
  <c r="S24" i="24"/>
  <c r="K24" i="24"/>
  <c r="U24" i="24"/>
  <c r="Q24" i="24"/>
  <c r="M24" i="24"/>
  <c r="I24" i="24"/>
  <c r="E24" i="24"/>
  <c r="T24" i="24"/>
  <c r="P24" i="24"/>
  <c r="L24" i="24"/>
  <c r="O24" i="24"/>
  <c r="G24" i="24"/>
  <c r="L95" i="17"/>
  <c r="Y29" i="24" l="1"/>
  <c r="Y30" i="24"/>
  <c r="Z29" i="24"/>
  <c r="Z30" i="24"/>
  <c r="Y27" i="24"/>
  <c r="Y28" i="24"/>
  <c r="X24" i="24"/>
  <c r="I30" i="24"/>
  <c r="I29" i="24"/>
  <c r="H28" i="24"/>
  <c r="H27" i="24"/>
  <c r="G26" i="24"/>
  <c r="G25" i="24"/>
  <c r="S30" i="24"/>
  <c r="S29" i="24"/>
  <c r="R27" i="24"/>
  <c r="Q26" i="24"/>
  <c r="R28" i="24"/>
  <c r="Q25" i="24"/>
  <c r="T29" i="24"/>
  <c r="T30" i="24"/>
  <c r="S28" i="24"/>
  <c r="S27" i="24"/>
  <c r="R26" i="24"/>
  <c r="R25" i="24"/>
  <c r="E25" i="24"/>
  <c r="G30" i="24"/>
  <c r="G29" i="24"/>
  <c r="F28" i="24"/>
  <c r="F27" i="24"/>
  <c r="E26" i="24"/>
  <c r="V26" i="24"/>
  <c r="V25" i="24"/>
  <c r="R30" i="24"/>
  <c r="R29" i="24"/>
  <c r="P26" i="24"/>
  <c r="Q28" i="24"/>
  <c r="Q27" i="24"/>
  <c r="P25" i="24"/>
  <c r="O30" i="24"/>
  <c r="O29" i="24"/>
  <c r="M25" i="24"/>
  <c r="N28" i="24"/>
  <c r="N27" i="24"/>
  <c r="M26" i="24"/>
  <c r="U30" i="24"/>
  <c r="U29" i="24"/>
  <c r="S26" i="24"/>
  <c r="S25" i="24"/>
  <c r="T27" i="24"/>
  <c r="T28" i="24"/>
  <c r="P30" i="24"/>
  <c r="P29" i="24"/>
  <c r="N25" i="24"/>
  <c r="O28" i="24"/>
  <c r="O27" i="24"/>
  <c r="N26" i="24"/>
  <c r="V30" i="24"/>
  <c r="V29" i="24"/>
  <c r="U27" i="24"/>
  <c r="T25" i="24"/>
  <c r="U28" i="24"/>
  <c r="T26" i="24"/>
  <c r="J30" i="24"/>
  <c r="J29" i="24"/>
  <c r="I28" i="24"/>
  <c r="H26" i="24"/>
  <c r="I27" i="24"/>
  <c r="H25" i="24"/>
  <c r="Q30" i="24"/>
  <c r="Q29" i="24"/>
  <c r="P27" i="24"/>
  <c r="O26" i="24"/>
  <c r="P28" i="24"/>
  <c r="O25" i="24"/>
  <c r="V28" i="24"/>
  <c r="U25" i="24"/>
  <c r="V27" i="24"/>
  <c r="U26" i="24"/>
  <c r="H30" i="24"/>
  <c r="H29" i="24"/>
  <c r="G28" i="24"/>
  <c r="G27" i="24"/>
  <c r="F26" i="24"/>
  <c r="F25" i="24"/>
  <c r="N30" i="24"/>
  <c r="N29" i="24"/>
  <c r="M27" i="24"/>
  <c r="L25" i="24"/>
  <c r="M28" i="24"/>
  <c r="L26" i="24"/>
  <c r="K30" i="24"/>
  <c r="K29" i="24"/>
  <c r="J27" i="24"/>
  <c r="I26" i="24"/>
  <c r="I25" i="24"/>
  <c r="J28" i="24"/>
  <c r="M30" i="24"/>
  <c r="M29" i="24"/>
  <c r="L28" i="24"/>
  <c r="K25" i="24"/>
  <c r="K26" i="24"/>
  <c r="L27" i="24"/>
  <c r="L30" i="24"/>
  <c r="L29" i="24"/>
  <c r="J25" i="24"/>
  <c r="K28" i="24"/>
  <c r="K27" i="24"/>
  <c r="J26" i="24"/>
  <c r="S6" i="24"/>
  <c r="Q6" i="24"/>
  <c r="T6" i="24"/>
  <c r="U6" i="24"/>
  <c r="R6" i="24"/>
  <c r="V6" i="24"/>
  <c r="N6" i="24"/>
  <c r="J6" i="24"/>
  <c r="F6" i="24"/>
  <c r="E6" i="24"/>
  <c r="M6" i="24"/>
  <c r="I6" i="24"/>
  <c r="P6" i="24"/>
  <c r="L6" i="24"/>
  <c r="H6" i="24"/>
  <c r="O6" i="24"/>
  <c r="K6" i="24"/>
  <c r="G6" i="24"/>
  <c r="O90" i="17"/>
  <c r="O89" i="17"/>
  <c r="O88" i="17"/>
  <c r="O85" i="17"/>
  <c r="O84" i="17"/>
  <c r="N90" i="17"/>
  <c r="N89" i="17"/>
  <c r="N88" i="17"/>
  <c r="N85" i="17"/>
  <c r="N84" i="17"/>
  <c r="I32" i="24" l="1"/>
  <c r="I45" i="24" s="1"/>
  <c r="X29" i="24"/>
  <c r="X26" i="24"/>
  <c r="X30" i="24"/>
  <c r="Z32" i="24"/>
  <c r="X27" i="24"/>
  <c r="X25" i="24"/>
  <c r="X28" i="24"/>
  <c r="Y32" i="24"/>
  <c r="O32" i="24"/>
  <c r="O45" i="24" s="1"/>
  <c r="P32" i="24"/>
  <c r="Q32" i="24"/>
  <c r="Q45" i="24" s="1"/>
  <c r="J32" i="24"/>
  <c r="J45" i="24" s="1"/>
  <c r="N32" i="24"/>
  <c r="N45" i="24" s="1"/>
  <c r="M32" i="24"/>
  <c r="M45" i="24" s="1"/>
  <c r="E32" i="24"/>
  <c r="E45" i="24" s="1"/>
  <c r="K32" i="24"/>
  <c r="K45" i="24" s="1"/>
  <c r="L32" i="24"/>
  <c r="L45" i="24" s="1"/>
  <c r="F32" i="24"/>
  <c r="F45" i="24" s="1"/>
  <c r="U32" i="24"/>
  <c r="U45" i="24" s="1"/>
  <c r="H32" i="24"/>
  <c r="H45" i="24" s="1"/>
  <c r="T32" i="24"/>
  <c r="T45" i="24" s="1"/>
  <c r="S32" i="24"/>
  <c r="S45" i="24" s="1"/>
  <c r="V32" i="24"/>
  <c r="V45" i="24" s="1"/>
  <c r="R32" i="24"/>
  <c r="R45" i="24" s="1"/>
  <c r="G32" i="24"/>
  <c r="G45" i="24" s="1"/>
  <c r="L9" i="24"/>
  <c r="L10" i="24"/>
  <c r="K8" i="24"/>
  <c r="M11" i="24"/>
  <c r="K7" i="24"/>
  <c r="M12" i="24"/>
  <c r="R11" i="24"/>
  <c r="Q9" i="24"/>
  <c r="Q10" i="24"/>
  <c r="P8" i="24"/>
  <c r="R12" i="24"/>
  <c r="P7" i="24"/>
  <c r="G10" i="24"/>
  <c r="F8" i="24"/>
  <c r="H12" i="24"/>
  <c r="H11" i="24"/>
  <c r="G9" i="24"/>
  <c r="F7" i="24"/>
  <c r="S10" i="24"/>
  <c r="R7" i="24"/>
  <c r="T12" i="24"/>
  <c r="R8" i="24"/>
  <c r="T11" i="24"/>
  <c r="S9" i="24"/>
  <c r="U12" i="24"/>
  <c r="T10" i="24"/>
  <c r="S8" i="24"/>
  <c r="T9" i="24"/>
  <c r="S7" i="24"/>
  <c r="U11" i="24"/>
  <c r="O8" i="24"/>
  <c r="Q11" i="24"/>
  <c r="O7" i="24"/>
  <c r="Q12" i="24"/>
  <c r="P10" i="24"/>
  <c r="P9" i="24"/>
  <c r="J9" i="24"/>
  <c r="I8" i="24"/>
  <c r="K11" i="24"/>
  <c r="J10" i="24"/>
  <c r="I7" i="24"/>
  <c r="K12" i="24"/>
  <c r="L12" i="24"/>
  <c r="J7" i="24"/>
  <c r="K10" i="24"/>
  <c r="J8" i="24"/>
  <c r="L11" i="24"/>
  <c r="K9" i="24"/>
  <c r="V10" i="24"/>
  <c r="Y12" i="24"/>
  <c r="V9" i="24"/>
  <c r="U8" i="24"/>
  <c r="Y11" i="24"/>
  <c r="U7" i="24"/>
  <c r="I10" i="24"/>
  <c r="H8" i="24"/>
  <c r="J12" i="24"/>
  <c r="H7" i="24"/>
  <c r="I9" i="24"/>
  <c r="J11" i="24"/>
  <c r="O11" i="24"/>
  <c r="N10" i="24"/>
  <c r="N9" i="24"/>
  <c r="M7" i="24"/>
  <c r="O12" i="24"/>
  <c r="M8" i="24"/>
  <c r="N7" i="24"/>
  <c r="N8" i="24"/>
  <c r="P11" i="24"/>
  <c r="O9" i="24"/>
  <c r="O10" i="24"/>
  <c r="P12" i="24"/>
  <c r="U10" i="24"/>
  <c r="T7" i="24"/>
  <c r="V11" i="24"/>
  <c r="U9" i="24"/>
  <c r="T8" i="24"/>
  <c r="H10" i="24"/>
  <c r="H9" i="24"/>
  <c r="G7" i="24"/>
  <c r="G8" i="24"/>
  <c r="I12" i="24"/>
  <c r="I11" i="24"/>
  <c r="L7" i="24"/>
  <c r="N11" i="24"/>
  <c r="M9" i="24"/>
  <c r="M10" i="24"/>
  <c r="N12" i="24"/>
  <c r="L8" i="24"/>
  <c r="E7" i="24"/>
  <c r="E8" i="24"/>
  <c r="G12" i="24"/>
  <c r="G11" i="24"/>
  <c r="F9" i="24"/>
  <c r="X6" i="24"/>
  <c r="F10" i="24"/>
  <c r="Z11" i="24"/>
  <c r="Y10" i="24"/>
  <c r="Z12" i="24"/>
  <c r="Y9" i="24"/>
  <c r="V8" i="24"/>
  <c r="V7" i="24"/>
  <c r="Q7" i="24"/>
  <c r="R9" i="24"/>
  <c r="S11" i="24"/>
  <c r="S12" i="24"/>
  <c r="R10" i="24"/>
  <c r="Q8" i="24"/>
  <c r="P45" i="24"/>
  <c r="C47" i="7"/>
  <c r="E47" i="7" s="1"/>
  <c r="F47" i="7" s="1"/>
  <c r="H47" i="7" s="1"/>
  <c r="I47" i="7" s="1"/>
  <c r="J47" i="7" s="1"/>
  <c r="K47" i="7" s="1"/>
  <c r="L47" i="7" s="1"/>
  <c r="M47" i="7" s="1"/>
  <c r="N47" i="7" s="1"/>
  <c r="O47" i="7" s="1"/>
  <c r="P47" i="7" s="1"/>
  <c r="C38" i="7"/>
  <c r="E38" i="7" s="1"/>
  <c r="F38" i="7" s="1"/>
  <c r="H38" i="7" s="1"/>
  <c r="I38" i="7" s="1"/>
  <c r="J38" i="7" s="1"/>
  <c r="K38" i="7" s="1"/>
  <c r="L38" i="7" s="1"/>
  <c r="M38" i="7" s="1"/>
  <c r="N38" i="7" s="1"/>
  <c r="O38" i="7" s="1"/>
  <c r="P38" i="7" s="1"/>
  <c r="C20" i="7"/>
  <c r="C23" i="7" s="1"/>
  <c r="C40" i="7" l="1"/>
  <c r="C49" i="7" s="1"/>
  <c r="E49" i="7" s="1"/>
  <c r="F49" i="7" s="1"/>
  <c r="H49" i="7" s="1"/>
  <c r="I49" i="7" s="1"/>
  <c r="J49" i="7" s="1"/>
  <c r="K49" i="7" s="1"/>
  <c r="L49" i="7" s="1"/>
  <c r="M49" i="7" s="1"/>
  <c r="N49" i="7" s="1"/>
  <c r="O49" i="7" s="1"/>
  <c r="P49" i="7" s="1"/>
  <c r="X32" i="24"/>
  <c r="AA32" i="24" s="1"/>
  <c r="AC32" i="24" s="1"/>
  <c r="AB32" i="24" s="1"/>
  <c r="Z14" i="24"/>
  <c r="S14" i="24"/>
  <c r="S21" i="24" s="1"/>
  <c r="Q14" i="24"/>
  <c r="Q21" i="24" s="1"/>
  <c r="X8" i="24"/>
  <c r="I14" i="24"/>
  <c r="I21" i="24" s="1"/>
  <c r="O14" i="24"/>
  <c r="O21" i="24" s="1"/>
  <c r="K14" i="24"/>
  <c r="K21" i="24" s="1"/>
  <c r="V14" i="24"/>
  <c r="V21" i="24" s="1"/>
  <c r="X9" i="24"/>
  <c r="X7" i="24"/>
  <c r="E14" i="24"/>
  <c r="E21" i="24" s="1"/>
  <c r="E47" i="24" s="1"/>
  <c r="M14" i="24"/>
  <c r="M21" i="24" s="1"/>
  <c r="J14" i="24"/>
  <c r="J21" i="24" s="1"/>
  <c r="R14" i="24"/>
  <c r="R21" i="24" s="1"/>
  <c r="P14" i="24"/>
  <c r="P21" i="24" s="1"/>
  <c r="X11" i="24"/>
  <c r="N14" i="24"/>
  <c r="N21" i="24" s="1"/>
  <c r="Y14" i="24"/>
  <c r="X10" i="24"/>
  <c r="X12" i="24"/>
  <c r="L14" i="24"/>
  <c r="L21" i="24" s="1"/>
  <c r="G14" i="24"/>
  <c r="G21" i="24" s="1"/>
  <c r="T14" i="24"/>
  <c r="T21" i="24" s="1"/>
  <c r="H14" i="24"/>
  <c r="H21" i="24" s="1"/>
  <c r="U14" i="24"/>
  <c r="U21" i="24" s="1"/>
  <c r="F14" i="24"/>
  <c r="F21" i="24" s="1"/>
  <c r="E40" i="7" l="1"/>
  <c r="F40" i="7" s="1"/>
  <c r="H40" i="7" s="1"/>
  <c r="I40" i="7" s="1"/>
  <c r="J40" i="7" s="1"/>
  <c r="K40" i="7" s="1"/>
  <c r="L40" i="7" s="1"/>
  <c r="M40" i="7" s="1"/>
  <c r="N40" i="7" s="1"/>
  <c r="O40" i="7" s="1"/>
  <c r="P40" i="7" s="1"/>
  <c r="F4" i="24"/>
  <c r="F47" i="24" s="1"/>
  <c r="E48" i="24"/>
  <c r="X14" i="24"/>
  <c r="AA14" i="24" s="1"/>
  <c r="AC14" i="24" s="1"/>
  <c r="AB14" i="24" s="1"/>
  <c r="E20" i="7"/>
  <c r="F20" i="7" s="1"/>
  <c r="H20" i="7" s="1"/>
  <c r="I20" i="7" s="1"/>
  <c r="J20" i="7" s="1"/>
  <c r="K20" i="7" s="1"/>
  <c r="L20" i="7" s="1"/>
  <c r="M20" i="7" s="1"/>
  <c r="N20" i="7" s="1"/>
  <c r="O20" i="7" s="1"/>
  <c r="P20" i="7" s="1"/>
  <c r="C29" i="7" s="1"/>
  <c r="E29" i="7" s="1"/>
  <c r="F29" i="7" s="1"/>
  <c r="H29" i="7" s="1"/>
  <c r="I29" i="7" s="1"/>
  <c r="J29" i="7" s="1"/>
  <c r="K29" i="7" s="1"/>
  <c r="L29" i="7" s="1"/>
  <c r="M29" i="7" s="1"/>
  <c r="N29" i="7" s="1"/>
  <c r="O29" i="7" s="1"/>
  <c r="G4" i="24" l="1"/>
  <c r="G47" i="24" s="1"/>
  <c r="F48" i="24"/>
  <c r="E23" i="7"/>
  <c r="F23" i="7" s="1"/>
  <c r="H23" i="7" s="1"/>
  <c r="I23" i="7" s="1"/>
  <c r="J23" i="7" s="1"/>
  <c r="K23" i="7" s="1"/>
  <c r="L23" i="7" s="1"/>
  <c r="M23" i="7" s="1"/>
  <c r="N23" i="7" s="1"/>
  <c r="O23" i="7" s="1"/>
  <c r="P23" i="7" s="1"/>
  <c r="C31" i="7" s="1"/>
  <c r="E31" i="7" s="1"/>
  <c r="F31" i="7" s="1"/>
  <c r="H31" i="7" s="1"/>
  <c r="I31" i="7" s="1"/>
  <c r="J31" i="7" s="1"/>
  <c r="K31" i="7" s="1"/>
  <c r="L31" i="7" s="1"/>
  <c r="M31" i="7" s="1"/>
  <c r="N31" i="7" s="1"/>
  <c r="O31" i="7" s="1"/>
  <c r="H4" i="24" l="1"/>
  <c r="H47" i="24" s="1"/>
  <c r="G48" i="24"/>
  <c r="I4" i="24" l="1"/>
  <c r="I47" i="24" s="1"/>
  <c r="H48" i="24"/>
  <c r="L1" i="20"/>
  <c r="R1" i="20"/>
  <c r="J4" i="24" l="1"/>
  <c r="J47" i="24" s="1"/>
  <c r="I48" i="24"/>
  <c r="AG27" i="20"/>
  <c r="AG28" i="20" s="1"/>
  <c r="AA27" i="20"/>
  <c r="AA28" i="20" s="1"/>
  <c r="AA29" i="20" s="1"/>
  <c r="U27" i="20"/>
  <c r="O27" i="20"/>
  <c r="O28" i="20" s="1"/>
  <c r="I27" i="20"/>
  <c r="I28" i="20" s="1"/>
  <c r="AG24" i="20"/>
  <c r="AA24" i="20"/>
  <c r="U24" i="20"/>
  <c r="O24" i="20"/>
  <c r="I24" i="20"/>
  <c r="AJ1" i="20"/>
  <c r="AD1" i="20"/>
  <c r="X1" i="20"/>
  <c r="AK6" i="20"/>
  <c r="AE6" i="20"/>
  <c r="Y6" i="20"/>
  <c r="S6" i="20"/>
  <c r="M6" i="20"/>
  <c r="F6" i="20"/>
  <c r="E6" i="20"/>
  <c r="D6" i="20"/>
  <c r="C6" i="20"/>
  <c r="B6" i="20"/>
  <c r="F5" i="20"/>
  <c r="E5" i="20"/>
  <c r="D5" i="20"/>
  <c r="C5" i="20"/>
  <c r="B5" i="20"/>
  <c r="F4" i="20"/>
  <c r="E4" i="20"/>
  <c r="D4" i="20"/>
  <c r="C4" i="20"/>
  <c r="B4" i="20"/>
  <c r="K4" i="24" l="1"/>
  <c r="K47" i="24" s="1"/>
  <c r="J48" i="24"/>
  <c r="P27" i="20"/>
  <c r="R27" i="20" s="1"/>
  <c r="Q27" i="20" s="1"/>
  <c r="AB27" i="20"/>
  <c r="AD27" i="20" s="1"/>
  <c r="V26" i="20"/>
  <c r="X26" i="20" s="1"/>
  <c r="W26" i="20" s="1"/>
  <c r="G4" i="20"/>
  <c r="J26" i="20"/>
  <c r="J25" i="20"/>
  <c r="O29" i="20"/>
  <c r="P28" i="20"/>
  <c r="AA30" i="20"/>
  <c r="AB29" i="20"/>
  <c r="AB26" i="20"/>
  <c r="J28" i="20"/>
  <c r="I29" i="20"/>
  <c r="AB28" i="20"/>
  <c r="AH26" i="20"/>
  <c r="AH25" i="20"/>
  <c r="J27" i="20"/>
  <c r="V27" i="20"/>
  <c r="U28" i="20"/>
  <c r="AH27" i="20"/>
  <c r="AH28" i="20"/>
  <c r="AG29" i="20"/>
  <c r="P26" i="20"/>
  <c r="P25" i="20"/>
  <c r="V25" i="20"/>
  <c r="AB25" i="20"/>
  <c r="I36" i="18"/>
  <c r="H36" i="18"/>
  <c r="G36" i="18"/>
  <c r="F36" i="18"/>
  <c r="E36" i="18"/>
  <c r="D36" i="18"/>
  <c r="G10" i="18"/>
  <c r="F10" i="18"/>
  <c r="E10" i="18"/>
  <c r="L4" i="24" l="1"/>
  <c r="L47" i="24" s="1"/>
  <c r="K48" i="24"/>
  <c r="AC27" i="20"/>
  <c r="R26" i="20"/>
  <c r="Q26" i="20" s="1"/>
  <c r="V28" i="20"/>
  <c r="U29" i="20"/>
  <c r="AJ25" i="20"/>
  <c r="AI25" i="20" s="1"/>
  <c r="L28" i="20"/>
  <c r="R28" i="20"/>
  <c r="Q28" i="20" s="1"/>
  <c r="L25" i="20"/>
  <c r="K25" i="20" s="1"/>
  <c r="AD25" i="20"/>
  <c r="AC25" i="20" s="1"/>
  <c r="AH29" i="20"/>
  <c r="AG30" i="20"/>
  <c r="X27" i="20"/>
  <c r="W27" i="20" s="1"/>
  <c r="AJ26" i="20"/>
  <c r="AI26" i="20" s="1"/>
  <c r="AD26" i="20"/>
  <c r="AC26" i="20" s="1"/>
  <c r="O30" i="20"/>
  <c r="P29" i="20"/>
  <c r="L26" i="20"/>
  <c r="K26" i="20" s="1"/>
  <c r="X25" i="20"/>
  <c r="W25" i="20" s="1"/>
  <c r="AJ28" i="20"/>
  <c r="AI28" i="20" s="1"/>
  <c r="L27" i="20"/>
  <c r="AD28" i="20"/>
  <c r="AC28" i="20" s="1"/>
  <c r="R25" i="20"/>
  <c r="AJ27" i="20"/>
  <c r="AI27" i="20" s="1"/>
  <c r="J29" i="20"/>
  <c r="I30" i="20"/>
  <c r="AA31" i="20"/>
  <c r="AB30" i="20"/>
  <c r="T7" i="18"/>
  <c r="O101" i="16"/>
  <c r="N101" i="16"/>
  <c r="M101" i="16"/>
  <c r="M4" i="24" l="1"/>
  <c r="M47" i="24" s="1"/>
  <c r="L48" i="24"/>
  <c r="W8" i="20"/>
  <c r="AI8" i="20"/>
  <c r="R8" i="20"/>
  <c r="S8" i="20" s="1"/>
  <c r="S25" i="20"/>
  <c r="S26" i="20" s="1"/>
  <c r="S27" i="20" s="1"/>
  <c r="S28" i="20" s="1"/>
  <c r="AA32" i="20"/>
  <c r="AB31" i="20"/>
  <c r="K27" i="20"/>
  <c r="O31" i="20"/>
  <c r="P30" i="20"/>
  <c r="AJ29" i="20"/>
  <c r="AI29" i="20" s="1"/>
  <c r="V29" i="20"/>
  <c r="U30" i="20"/>
  <c r="J30" i="20"/>
  <c r="I31" i="20"/>
  <c r="Q25" i="20"/>
  <c r="M25" i="20"/>
  <c r="X28" i="20"/>
  <c r="W28" i="20" s="1"/>
  <c r="W9" i="20" s="1"/>
  <c r="X8" i="20"/>
  <c r="Y8" i="20" s="1"/>
  <c r="Y25" i="20"/>
  <c r="Y26" i="20" s="1"/>
  <c r="Y27" i="20" s="1"/>
  <c r="AE25" i="20"/>
  <c r="AE26" i="20" s="1"/>
  <c r="AE27" i="20" s="1"/>
  <c r="AE28" i="20" s="1"/>
  <c r="AJ8" i="20"/>
  <c r="AK8" i="20" s="1"/>
  <c r="AK25" i="20"/>
  <c r="AK26" i="20" s="1"/>
  <c r="AK27" i="20" s="1"/>
  <c r="AK28" i="20" s="1"/>
  <c r="AD30" i="20"/>
  <c r="AC30" i="20" s="1"/>
  <c r="R29" i="20"/>
  <c r="AH30" i="20"/>
  <c r="AG31" i="20"/>
  <c r="K28" i="20"/>
  <c r="AA8" i="18"/>
  <c r="Z8" i="18" s="1"/>
  <c r="Y8" i="18" s="1"/>
  <c r="X8" i="18" s="1"/>
  <c r="W8" i="18" s="1"/>
  <c r="V8" i="18" s="1"/>
  <c r="U8" i="18" s="1"/>
  <c r="E41" i="6"/>
  <c r="F74" i="23" s="1"/>
  <c r="I41" i="6"/>
  <c r="H74" i="23" s="1"/>
  <c r="M41" i="6"/>
  <c r="J74" i="23" s="1"/>
  <c r="N4" i="24" l="1"/>
  <c r="N47" i="24" s="1"/>
  <c r="M48" i="24"/>
  <c r="AD29" i="20"/>
  <c r="AC29" i="20" s="1"/>
  <c r="Y28" i="20"/>
  <c r="AK29" i="20"/>
  <c r="X9" i="20"/>
  <c r="V9" i="20" s="1"/>
  <c r="M26" i="20"/>
  <c r="V30" i="20"/>
  <c r="U31" i="20"/>
  <c r="R30" i="20"/>
  <c r="Q30" i="20" s="1"/>
  <c r="AD31" i="20"/>
  <c r="AC31" i="20" s="1"/>
  <c r="Q29" i="20"/>
  <c r="Q8" i="20"/>
  <c r="P8" i="20" s="1"/>
  <c r="X29" i="20"/>
  <c r="O32" i="20"/>
  <c r="P31" i="20"/>
  <c r="AA33" i="20"/>
  <c r="AB32" i="20"/>
  <c r="AH8" i="20"/>
  <c r="AH31" i="20"/>
  <c r="AG32" i="20"/>
  <c r="J31" i="20"/>
  <c r="I32" i="20"/>
  <c r="S29" i="20"/>
  <c r="AJ30" i="20"/>
  <c r="AI30" i="20" s="1"/>
  <c r="L30" i="20"/>
  <c r="V8" i="20"/>
  <c r="AB8" i="18"/>
  <c r="AC8" i="18" s="1"/>
  <c r="AD8" i="18" s="1"/>
  <c r="AE8" i="18" s="1"/>
  <c r="J76" i="23"/>
  <c r="H76" i="23"/>
  <c r="F76" i="23"/>
  <c r="F75" i="23"/>
  <c r="H75" i="23"/>
  <c r="J75" i="23"/>
  <c r="O4" i="24" l="1"/>
  <c r="O47" i="24" s="1"/>
  <c r="N48" i="24"/>
  <c r="AE29" i="20"/>
  <c r="AE30" i="20" s="1"/>
  <c r="Y29" i="20"/>
  <c r="Y9" i="20"/>
  <c r="W29" i="20"/>
  <c r="AE31" i="20"/>
  <c r="R31" i="20"/>
  <c r="S30" i="20"/>
  <c r="AD32" i="20"/>
  <c r="M27" i="20"/>
  <c r="K30" i="20"/>
  <c r="AH32" i="20"/>
  <c r="AG33" i="20"/>
  <c r="AA34" i="20"/>
  <c r="AB33" i="20"/>
  <c r="V31" i="20"/>
  <c r="U32" i="20"/>
  <c r="J32" i="20"/>
  <c r="I33" i="20"/>
  <c r="AJ31" i="20"/>
  <c r="X30" i="20"/>
  <c r="O33" i="20"/>
  <c r="P32" i="20"/>
  <c r="AK30" i="20"/>
  <c r="M61" i="6"/>
  <c r="M34" i="6"/>
  <c r="P4" i="24" l="1"/>
  <c r="P47" i="24" s="1"/>
  <c r="O48" i="24"/>
  <c r="Y30" i="20"/>
  <c r="X10" i="20"/>
  <c r="Y10" i="20" s="1"/>
  <c r="W30" i="20"/>
  <c r="W10" i="20" s="1"/>
  <c r="R32" i="20"/>
  <c r="Q32" i="20" s="1"/>
  <c r="L32" i="20"/>
  <c r="AD33" i="20"/>
  <c r="O34" i="20"/>
  <c r="P33" i="20"/>
  <c r="AI31" i="20"/>
  <c r="V32" i="20"/>
  <c r="U33" i="20"/>
  <c r="AA35" i="20"/>
  <c r="AB34" i="20"/>
  <c r="M28" i="20"/>
  <c r="L29" i="20" s="1"/>
  <c r="K29" i="20" s="1"/>
  <c r="AC32" i="20"/>
  <c r="Q31" i="20"/>
  <c r="X31" i="20"/>
  <c r="W31" i="20" s="1"/>
  <c r="AH33" i="20"/>
  <c r="AG34" i="20"/>
  <c r="S31" i="20"/>
  <c r="AK31" i="20"/>
  <c r="AE32" i="20"/>
  <c r="J33" i="20"/>
  <c r="I34" i="20"/>
  <c r="AJ32" i="20"/>
  <c r="AI32" i="20" s="1"/>
  <c r="S54" i="17"/>
  <c r="U84" i="17"/>
  <c r="V84" i="17"/>
  <c r="U85" i="17"/>
  <c r="V85" i="17"/>
  <c r="U88" i="17"/>
  <c r="V88" i="17"/>
  <c r="U89" i="17"/>
  <c r="V89" i="17"/>
  <c r="U90" i="17"/>
  <c r="V90" i="17"/>
  <c r="Q4" i="24" l="1"/>
  <c r="Q47" i="24" s="1"/>
  <c r="P48" i="24"/>
  <c r="Y31" i="20"/>
  <c r="AJ9" i="20"/>
  <c r="AK9" i="20" s="1"/>
  <c r="S32" i="20"/>
  <c r="V10" i="20"/>
  <c r="L33" i="20"/>
  <c r="X32" i="20"/>
  <c r="AE33" i="20"/>
  <c r="AD34" i="20" s="1"/>
  <c r="AC34" i="20" s="1"/>
  <c r="Q9" i="20"/>
  <c r="AI9" i="20"/>
  <c r="AC33" i="20"/>
  <c r="O35" i="20"/>
  <c r="P34" i="20"/>
  <c r="AG35" i="20"/>
  <c r="AH34" i="20"/>
  <c r="AB35" i="20"/>
  <c r="AA36" i="20"/>
  <c r="I35" i="20"/>
  <c r="J34" i="20"/>
  <c r="AK32" i="20"/>
  <c r="AJ33" i="20"/>
  <c r="M29" i="20"/>
  <c r="V33" i="20"/>
  <c r="U34" i="20"/>
  <c r="R33" i="20"/>
  <c r="K32" i="20"/>
  <c r="R9" i="20"/>
  <c r="S9" i="20" s="1"/>
  <c r="J12" i="16"/>
  <c r="R4" i="24" l="1"/>
  <c r="R47" i="24" s="1"/>
  <c r="Q48" i="24"/>
  <c r="Y32" i="20"/>
  <c r="AK33" i="20"/>
  <c r="S33" i="20"/>
  <c r="Q33" i="20"/>
  <c r="AH9" i="20"/>
  <c r="AE34" i="20"/>
  <c r="I36" i="20"/>
  <c r="J35" i="20"/>
  <c r="AD35" i="20"/>
  <c r="AC35" i="20" s="1"/>
  <c r="AJ34" i="20"/>
  <c r="AI34" i="20" s="1"/>
  <c r="P35" i="20"/>
  <c r="O36" i="20"/>
  <c r="X11" i="20"/>
  <c r="Y11" i="20" s="1"/>
  <c r="U35" i="20"/>
  <c r="V34" i="20"/>
  <c r="AG36" i="20"/>
  <c r="AH35" i="20"/>
  <c r="P9" i="20"/>
  <c r="W32" i="20"/>
  <c r="W11" i="20" s="1"/>
  <c r="X33" i="20"/>
  <c r="M30" i="20"/>
  <c r="L31" i="20" s="1"/>
  <c r="K31" i="20" s="1"/>
  <c r="AI33" i="20"/>
  <c r="L34" i="20"/>
  <c r="K34" i="20" s="1"/>
  <c r="AB36" i="20"/>
  <c r="AA37" i="20"/>
  <c r="R34" i="20"/>
  <c r="K33" i="20"/>
  <c r="L48" i="6"/>
  <c r="H48" i="6"/>
  <c r="D48" i="6"/>
  <c r="L42" i="6"/>
  <c r="H42" i="6"/>
  <c r="D42" i="6"/>
  <c r="L44" i="6"/>
  <c r="H44" i="6"/>
  <c r="D44" i="6"/>
  <c r="E44" i="6" s="1"/>
  <c r="S4" i="24" l="1"/>
  <c r="S47" i="24" s="1"/>
  <c r="R48" i="24"/>
  <c r="S34" i="20"/>
  <c r="AK34" i="20"/>
  <c r="Y33" i="20"/>
  <c r="AE35" i="20"/>
  <c r="W33" i="20"/>
  <c r="Q34" i="20"/>
  <c r="V11" i="20"/>
  <c r="L35" i="20"/>
  <c r="M31" i="20"/>
  <c r="X34" i="20"/>
  <c r="W34" i="20" s="1"/>
  <c r="I37" i="20"/>
  <c r="J36" i="20"/>
  <c r="AD36" i="20"/>
  <c r="AD8" i="20" s="1"/>
  <c r="AE8" i="20" s="1"/>
  <c r="AJ35" i="20"/>
  <c r="AI35" i="20" s="1"/>
  <c r="U36" i="20"/>
  <c r="V35" i="20"/>
  <c r="P36" i="20"/>
  <c r="O37" i="20"/>
  <c r="AB37" i="20"/>
  <c r="AA38" i="20"/>
  <c r="AG37" i="20"/>
  <c r="AH36" i="20"/>
  <c r="R35" i="20"/>
  <c r="Q35" i="20" s="1"/>
  <c r="M44" i="6"/>
  <c r="M42" i="6"/>
  <c r="I44" i="6"/>
  <c r="I42" i="6"/>
  <c r="D47" i="6"/>
  <c r="T4" i="24" l="1"/>
  <c r="T47" i="24" s="1"/>
  <c r="S48" i="24"/>
  <c r="AE36" i="20"/>
  <c r="AK35" i="20"/>
  <c r="W12" i="20"/>
  <c r="AD37" i="20"/>
  <c r="AC37" i="20" s="1"/>
  <c r="L36" i="20"/>
  <c r="L8" i="20" s="1"/>
  <c r="AJ36" i="20"/>
  <c r="AI36" i="20" s="1"/>
  <c r="AI10" i="20" s="1"/>
  <c r="U37" i="20"/>
  <c r="V36" i="20"/>
  <c r="Y34" i="20"/>
  <c r="AC36" i="20"/>
  <c r="AC8" i="20" s="1"/>
  <c r="AB8" i="20" s="1"/>
  <c r="I38" i="20"/>
  <c r="J37" i="20"/>
  <c r="X12" i="20"/>
  <c r="Y12" i="20" s="1"/>
  <c r="X35" i="20"/>
  <c r="W35" i="20" s="1"/>
  <c r="AG38" i="20"/>
  <c r="AH37" i="20"/>
  <c r="P37" i="20"/>
  <c r="O38" i="20"/>
  <c r="M32" i="20"/>
  <c r="K35" i="20"/>
  <c r="S35" i="20"/>
  <c r="AB38" i="20"/>
  <c r="AA39" i="20"/>
  <c r="R36" i="20"/>
  <c r="Q36" i="20" s="1"/>
  <c r="Q10" i="20" s="1"/>
  <c r="E48" i="6"/>
  <c r="U4" i="24" l="1"/>
  <c r="U47" i="24" s="1"/>
  <c r="T48" i="24"/>
  <c r="AJ10" i="20"/>
  <c r="AK10" i="20" s="1"/>
  <c r="AE37" i="20"/>
  <c r="AK36" i="20"/>
  <c r="E8" i="20"/>
  <c r="M8" i="20"/>
  <c r="P38" i="20"/>
  <c r="O39" i="20"/>
  <c r="AD38" i="20"/>
  <c r="AC38" i="20" s="1"/>
  <c r="AJ37" i="20"/>
  <c r="AI37" i="20" s="1"/>
  <c r="R10" i="20"/>
  <c r="S10" i="20" s="1"/>
  <c r="S36" i="20"/>
  <c r="AG39" i="20"/>
  <c r="AH38" i="20"/>
  <c r="Y35" i="20"/>
  <c r="V12" i="20"/>
  <c r="L37" i="20"/>
  <c r="K37" i="20" s="1"/>
  <c r="X36" i="20"/>
  <c r="W36" i="20" s="1"/>
  <c r="W13" i="20" s="1"/>
  <c r="AB39" i="20"/>
  <c r="AA40" i="20"/>
  <c r="M33" i="20"/>
  <c r="R37" i="20"/>
  <c r="Q37" i="20" s="1"/>
  <c r="I39" i="20"/>
  <c r="J38" i="20"/>
  <c r="U38" i="20"/>
  <c r="V37" i="20"/>
  <c r="K36" i="20"/>
  <c r="V4" i="24" l="1"/>
  <c r="V47" i="24" s="1"/>
  <c r="V48" i="24" s="1"/>
  <c r="U48" i="24"/>
  <c r="AH10" i="20"/>
  <c r="S37" i="20"/>
  <c r="U39" i="20"/>
  <c r="V38" i="20"/>
  <c r="AB40" i="20"/>
  <c r="AA41" i="20"/>
  <c r="K8" i="20"/>
  <c r="I40" i="20"/>
  <c r="J39" i="20"/>
  <c r="M34" i="20"/>
  <c r="Y36" i="20"/>
  <c r="AE38" i="20"/>
  <c r="F8" i="20"/>
  <c r="X37" i="20"/>
  <c r="X13" i="20"/>
  <c r="Y13" i="20" s="1"/>
  <c r="P39" i="20"/>
  <c r="O40" i="20"/>
  <c r="AJ38" i="20"/>
  <c r="AI38" i="20" s="1"/>
  <c r="R38" i="20"/>
  <c r="Q38" i="20" s="1"/>
  <c r="L38" i="20"/>
  <c r="K38" i="20" s="1"/>
  <c r="AD39" i="20"/>
  <c r="AC39" i="20" s="1"/>
  <c r="AG40" i="20"/>
  <c r="AH39" i="20"/>
  <c r="AK37" i="20"/>
  <c r="P10" i="20"/>
  <c r="P21" i="1"/>
  <c r="P20" i="1"/>
  <c r="P19" i="1"/>
  <c r="B17" i="23"/>
  <c r="B25" i="1"/>
  <c r="F19" i="18"/>
  <c r="E19" i="18"/>
  <c r="D19" i="18"/>
  <c r="AK38" i="20" l="1"/>
  <c r="AE39" i="20"/>
  <c r="S38" i="20"/>
  <c r="AJ39" i="20"/>
  <c r="AI39" i="20" s="1"/>
  <c r="P40" i="20"/>
  <c r="O41" i="20"/>
  <c r="I41" i="20"/>
  <c r="J40" i="20"/>
  <c r="X38" i="20"/>
  <c r="W38" i="20" s="1"/>
  <c r="AG41" i="20"/>
  <c r="AH40" i="20"/>
  <c r="R39" i="20"/>
  <c r="Q39" i="20" s="1"/>
  <c r="Y37" i="20"/>
  <c r="M35" i="20"/>
  <c r="J8" i="20"/>
  <c r="C8" i="20" s="1"/>
  <c r="D8" i="20"/>
  <c r="AB41" i="20"/>
  <c r="AA42" i="20"/>
  <c r="U40" i="20"/>
  <c r="V39" i="20"/>
  <c r="AD40" i="20"/>
  <c r="W37" i="20"/>
  <c r="L39" i="20"/>
  <c r="V13" i="20"/>
  <c r="O20" i="18"/>
  <c r="N20" i="18"/>
  <c r="L20" i="18"/>
  <c r="X14" i="20" l="1"/>
  <c r="Y14" i="20" s="1"/>
  <c r="Y38" i="20"/>
  <c r="W14" i="20"/>
  <c r="X39" i="20"/>
  <c r="P41" i="20"/>
  <c r="O42" i="20"/>
  <c r="AK39" i="20"/>
  <c r="AE40" i="20"/>
  <c r="U41" i="20"/>
  <c r="V40" i="20"/>
  <c r="AJ40" i="20"/>
  <c r="AJ11" i="20" s="1"/>
  <c r="AK11" i="20" s="1"/>
  <c r="L40" i="20"/>
  <c r="K40" i="20" s="1"/>
  <c r="R40" i="20"/>
  <c r="Q40" i="20" s="1"/>
  <c r="Q11" i="20" s="1"/>
  <c r="K39" i="20"/>
  <c r="AB42" i="20"/>
  <c r="AA43" i="20"/>
  <c r="AG42" i="20"/>
  <c r="AH41" i="20"/>
  <c r="I42" i="20"/>
  <c r="J41" i="20"/>
  <c r="AC40" i="20"/>
  <c r="AD41" i="20"/>
  <c r="AC41" i="20" s="1"/>
  <c r="M36" i="20"/>
  <c r="S39" i="20"/>
  <c r="M97" i="16"/>
  <c r="O97" i="16"/>
  <c r="N97" i="16"/>
  <c r="M89" i="16"/>
  <c r="M59" i="16"/>
  <c r="M57" i="16"/>
  <c r="Q57" i="16" s="1"/>
  <c r="M54" i="16"/>
  <c r="Q54" i="16" s="1"/>
  <c r="M53" i="16"/>
  <c r="Q53" i="16" s="1"/>
  <c r="D10" i="18" l="1"/>
  <c r="V9" i="18" s="1"/>
  <c r="V10" i="18" s="1"/>
  <c r="U13" i="18" s="1"/>
  <c r="Q59" i="16"/>
  <c r="Y39" i="20"/>
  <c r="V14" i="20"/>
  <c r="R11" i="20"/>
  <c r="S11" i="20" s="1"/>
  <c r="L41" i="20"/>
  <c r="AB43" i="20"/>
  <c r="AA44" i="20"/>
  <c r="AE41" i="20"/>
  <c r="R41" i="20"/>
  <c r="Q41" i="20" s="1"/>
  <c r="S40" i="20"/>
  <c r="I43" i="20"/>
  <c r="J42" i="20"/>
  <c r="AD42" i="20"/>
  <c r="AC42" i="20" s="1"/>
  <c r="AI40" i="20"/>
  <c r="AI11" i="20" s="1"/>
  <c r="AH11" i="20" s="1"/>
  <c r="M37" i="20"/>
  <c r="AJ41" i="20"/>
  <c r="AI41" i="20" s="1"/>
  <c r="X40" i="20"/>
  <c r="AK40" i="20"/>
  <c r="AG43" i="20"/>
  <c r="AH42" i="20"/>
  <c r="U42" i="20"/>
  <c r="V41" i="20"/>
  <c r="P42" i="20"/>
  <c r="O43" i="20"/>
  <c r="W39" i="20"/>
  <c r="M78" i="16"/>
  <c r="X9" i="18" l="1"/>
  <c r="X10" i="18" s="1"/>
  <c r="W13" i="18" s="1"/>
  <c r="U9" i="18"/>
  <c r="U10" i="18" s="1"/>
  <c r="T13" i="18" s="1"/>
  <c r="Z9" i="18"/>
  <c r="Z10" i="18" s="1"/>
  <c r="Y13" i="18" s="1"/>
  <c r="W9" i="18"/>
  <c r="W10" i="18" s="1"/>
  <c r="V13" i="18" s="1"/>
  <c r="Y9" i="18"/>
  <c r="Y10" i="18" s="1"/>
  <c r="X13" i="18" s="1"/>
  <c r="AA9" i="18"/>
  <c r="AA11" i="18" s="1"/>
  <c r="AB9" i="18" s="1"/>
  <c r="AB11" i="18" s="1"/>
  <c r="Y40" i="20"/>
  <c r="X15" i="20"/>
  <c r="Y15" i="20" s="1"/>
  <c r="S41" i="20"/>
  <c r="P11" i="20"/>
  <c r="AK41" i="20"/>
  <c r="AE42" i="20"/>
  <c r="R42" i="20"/>
  <c r="S42" i="20" s="1"/>
  <c r="AJ42" i="20"/>
  <c r="AI42" i="20" s="1"/>
  <c r="X41" i="20"/>
  <c r="W41" i="20" s="1"/>
  <c r="AG44" i="20"/>
  <c r="AH43" i="20"/>
  <c r="W40" i="20"/>
  <c r="M38" i="20"/>
  <c r="U43" i="20"/>
  <c r="V42" i="20"/>
  <c r="L42" i="20"/>
  <c r="AB44" i="20"/>
  <c r="AA45" i="20"/>
  <c r="K41" i="20"/>
  <c r="P43" i="20"/>
  <c r="O44" i="20"/>
  <c r="I44" i="20"/>
  <c r="J43" i="20"/>
  <c r="AD43" i="20"/>
  <c r="N88" i="16"/>
  <c r="O21" i="18"/>
  <c r="N21" i="18"/>
  <c r="L21" i="18"/>
  <c r="AA10" i="18" l="1"/>
  <c r="Z13" i="18"/>
  <c r="AK42" i="20"/>
  <c r="AE43" i="20"/>
  <c r="L43" i="20"/>
  <c r="K43" i="20" s="1"/>
  <c r="P44" i="20"/>
  <c r="O45" i="20"/>
  <c r="AD44" i="20"/>
  <c r="AC44" i="20" s="1"/>
  <c r="U44" i="20"/>
  <c r="V43" i="20"/>
  <c r="M39" i="20"/>
  <c r="AG45" i="20"/>
  <c r="AH44" i="20"/>
  <c r="AC43" i="20"/>
  <c r="I45" i="20"/>
  <c r="J44" i="20"/>
  <c r="R43" i="20"/>
  <c r="S43" i="20" s="1"/>
  <c r="W15" i="20"/>
  <c r="V15" i="20" s="1"/>
  <c r="Q42" i="20"/>
  <c r="AB45" i="20"/>
  <c r="AA46" i="20"/>
  <c r="K42" i="20"/>
  <c r="AJ43" i="20"/>
  <c r="AK43" i="20" s="1"/>
  <c r="Y41" i="20"/>
  <c r="AB10" i="18"/>
  <c r="AA13" i="18" s="1"/>
  <c r="AC9" i="18"/>
  <c r="AC11" i="18" s="1"/>
  <c r="B6" i="22"/>
  <c r="AE44" i="20" l="1"/>
  <c r="AI43" i="20"/>
  <c r="AJ44" i="20"/>
  <c r="AK44" i="20" s="1"/>
  <c r="AB46" i="20"/>
  <c r="AA47" i="20"/>
  <c r="I46" i="20"/>
  <c r="J45" i="20"/>
  <c r="X42" i="20"/>
  <c r="AD45" i="20"/>
  <c r="AC45" i="20" s="1"/>
  <c r="Q43" i="20"/>
  <c r="M40" i="20"/>
  <c r="W43" i="20"/>
  <c r="X43" i="20"/>
  <c r="P45" i="20"/>
  <c r="O46" i="20"/>
  <c r="AG46" i="20"/>
  <c r="AH45" i="20"/>
  <c r="U45" i="20"/>
  <c r="V44" i="20"/>
  <c r="R44" i="20"/>
  <c r="S44" i="20" s="1"/>
  <c r="AC10" i="18"/>
  <c r="AB13" i="18" s="1"/>
  <c r="AD9" i="18"/>
  <c r="AD11" i="18" s="1"/>
  <c r="T16" i="22"/>
  <c r="T10" i="22"/>
  <c r="U10" i="22" s="1"/>
  <c r="Q44" i="20" l="1"/>
  <c r="Q12" i="20" s="1"/>
  <c r="AJ12" i="20"/>
  <c r="AK12" i="20" s="1"/>
  <c r="AE45" i="20"/>
  <c r="AI44" i="20"/>
  <c r="AI12" i="20" s="1"/>
  <c r="R12" i="20"/>
  <c r="S12" i="20" s="1"/>
  <c r="W44" i="20"/>
  <c r="W17" i="20" s="1"/>
  <c r="X44" i="20"/>
  <c r="AJ45" i="20"/>
  <c r="M41" i="20"/>
  <c r="X16" i="20"/>
  <c r="Y16" i="20" s="1"/>
  <c r="W42" i="20"/>
  <c r="I47" i="20"/>
  <c r="J46" i="20"/>
  <c r="AG47" i="20"/>
  <c r="AH46" i="20"/>
  <c r="P46" i="20"/>
  <c r="O47" i="20"/>
  <c r="Y42" i="20"/>
  <c r="Y43" i="20" s="1"/>
  <c r="AB47" i="20"/>
  <c r="AA48" i="20"/>
  <c r="R45" i="20"/>
  <c r="Q45" i="20" s="1"/>
  <c r="AD46" i="20"/>
  <c r="AC46" i="20" s="1"/>
  <c r="U46" i="20"/>
  <c r="V45" i="20"/>
  <c r="L45" i="20"/>
  <c r="K45" i="20" s="1"/>
  <c r="AD10" i="18"/>
  <c r="AC13" i="18" s="1"/>
  <c r="AE9" i="18"/>
  <c r="L16" i="22"/>
  <c r="L10" i="22"/>
  <c r="M10" i="22" s="1"/>
  <c r="D16" i="22"/>
  <c r="AH12" i="20" l="1"/>
  <c r="P12" i="20"/>
  <c r="Y44" i="20"/>
  <c r="W45" i="20"/>
  <c r="X45" i="20"/>
  <c r="AB48" i="20"/>
  <c r="AA49" i="20"/>
  <c r="R46" i="20"/>
  <c r="Q46" i="20" s="1"/>
  <c r="I48" i="20"/>
  <c r="J47" i="20"/>
  <c r="X17" i="20"/>
  <c r="Y17" i="20" s="1"/>
  <c r="U47" i="20"/>
  <c r="V46" i="20"/>
  <c r="AD47" i="20"/>
  <c r="AC47" i="20" s="1"/>
  <c r="AJ46" i="20"/>
  <c r="AI46" i="20" s="1"/>
  <c r="M42" i="20"/>
  <c r="AI45" i="20"/>
  <c r="AE46" i="20"/>
  <c r="AG48" i="20"/>
  <c r="AH47" i="20"/>
  <c r="W16" i="20"/>
  <c r="V16" i="20" s="1"/>
  <c r="AK45" i="20"/>
  <c r="P47" i="20"/>
  <c r="O48" i="20"/>
  <c r="L46" i="20"/>
  <c r="K46" i="20" s="1"/>
  <c r="S45" i="20"/>
  <c r="AE11" i="18"/>
  <c r="AE10" i="18"/>
  <c r="J42" i="16"/>
  <c r="G13" i="1"/>
  <c r="H20" i="1" s="1"/>
  <c r="G28" i="1"/>
  <c r="G51" i="1"/>
  <c r="G58" i="1"/>
  <c r="J13" i="1"/>
  <c r="P10" i="22" s="1"/>
  <c r="P12" i="22" s="1"/>
  <c r="J28" i="1"/>
  <c r="J51" i="1"/>
  <c r="J58" i="1"/>
  <c r="D71" i="6"/>
  <c r="E71" i="6" s="1"/>
  <c r="K28" i="17"/>
  <c r="K53" i="17"/>
  <c r="H38" i="16" s="1"/>
  <c r="J38" i="16" s="1"/>
  <c r="M38" i="16" s="1"/>
  <c r="Q38" i="16" s="1"/>
  <c r="H71" i="6"/>
  <c r="I71" i="6" s="1"/>
  <c r="Q28" i="17"/>
  <c r="L71" i="6"/>
  <c r="M71" i="6" s="1"/>
  <c r="M13" i="1"/>
  <c r="X10" i="22" s="1"/>
  <c r="X12" i="22" s="1"/>
  <c r="S28" i="17"/>
  <c r="M28" i="1"/>
  <c r="M51" i="1"/>
  <c r="M58" i="1"/>
  <c r="J86" i="16"/>
  <c r="J87" i="16"/>
  <c r="M87" i="16" s="1"/>
  <c r="J88" i="16"/>
  <c r="N86" i="16"/>
  <c r="N87" i="16"/>
  <c r="O86" i="16"/>
  <c r="O87" i="16"/>
  <c r="O88" i="16"/>
  <c r="J91" i="16"/>
  <c r="M91" i="16" s="1"/>
  <c r="J92" i="16"/>
  <c r="M92" i="16" s="1"/>
  <c r="J94" i="16"/>
  <c r="M94" i="16" s="1"/>
  <c r="J95" i="16"/>
  <c r="M95" i="16" s="1"/>
  <c r="N91" i="16"/>
  <c r="N92" i="16"/>
  <c r="N94" i="16"/>
  <c r="N95" i="16"/>
  <c r="O91" i="16"/>
  <c r="O92" i="16"/>
  <c r="O94" i="16"/>
  <c r="O95" i="16"/>
  <c r="J39" i="23"/>
  <c r="H39" i="23"/>
  <c r="F39" i="23"/>
  <c r="D70" i="6"/>
  <c r="E70" i="6" s="1"/>
  <c r="D72" i="6"/>
  <c r="E72" i="6" s="1"/>
  <c r="D73" i="6"/>
  <c r="E73" i="6" s="1"/>
  <c r="J39" i="16"/>
  <c r="M39" i="16" s="1"/>
  <c r="Q39" i="16" s="1"/>
  <c r="M40" i="16"/>
  <c r="Q40" i="16" s="1"/>
  <c r="J41" i="16"/>
  <c r="M41" i="16" s="1"/>
  <c r="Q41" i="16" s="1"/>
  <c r="N44" i="16"/>
  <c r="N89" i="16"/>
  <c r="O44" i="16"/>
  <c r="O26" i="18" s="1"/>
  <c r="O89" i="16"/>
  <c r="C4" i="18"/>
  <c r="B2" i="23"/>
  <c r="J5" i="23"/>
  <c r="H5" i="23"/>
  <c r="F5" i="23"/>
  <c r="E29" i="6"/>
  <c r="E26" i="6"/>
  <c r="J11" i="23"/>
  <c r="H11" i="23"/>
  <c r="R6" i="23" s="1"/>
  <c r="I26" i="6"/>
  <c r="M26" i="6"/>
  <c r="N106" i="17"/>
  <c r="G47" i="1" s="1"/>
  <c r="G49" i="1" s="1"/>
  <c r="Q106" i="17"/>
  <c r="S106" i="17"/>
  <c r="M47" i="1" s="1"/>
  <c r="M49" i="1" s="1"/>
  <c r="H70" i="6"/>
  <c r="I70" i="6" s="1"/>
  <c r="H72" i="6"/>
  <c r="I72" i="6" s="1"/>
  <c r="H73" i="6"/>
  <c r="I73" i="6" s="1"/>
  <c r="L70" i="6"/>
  <c r="M70" i="6" s="1"/>
  <c r="L72" i="6"/>
  <c r="M72" i="6" s="1"/>
  <c r="L73" i="6"/>
  <c r="M73" i="6" s="1"/>
  <c r="E53" i="6"/>
  <c r="N13" i="17"/>
  <c r="D10" i="22"/>
  <c r="E10" i="22" s="1"/>
  <c r="F16" i="18"/>
  <c r="E16" i="18"/>
  <c r="D16" i="18"/>
  <c r="B10" i="18"/>
  <c r="C37" i="18" s="1"/>
  <c r="B2" i="16"/>
  <c r="L57" i="6"/>
  <c r="K59" i="6" s="1"/>
  <c r="D57" i="6"/>
  <c r="B59" i="6" s="1"/>
  <c r="H57" i="6"/>
  <c r="G59" i="6" s="1"/>
  <c r="M56" i="6"/>
  <c r="I56" i="6"/>
  <c r="E56" i="6"/>
  <c r="M55" i="6"/>
  <c r="I55" i="6"/>
  <c r="E55" i="6"/>
  <c r="M54" i="6"/>
  <c r="I54" i="6"/>
  <c r="E54" i="6"/>
  <c r="M53" i="6"/>
  <c r="I53" i="6"/>
  <c r="L47" i="6"/>
  <c r="H47" i="6"/>
  <c r="M46" i="6"/>
  <c r="I46" i="6"/>
  <c r="M45" i="6"/>
  <c r="I45" i="6"/>
  <c r="M43" i="6"/>
  <c r="I43" i="6"/>
  <c r="E43" i="6"/>
  <c r="E42" i="6"/>
  <c r="L30" i="6"/>
  <c r="K32" i="6" s="1"/>
  <c r="H30" i="6"/>
  <c r="G32" i="6" s="1"/>
  <c r="D30" i="6"/>
  <c r="B32" i="6" s="1"/>
  <c r="M29" i="6"/>
  <c r="I29" i="6"/>
  <c r="M28" i="6"/>
  <c r="I28" i="6"/>
  <c r="E28" i="6"/>
  <c r="M27" i="6"/>
  <c r="I27" i="6"/>
  <c r="E27" i="6"/>
  <c r="B2" i="6"/>
  <c r="M10" i="1"/>
  <c r="J10" i="1"/>
  <c r="G10" i="1"/>
  <c r="B4" i="1" s="1"/>
  <c r="M7" i="1"/>
  <c r="J7" i="1"/>
  <c r="B2" i="1"/>
  <c r="P137" i="17"/>
  <c r="N137" i="17"/>
  <c r="L137" i="17"/>
  <c r="K137" i="17"/>
  <c r="H137" i="17"/>
  <c r="G137" i="17"/>
  <c r="F137" i="17"/>
  <c r="S136" i="17"/>
  <c r="S135" i="17"/>
  <c r="S134" i="17"/>
  <c r="S133" i="17"/>
  <c r="S132" i="17"/>
  <c r="S105" i="17"/>
  <c r="Q105" i="17"/>
  <c r="N105" i="17"/>
  <c r="S102" i="17"/>
  <c r="Q102" i="17"/>
  <c r="N102" i="17"/>
  <c r="T97" i="17"/>
  <c r="S97" i="17"/>
  <c r="R97" i="17"/>
  <c r="Q97" i="17"/>
  <c r="O97" i="17"/>
  <c r="N97" i="17"/>
  <c r="M97" i="17"/>
  <c r="L97" i="17"/>
  <c r="S95" i="17"/>
  <c r="Q95" i="17"/>
  <c r="N95" i="17"/>
  <c r="D17" i="18" s="1"/>
  <c r="W90" i="17"/>
  <c r="W89" i="17"/>
  <c r="W88" i="17"/>
  <c r="W85" i="17"/>
  <c r="W84" i="17"/>
  <c r="S76" i="17"/>
  <c r="M27" i="1" s="1"/>
  <c r="Q76" i="17"/>
  <c r="J27" i="1" s="1"/>
  <c r="N76" i="17"/>
  <c r="G27" i="1" s="1"/>
  <c r="S64" i="17"/>
  <c r="O58" i="16" s="1"/>
  <c r="O61" i="16" s="1"/>
  <c r="Q64" i="17"/>
  <c r="N58" i="16" s="1"/>
  <c r="N61" i="16" s="1"/>
  <c r="L64" i="17"/>
  <c r="K64" i="17"/>
  <c r="N62" i="17"/>
  <c r="N61" i="17"/>
  <c r="N60" i="17"/>
  <c r="N59" i="17"/>
  <c r="N58" i="17"/>
  <c r="N57" i="17"/>
  <c r="X45" i="17"/>
  <c r="X44" i="17"/>
  <c r="T44" i="17"/>
  <c r="S44" i="17"/>
  <c r="R44" i="17"/>
  <c r="Q44" i="17"/>
  <c r="M44" i="17"/>
  <c r="L44" i="17"/>
  <c r="K44" i="17"/>
  <c r="X43" i="17"/>
  <c r="N43" i="17"/>
  <c r="X42" i="17"/>
  <c r="N42" i="17"/>
  <c r="X41" i="17"/>
  <c r="N41" i="17"/>
  <c r="H40" i="17"/>
  <c r="X39" i="17"/>
  <c r="T39" i="17"/>
  <c r="S39" i="17"/>
  <c r="R39" i="17"/>
  <c r="Q39" i="17"/>
  <c r="M39" i="17"/>
  <c r="L39" i="17"/>
  <c r="K39" i="17"/>
  <c r="X38" i="17"/>
  <c r="N38" i="17"/>
  <c r="X37" i="17"/>
  <c r="N37" i="17"/>
  <c r="X36" i="17"/>
  <c r="N36" i="17"/>
  <c r="X34" i="17"/>
  <c r="N34" i="17"/>
  <c r="X33" i="17"/>
  <c r="N33" i="17"/>
  <c r="X30" i="17"/>
  <c r="N30" i="17"/>
  <c r="X29" i="17"/>
  <c r="H29" i="17"/>
  <c r="X28" i="17"/>
  <c r="T28" i="17"/>
  <c r="R28" i="17"/>
  <c r="M28" i="17"/>
  <c r="L28" i="17"/>
  <c r="X27" i="17"/>
  <c r="N27" i="17"/>
  <c r="X25" i="17"/>
  <c r="N25" i="17"/>
  <c r="X24" i="17"/>
  <c r="N24" i="17"/>
  <c r="X22" i="17"/>
  <c r="N22" i="17"/>
  <c r="X21" i="17"/>
  <c r="N21" i="17"/>
  <c r="X19" i="17"/>
  <c r="N19" i="17"/>
  <c r="X18" i="17"/>
  <c r="N18" i="17"/>
  <c r="X17" i="17"/>
  <c r="N17" i="17"/>
  <c r="X16" i="17"/>
  <c r="N16" i="17"/>
  <c r="X15" i="17"/>
  <c r="N15" i="17"/>
  <c r="X13" i="17"/>
  <c r="X12" i="17"/>
  <c r="N12" i="17"/>
  <c r="X11" i="17"/>
  <c r="N11" i="17"/>
  <c r="B2" i="17"/>
  <c r="P54" i="7"/>
  <c r="O54" i="7"/>
  <c r="N54" i="7"/>
  <c r="M54" i="7"/>
  <c r="L54" i="7"/>
  <c r="K54" i="7"/>
  <c r="J54" i="7"/>
  <c r="I54" i="7"/>
  <c r="H54" i="7"/>
  <c r="F54" i="7"/>
  <c r="E54" i="7"/>
  <c r="C54" i="7"/>
  <c r="P55" i="7"/>
  <c r="Q55" i="7" s="1"/>
  <c r="P45" i="7"/>
  <c r="O45" i="7"/>
  <c r="N45" i="7"/>
  <c r="M45" i="7"/>
  <c r="L45" i="7"/>
  <c r="K45" i="7"/>
  <c r="J45" i="7"/>
  <c r="I45" i="7"/>
  <c r="H45" i="7"/>
  <c r="F45" i="7"/>
  <c r="E45" i="7"/>
  <c r="C45" i="7"/>
  <c r="C43" i="7"/>
  <c r="C44" i="7" s="1"/>
  <c r="O36" i="7"/>
  <c r="N36" i="7"/>
  <c r="M36" i="7"/>
  <c r="L36" i="7"/>
  <c r="K36" i="7"/>
  <c r="J36" i="7"/>
  <c r="I36" i="7"/>
  <c r="H36" i="7"/>
  <c r="F36" i="7"/>
  <c r="E36" i="7"/>
  <c r="C36" i="7"/>
  <c r="P32" i="7"/>
  <c r="O37" i="7" s="1"/>
  <c r="P28" i="7"/>
  <c r="O28" i="7"/>
  <c r="N28" i="7"/>
  <c r="M28" i="7"/>
  <c r="L28" i="7"/>
  <c r="K28" i="7"/>
  <c r="J28" i="7"/>
  <c r="I28" i="7"/>
  <c r="H28" i="7"/>
  <c r="F28" i="7"/>
  <c r="E28" i="7"/>
  <c r="C28" i="7"/>
  <c r="H16" i="7"/>
  <c r="E16" i="7"/>
  <c r="B16" i="7"/>
  <c r="B2" i="7"/>
  <c r="G118" i="13"/>
  <c r="E118" i="13"/>
  <c r="G111" i="13"/>
  <c r="E111" i="13"/>
  <c r="O58" i="13"/>
  <c r="K34" i="7"/>
  <c r="H52" i="7" l="1"/>
  <c r="O34" i="7"/>
  <c r="J10" i="16"/>
  <c r="P17" i="7"/>
  <c r="M34" i="7"/>
  <c r="L34" i="7"/>
  <c r="O52" i="7"/>
  <c r="B32" i="18"/>
  <c r="D37" i="18" s="1"/>
  <c r="S107" i="17"/>
  <c r="J52" i="7"/>
  <c r="M52" i="7"/>
  <c r="K52" i="7"/>
  <c r="C52" i="7"/>
  <c r="C53" i="7" s="1"/>
  <c r="N52" i="7"/>
  <c r="L52" i="7"/>
  <c r="F52" i="7"/>
  <c r="I52" i="7"/>
  <c r="P52" i="7"/>
  <c r="E52" i="7"/>
  <c r="L43" i="7"/>
  <c r="J43" i="7"/>
  <c r="O43" i="7"/>
  <c r="M43" i="7"/>
  <c r="K43" i="7"/>
  <c r="P43" i="7"/>
  <c r="N43" i="7"/>
  <c r="F43" i="7"/>
  <c r="J34" i="7"/>
  <c r="I34" i="7"/>
  <c r="H34" i="7"/>
  <c r="F34" i="7"/>
  <c r="E34" i="7"/>
  <c r="C34" i="7"/>
  <c r="E43" i="7"/>
  <c r="E44" i="7" s="1"/>
  <c r="I43" i="7"/>
  <c r="H43" i="7"/>
  <c r="N34" i="7"/>
  <c r="R55" i="7"/>
  <c r="AD13" i="18"/>
  <c r="J39" i="18" s="1"/>
  <c r="V17" i="20"/>
  <c r="AE47" i="20"/>
  <c r="S46" i="20"/>
  <c r="AK46" i="20"/>
  <c r="AJ47" i="20"/>
  <c r="AI47" i="20" s="1"/>
  <c r="M43" i="20"/>
  <c r="L44" i="20" s="1"/>
  <c r="K44" i="20" s="1"/>
  <c r="P48" i="20"/>
  <c r="O49" i="20"/>
  <c r="AG49" i="20"/>
  <c r="AH48" i="20"/>
  <c r="W46" i="20"/>
  <c r="X46" i="20"/>
  <c r="L47" i="20"/>
  <c r="K47" i="20" s="1"/>
  <c r="AB49" i="20"/>
  <c r="AA50" i="20"/>
  <c r="R47" i="20"/>
  <c r="Y45" i="20"/>
  <c r="U48" i="20"/>
  <c r="V47" i="20"/>
  <c r="I49" i="20"/>
  <c r="J48" i="20"/>
  <c r="AD48" i="20"/>
  <c r="AD9" i="20" s="1"/>
  <c r="AE9" i="20" s="1"/>
  <c r="H39" i="18"/>
  <c r="D39" i="18"/>
  <c r="G38" i="18"/>
  <c r="G39" i="18"/>
  <c r="J38" i="18"/>
  <c r="F38" i="18"/>
  <c r="F39" i="18"/>
  <c r="I38" i="18"/>
  <c r="E38" i="18"/>
  <c r="I39" i="18"/>
  <c r="E39" i="18"/>
  <c r="D38" i="18"/>
  <c r="R46" i="7"/>
  <c r="S137" i="17"/>
  <c r="M46" i="17"/>
  <c r="N39" i="17"/>
  <c r="L46" i="17"/>
  <c r="L47" i="17" s="1"/>
  <c r="N44" i="17"/>
  <c r="T46" i="17"/>
  <c r="S46" i="17"/>
  <c r="N107" i="17"/>
  <c r="E17" i="18"/>
  <c r="K46" i="17"/>
  <c r="K47" i="17" s="1"/>
  <c r="F17" i="18"/>
  <c r="R46" i="17"/>
  <c r="N64" i="17"/>
  <c r="Q107" i="17"/>
  <c r="J47" i="1"/>
  <c r="J49" i="1" s="1"/>
  <c r="K49" i="1" s="1"/>
  <c r="Q46" i="17"/>
  <c r="Q47" i="17" s="1"/>
  <c r="Q51" i="17" s="1"/>
  <c r="O103" i="16"/>
  <c r="N103" i="16"/>
  <c r="O10" i="16"/>
  <c r="N10" i="16"/>
  <c r="M58" i="16"/>
  <c r="Q58" i="16" s="1"/>
  <c r="M10" i="16"/>
  <c r="J58" i="16"/>
  <c r="M48" i="6"/>
  <c r="I48" i="6"/>
  <c r="E30" i="6"/>
  <c r="B36" i="6" s="1"/>
  <c r="I57" i="6"/>
  <c r="I30" i="6"/>
  <c r="G36" i="6" s="1"/>
  <c r="E57" i="6"/>
  <c r="B63" i="6" s="1"/>
  <c r="M30" i="6"/>
  <c r="K36" i="6" s="1"/>
  <c r="M57" i="6"/>
  <c r="K29" i="18"/>
  <c r="M86" i="16"/>
  <c r="L29" i="18" s="1"/>
  <c r="M88" i="16"/>
  <c r="K17" i="18"/>
  <c r="M42" i="16"/>
  <c r="Q42" i="16" s="1"/>
  <c r="N26" i="18"/>
  <c r="O29" i="18"/>
  <c r="K27" i="18"/>
  <c r="N27" i="18"/>
  <c r="O27" i="18"/>
  <c r="N29" i="18"/>
  <c r="N85" i="16"/>
  <c r="O85" i="16"/>
  <c r="N96" i="16"/>
  <c r="N28" i="18" s="1"/>
  <c r="O96" i="16"/>
  <c r="O28" i="18" s="1"/>
  <c r="X55" i="17"/>
  <c r="E26" i="7"/>
  <c r="J26" i="7"/>
  <c r="N26" i="7"/>
  <c r="F26" i="7"/>
  <c r="K26" i="7"/>
  <c r="O26" i="7"/>
  <c r="H26" i="7"/>
  <c r="L26" i="7"/>
  <c r="P26" i="7"/>
  <c r="P37" i="7"/>
  <c r="C26" i="7"/>
  <c r="C27" i="7" s="1"/>
  <c r="I26" i="7"/>
  <c r="M26" i="7"/>
  <c r="K92" i="16"/>
  <c r="J96" i="16"/>
  <c r="K28" i="18" s="1"/>
  <c r="K94" i="16"/>
  <c r="C61" i="16"/>
  <c r="B61" i="16" s="1"/>
  <c r="C63" i="16"/>
  <c r="J44" i="16"/>
  <c r="N28" i="17"/>
  <c r="K48" i="1"/>
  <c r="H47" i="1"/>
  <c r="K31" i="1"/>
  <c r="K40" i="1"/>
  <c r="H57" i="1"/>
  <c r="H40" i="1"/>
  <c r="K58" i="1"/>
  <c r="K29" i="1"/>
  <c r="K61" i="1"/>
  <c r="K28" i="1"/>
  <c r="N46" i="1"/>
  <c r="N40" i="1"/>
  <c r="N36" i="1"/>
  <c r="K30" i="1"/>
  <c r="N10" i="1"/>
  <c r="H49" i="1"/>
  <c r="K36" i="1"/>
  <c r="K46" i="1"/>
  <c r="K57" i="1"/>
  <c r="H39" i="1"/>
  <c r="H37" i="1"/>
  <c r="K26" i="1"/>
  <c r="K37" i="1"/>
  <c r="K10" i="1"/>
  <c r="K12" i="1"/>
  <c r="K11" i="1"/>
  <c r="H28" i="1"/>
  <c r="K38" i="1"/>
  <c r="K43" i="1"/>
  <c r="H35" i="1"/>
  <c r="K52" i="1"/>
  <c r="K56" i="1"/>
  <c r="K41" i="1"/>
  <c r="K34" i="1"/>
  <c r="K23" i="1"/>
  <c r="H36" i="1"/>
  <c r="H46" i="1"/>
  <c r="H12" i="1"/>
  <c r="H10" i="1"/>
  <c r="K51" i="1"/>
  <c r="G44" i="1"/>
  <c r="H44" i="1" s="1"/>
  <c r="H42" i="1"/>
  <c r="K32" i="1"/>
  <c r="K53" i="1"/>
  <c r="K60" i="1"/>
  <c r="K35" i="1"/>
  <c r="K39" i="1"/>
  <c r="H33" i="1"/>
  <c r="H43" i="1"/>
  <c r="K33" i="1"/>
  <c r="H52" i="1"/>
  <c r="K42" i="1"/>
  <c r="J16" i="1"/>
  <c r="H58" i="1"/>
  <c r="G16" i="1"/>
  <c r="N29" i="1"/>
  <c r="N57" i="1"/>
  <c r="N30" i="1"/>
  <c r="N28" i="1"/>
  <c r="N32" i="1"/>
  <c r="N60" i="1"/>
  <c r="N31" i="1"/>
  <c r="N27" i="1"/>
  <c r="N22" i="1"/>
  <c r="N33" i="1"/>
  <c r="N56" i="1"/>
  <c r="N41" i="1"/>
  <c r="N34" i="1"/>
  <c r="N11" i="1"/>
  <c r="N42" i="1"/>
  <c r="N51" i="1"/>
  <c r="M16" i="1"/>
  <c r="H27" i="1"/>
  <c r="K22" i="1"/>
  <c r="M44" i="1"/>
  <c r="M67" i="1"/>
  <c r="T14" i="22" s="1"/>
  <c r="X14" i="22" s="1"/>
  <c r="K20" i="1"/>
  <c r="Z10" i="22"/>
  <c r="H38" i="1"/>
  <c r="N37" i="1"/>
  <c r="N43" i="1"/>
  <c r="H30" i="1"/>
  <c r="N52" i="1"/>
  <c r="N61" i="1"/>
  <c r="N35" i="1"/>
  <c r="N12" i="1"/>
  <c r="N26" i="1"/>
  <c r="H53" i="1"/>
  <c r="H61" i="1"/>
  <c r="H60" i="1"/>
  <c r="H23" i="1"/>
  <c r="J44" i="1"/>
  <c r="R10" i="22"/>
  <c r="G67" i="1"/>
  <c r="D14" i="22" s="1"/>
  <c r="E14" i="22" s="1"/>
  <c r="H14" i="22" s="1"/>
  <c r="J14" i="22" s="1"/>
  <c r="H22" i="1"/>
  <c r="K27" i="1"/>
  <c r="N20" i="1"/>
  <c r="N47" i="1"/>
  <c r="N38" i="1"/>
  <c r="H31" i="1"/>
  <c r="H41" i="1"/>
  <c r="H34" i="1"/>
  <c r="N48" i="1"/>
  <c r="N53" i="1"/>
  <c r="N58" i="1"/>
  <c r="N39" i="1"/>
  <c r="H29" i="1"/>
  <c r="H32" i="1"/>
  <c r="N23" i="1"/>
  <c r="H48" i="1"/>
  <c r="H56" i="1"/>
  <c r="H26" i="1"/>
  <c r="H11" i="1"/>
  <c r="N49" i="1"/>
  <c r="H10" i="22"/>
  <c r="H51" i="1"/>
  <c r="Q61" i="16" l="1"/>
  <c r="R58" i="16" s="1"/>
  <c r="Q44" i="16"/>
  <c r="M24" i="1"/>
  <c r="M54" i="1" s="1"/>
  <c r="J65" i="1"/>
  <c r="J66" i="1" s="1"/>
  <c r="P18" i="1"/>
  <c r="Q10" i="16"/>
  <c r="S47" i="17"/>
  <c r="S51" i="17" s="1"/>
  <c r="H38" i="18"/>
  <c r="K38" i="18" s="1"/>
  <c r="J37" i="18"/>
  <c r="I37" i="18"/>
  <c r="F37" i="18"/>
  <c r="E37" i="18"/>
  <c r="G37" i="18"/>
  <c r="H37" i="18"/>
  <c r="J79" i="23"/>
  <c r="J78" i="23" s="1"/>
  <c r="K63" i="6"/>
  <c r="H79" i="23"/>
  <c r="H78" i="23" s="1"/>
  <c r="G63" i="6"/>
  <c r="E53" i="7"/>
  <c r="F53" i="7" s="1"/>
  <c r="H53" i="7" s="1"/>
  <c r="I53" i="7" s="1"/>
  <c r="J53" i="7" s="1"/>
  <c r="K53" i="7" s="1"/>
  <c r="L53" i="7" s="1"/>
  <c r="M53" i="7" s="1"/>
  <c r="N53" i="7" s="1"/>
  <c r="O53" i="7" s="1"/>
  <c r="P53" i="7" s="1"/>
  <c r="F44" i="7"/>
  <c r="H44" i="7" s="1"/>
  <c r="I44" i="7" s="1"/>
  <c r="J44" i="7" s="1"/>
  <c r="K44" i="7" s="1"/>
  <c r="L44" i="7" s="1"/>
  <c r="M44" i="7" s="1"/>
  <c r="N44" i="7" s="1"/>
  <c r="O44" i="7" s="1"/>
  <c r="P44" i="7" s="1"/>
  <c r="F79" i="23"/>
  <c r="F78" i="23" s="1"/>
  <c r="Y46" i="20"/>
  <c r="I50" i="20"/>
  <c r="J49" i="20"/>
  <c r="AB50" i="20"/>
  <c r="AA51" i="20"/>
  <c r="AG50" i="20"/>
  <c r="AH49" i="20"/>
  <c r="W18" i="20"/>
  <c r="AE48" i="20"/>
  <c r="S47" i="20"/>
  <c r="AC48" i="20"/>
  <c r="AC9" i="20" s="1"/>
  <c r="AB9" i="20" s="1"/>
  <c r="W47" i="20"/>
  <c r="X47" i="20"/>
  <c r="Q47" i="20"/>
  <c r="AD49" i="20"/>
  <c r="AC49" i="20" s="1"/>
  <c r="P49" i="20"/>
  <c r="O50" i="20"/>
  <c r="X18" i="20"/>
  <c r="Y18" i="20" s="1"/>
  <c r="U49" i="20"/>
  <c r="V48" i="20"/>
  <c r="R48" i="20"/>
  <c r="R13" i="20" s="1"/>
  <c r="S13" i="20" s="1"/>
  <c r="L48" i="20"/>
  <c r="K48" i="20" s="1"/>
  <c r="AJ48" i="20"/>
  <c r="AJ13" i="20" s="1"/>
  <c r="AK13" i="20" s="1"/>
  <c r="M44" i="20"/>
  <c r="AK47" i="20"/>
  <c r="K39" i="18"/>
  <c r="J72" i="23"/>
  <c r="J73" i="23" s="1"/>
  <c r="H72" i="23"/>
  <c r="H73" i="23" s="1"/>
  <c r="F72" i="23"/>
  <c r="F73" i="23" s="1"/>
  <c r="B63" i="16"/>
  <c r="C65" i="16"/>
  <c r="B66" i="16" s="1"/>
  <c r="L69" i="6"/>
  <c r="M69" i="6" s="1"/>
  <c r="H69" i="6"/>
  <c r="I69" i="6" s="1"/>
  <c r="D69" i="6"/>
  <c r="E69" i="6" s="1"/>
  <c r="N11" i="16"/>
  <c r="N100" i="16" s="1"/>
  <c r="O16" i="18"/>
  <c r="N47" i="17"/>
  <c r="N51" i="17" s="1"/>
  <c r="K47" i="1"/>
  <c r="N16" i="18"/>
  <c r="O11" i="16"/>
  <c r="O100" i="16" s="1"/>
  <c r="K16" i="18"/>
  <c r="K22" i="18" s="1"/>
  <c r="Q50" i="17"/>
  <c r="J67" i="1"/>
  <c r="L14" i="22" s="1"/>
  <c r="M14" i="22" s="1"/>
  <c r="L16" i="18"/>
  <c r="K54" i="17"/>
  <c r="N46" i="17"/>
  <c r="S53" i="17" s="1"/>
  <c r="R54" i="17" s="1"/>
  <c r="J11" i="16"/>
  <c r="J19" i="16" s="1"/>
  <c r="K10" i="16" s="1"/>
  <c r="M11" i="16"/>
  <c r="N44" i="1"/>
  <c r="M61" i="16"/>
  <c r="M103" i="16"/>
  <c r="J61" i="16"/>
  <c r="J63" i="16" s="1"/>
  <c r="K87" i="16" s="1"/>
  <c r="J103" i="16"/>
  <c r="H12" i="22"/>
  <c r="J12" i="22" s="1"/>
  <c r="K44" i="1"/>
  <c r="M44" i="16"/>
  <c r="L26" i="18" s="1"/>
  <c r="M96" i="16"/>
  <c r="D8" i="18"/>
  <c r="K40" i="16"/>
  <c r="K26" i="18"/>
  <c r="K30" i="18" s="1"/>
  <c r="L27" i="18"/>
  <c r="K41" i="16"/>
  <c r="J85" i="16"/>
  <c r="K39" i="16"/>
  <c r="E27" i="7"/>
  <c r="F27" i="7" s="1"/>
  <c r="H27" i="7" s="1"/>
  <c r="I27" i="7" s="1"/>
  <c r="J27" i="7" s="1"/>
  <c r="K27" i="7" s="1"/>
  <c r="L27" i="7" s="1"/>
  <c r="M27" i="7" s="1"/>
  <c r="N27" i="7" s="1"/>
  <c r="O27" i="7" s="1"/>
  <c r="P27" i="7" s="1"/>
  <c r="C35" i="7" s="1"/>
  <c r="E35" i="7" s="1"/>
  <c r="F35" i="7" s="1"/>
  <c r="H35" i="7" s="1"/>
  <c r="I35" i="7" s="1"/>
  <c r="J35" i="7" s="1"/>
  <c r="K35" i="7" s="1"/>
  <c r="L35" i="7" s="1"/>
  <c r="M35" i="7" s="1"/>
  <c r="N35" i="7" s="1"/>
  <c r="O35" i="7" s="1"/>
  <c r="J98" i="16"/>
  <c r="K38" i="16"/>
  <c r="F42" i="16"/>
  <c r="K42" i="16"/>
  <c r="C42" i="16" s="1"/>
  <c r="N67" i="1"/>
  <c r="U14" i="22"/>
  <c r="P14" i="22"/>
  <c r="R14" i="22" s="1"/>
  <c r="H67" i="1"/>
  <c r="Z14" i="22"/>
  <c r="H11" i="22"/>
  <c r="J10" i="22"/>
  <c r="Q63" i="16" l="1"/>
  <c r="R44" i="16" s="1"/>
  <c r="R42" i="16"/>
  <c r="R39" i="16"/>
  <c r="R38" i="16"/>
  <c r="R59" i="16"/>
  <c r="R53" i="16"/>
  <c r="R61" i="16"/>
  <c r="J24" i="1"/>
  <c r="J70" i="1" s="1"/>
  <c r="K70" i="1" s="1"/>
  <c r="H74" i="6" s="1"/>
  <c r="I74" i="6" s="1"/>
  <c r="I75" i="6" s="1"/>
  <c r="G65" i="1"/>
  <c r="H65" i="1" s="1"/>
  <c r="H66" i="1" s="1"/>
  <c r="G68" i="1" s="1"/>
  <c r="D18" i="22" s="1"/>
  <c r="E18" i="22" s="1"/>
  <c r="S50" i="17"/>
  <c r="N24" i="1"/>
  <c r="M45" i="1"/>
  <c r="M50" i="1" s="1"/>
  <c r="M70" i="1"/>
  <c r="N70" i="1" s="1"/>
  <c r="L74" i="6" s="1"/>
  <c r="L75" i="6" s="1"/>
  <c r="K75" i="6" s="1"/>
  <c r="H18" i="1"/>
  <c r="G24" i="1"/>
  <c r="G70" i="1" s="1"/>
  <c r="H70" i="1" s="1"/>
  <c r="D74" i="6" s="1"/>
  <c r="E74" i="6" s="1"/>
  <c r="M25" i="1"/>
  <c r="N25" i="1" s="1"/>
  <c r="N18" i="1"/>
  <c r="M65" i="1"/>
  <c r="K65" i="1"/>
  <c r="K66" i="1" s="1"/>
  <c r="J68" i="1" s="1"/>
  <c r="R5" i="23" s="1"/>
  <c r="K18" i="1"/>
  <c r="R63" i="16"/>
  <c r="M100" i="16"/>
  <c r="Q11" i="16"/>
  <c r="J54" i="1"/>
  <c r="K54" i="1" s="1"/>
  <c r="L28" i="18"/>
  <c r="R96" i="16"/>
  <c r="K37" i="18"/>
  <c r="K86" i="16"/>
  <c r="K88" i="16"/>
  <c r="Q48" i="20"/>
  <c r="Q13" i="20" s="1"/>
  <c r="P13" i="20" s="1"/>
  <c r="U50" i="20"/>
  <c r="V49" i="20"/>
  <c r="R49" i="20"/>
  <c r="Q49" i="20" s="1"/>
  <c r="AE49" i="20"/>
  <c r="AB51" i="20"/>
  <c r="AA52" i="20"/>
  <c r="I51" i="20"/>
  <c r="J50" i="20"/>
  <c r="M45" i="20"/>
  <c r="L9" i="20"/>
  <c r="V18" i="20"/>
  <c r="AD50" i="20"/>
  <c r="AC50" i="20" s="1"/>
  <c r="K9" i="20"/>
  <c r="AJ49" i="20"/>
  <c r="AI49" i="20" s="1"/>
  <c r="Y47" i="20"/>
  <c r="AK48" i="20"/>
  <c r="AI48" i="20"/>
  <c r="AI13" i="20" s="1"/>
  <c r="AH13" i="20" s="1"/>
  <c r="W48" i="20"/>
  <c r="W19" i="20" s="1"/>
  <c r="X48" i="20"/>
  <c r="X19" i="20" s="1"/>
  <c r="Y19" i="20" s="1"/>
  <c r="P50" i="20"/>
  <c r="O51" i="20"/>
  <c r="S48" i="20"/>
  <c r="AG51" i="20"/>
  <c r="AH50" i="20"/>
  <c r="L49" i="20"/>
  <c r="K49" i="20" s="1"/>
  <c r="J36" i="18"/>
  <c r="K36" i="18" s="1"/>
  <c r="G42" i="18" s="1"/>
  <c r="J35" i="18"/>
  <c r="F35" i="18"/>
  <c r="F40" i="18" s="1"/>
  <c r="F41" i="18" s="1"/>
  <c r="I35" i="18"/>
  <c r="I40" i="18" s="1"/>
  <c r="I41" i="18" s="1"/>
  <c r="E35" i="18"/>
  <c r="E40" i="18" s="1"/>
  <c r="E41" i="18" s="1"/>
  <c r="H35" i="18"/>
  <c r="H40" i="18" s="1"/>
  <c r="H41" i="18" s="1"/>
  <c r="D35" i="18"/>
  <c r="G35" i="18"/>
  <c r="G40" i="18" s="1"/>
  <c r="G41" i="18" s="1"/>
  <c r="Q49" i="17"/>
  <c r="S49" i="17"/>
  <c r="N50" i="17"/>
  <c r="N49" i="17"/>
  <c r="J46" i="16"/>
  <c r="K46" i="16" s="1"/>
  <c r="J100" i="16"/>
  <c r="K67" i="1"/>
  <c r="K19" i="16"/>
  <c r="J32" i="16"/>
  <c r="K32" i="16" s="1"/>
  <c r="K12" i="16"/>
  <c r="K11" i="16"/>
  <c r="K100" i="16" s="1"/>
  <c r="K31" i="18"/>
  <c r="K103" i="16"/>
  <c r="J104" i="16"/>
  <c r="J90" i="16"/>
  <c r="M85" i="16"/>
  <c r="D13" i="18"/>
  <c r="C41" i="18" s="1"/>
  <c r="B65" i="16"/>
  <c r="K91" i="16"/>
  <c r="K85" i="16"/>
  <c r="K44" i="16"/>
  <c r="M98" i="16"/>
  <c r="J65" i="16"/>
  <c r="K65" i="16" s="1"/>
  <c r="J69" i="16"/>
  <c r="K69" i="16" s="1"/>
  <c r="K63" i="16"/>
  <c r="K95" i="16"/>
  <c r="K61" i="16"/>
  <c r="Q55" i="17"/>
  <c r="J25" i="1"/>
  <c r="H16" i="23" s="1"/>
  <c r="R3" i="23" s="1"/>
  <c r="Z12" i="22"/>
  <c r="N54" i="1"/>
  <c r="M55" i="1"/>
  <c r="J32" i="23" s="1"/>
  <c r="K24" i="1" l="1"/>
  <c r="J45" i="1"/>
  <c r="J50" i="1" s="1"/>
  <c r="H68" i="1"/>
  <c r="H24" i="1"/>
  <c r="F8" i="23"/>
  <c r="G66" i="1"/>
  <c r="Q5" i="23"/>
  <c r="G54" i="1"/>
  <c r="H54" i="1" s="1"/>
  <c r="J16" i="23"/>
  <c r="S3" i="23" s="1"/>
  <c r="T11" i="22"/>
  <c r="M74" i="6"/>
  <c r="M79" i="6" s="1"/>
  <c r="G25" i="1"/>
  <c r="H25" i="1" s="1"/>
  <c r="F17" i="23" s="1"/>
  <c r="G45" i="1"/>
  <c r="F24" i="23" s="1"/>
  <c r="F28" i="23" s="1"/>
  <c r="N45" i="1"/>
  <c r="J24" i="23"/>
  <c r="J25" i="23" s="1"/>
  <c r="F83" i="23"/>
  <c r="J83" i="23" s="1"/>
  <c r="L79" i="6"/>
  <c r="K79" i="6" s="1"/>
  <c r="N65" i="1"/>
  <c r="N66" i="1" s="1"/>
  <c r="M68" i="1" s="1"/>
  <c r="M66" i="1"/>
  <c r="T12" i="22"/>
  <c r="U12" i="22" s="1"/>
  <c r="F13" i="23"/>
  <c r="J55" i="1"/>
  <c r="H32" i="23" s="1"/>
  <c r="H33" i="23" s="1"/>
  <c r="E29" i="18"/>
  <c r="L18" i="22"/>
  <c r="M18" i="22" s="1"/>
  <c r="J17" i="23"/>
  <c r="U11" i="22"/>
  <c r="V19" i="20"/>
  <c r="AE50" i="20"/>
  <c r="AK49" i="20"/>
  <c r="S49" i="20"/>
  <c r="AJ50" i="20"/>
  <c r="AI50" i="20" s="1"/>
  <c r="P51" i="20"/>
  <c r="O52" i="20"/>
  <c r="Y48" i="20"/>
  <c r="E9" i="20"/>
  <c r="M9" i="20"/>
  <c r="L50" i="20"/>
  <c r="K50" i="20" s="1"/>
  <c r="W49" i="20"/>
  <c r="X49" i="20"/>
  <c r="J9" i="20"/>
  <c r="C9" i="20" s="1"/>
  <c r="D9" i="20"/>
  <c r="I52" i="20"/>
  <c r="J51" i="20"/>
  <c r="U51" i="20"/>
  <c r="V50" i="20"/>
  <c r="AB52" i="20"/>
  <c r="AA53" i="20"/>
  <c r="AG52" i="20"/>
  <c r="AH51" i="20"/>
  <c r="R50" i="20"/>
  <c r="S50" i="20" s="1"/>
  <c r="M46" i="20"/>
  <c r="AD51" i="20"/>
  <c r="AC51" i="20" s="1"/>
  <c r="J40" i="18"/>
  <c r="J41" i="18" s="1"/>
  <c r="K35" i="18"/>
  <c r="D40" i="18"/>
  <c r="D41" i="18" s="1"/>
  <c r="I79" i="6"/>
  <c r="H76" i="6"/>
  <c r="N81" i="16"/>
  <c r="H79" i="6"/>
  <c r="G79" i="6" s="1"/>
  <c r="H75" i="6"/>
  <c r="G75" i="6" s="1"/>
  <c r="J47" i="16"/>
  <c r="J33" i="16"/>
  <c r="H8" i="23"/>
  <c r="H13" i="23" s="1"/>
  <c r="K68" i="1"/>
  <c r="D79" i="6"/>
  <c r="B79" i="6" s="1"/>
  <c r="J99" i="16"/>
  <c r="D27" i="18"/>
  <c r="M104" i="16"/>
  <c r="H24" i="23"/>
  <c r="J67" i="16"/>
  <c r="N98" i="16"/>
  <c r="L12" i="22"/>
  <c r="M12" i="22" s="1"/>
  <c r="R12" i="22" s="1"/>
  <c r="L11" i="22"/>
  <c r="H30" i="23"/>
  <c r="H47" i="23"/>
  <c r="K25" i="1"/>
  <c r="M11" i="22" s="1"/>
  <c r="J30" i="23"/>
  <c r="J47" i="23"/>
  <c r="F20" i="18"/>
  <c r="N50" i="1"/>
  <c r="E20" i="18"/>
  <c r="K50" i="1"/>
  <c r="M78" i="6"/>
  <c r="P21" i="22"/>
  <c r="R21" i="22" s="1"/>
  <c r="J33" i="23"/>
  <c r="M59" i="1"/>
  <c r="J34" i="23" s="1"/>
  <c r="N55" i="1"/>
  <c r="F21" i="18"/>
  <c r="O24" i="18" l="1"/>
  <c r="O25" i="16"/>
  <c r="G55" i="1"/>
  <c r="M75" i="6"/>
  <c r="O18" i="18" s="1"/>
  <c r="K45" i="1"/>
  <c r="J28" i="23"/>
  <c r="F25" i="23"/>
  <c r="G50" i="1"/>
  <c r="F30" i="23" s="1"/>
  <c r="F31" i="23" s="1"/>
  <c r="H45" i="1"/>
  <c r="D11" i="22"/>
  <c r="F16" i="23"/>
  <c r="Q3" i="23" s="1"/>
  <c r="E11" i="22"/>
  <c r="D12" i="22"/>
  <c r="E12" i="22" s="1"/>
  <c r="T13" i="22"/>
  <c r="J8" i="23"/>
  <c r="J13" i="23" s="1"/>
  <c r="S5" i="23"/>
  <c r="T18" i="22"/>
  <c r="U18" i="22" s="1"/>
  <c r="N68" i="1"/>
  <c r="E21" i="18"/>
  <c r="K55" i="1"/>
  <c r="H28" i="23"/>
  <c r="J59" i="1"/>
  <c r="H34" i="23" s="1"/>
  <c r="H35" i="23" s="1"/>
  <c r="L21" i="22"/>
  <c r="M21" i="22" s="1"/>
  <c r="G83" i="23"/>
  <c r="I78" i="6"/>
  <c r="N24" i="18"/>
  <c r="D42" i="18"/>
  <c r="H55" i="1"/>
  <c r="E45" i="6"/>
  <c r="E46" i="6"/>
  <c r="AK50" i="20"/>
  <c r="AE51" i="20"/>
  <c r="L51" i="20"/>
  <c r="K51" i="20" s="1"/>
  <c r="F9" i="20"/>
  <c r="P52" i="20"/>
  <c r="O53" i="20"/>
  <c r="M47" i="20"/>
  <c r="AJ51" i="20"/>
  <c r="AI51" i="20" s="1"/>
  <c r="I53" i="20"/>
  <c r="J52" i="20"/>
  <c r="R51" i="20"/>
  <c r="S51" i="20" s="1"/>
  <c r="AG53" i="20"/>
  <c r="AH52" i="20"/>
  <c r="AB53" i="20"/>
  <c r="AA54" i="20"/>
  <c r="W50" i="20"/>
  <c r="W20" i="20" s="1"/>
  <c r="X50" i="20"/>
  <c r="X20" i="20" s="1"/>
  <c r="Y20" i="20" s="1"/>
  <c r="Y49" i="20"/>
  <c r="Q50" i="20"/>
  <c r="AD52" i="20"/>
  <c r="AC52" i="20" s="1"/>
  <c r="U52" i="20"/>
  <c r="V51" i="20"/>
  <c r="J102" i="16"/>
  <c r="F82" i="23" s="1"/>
  <c r="N82" i="16"/>
  <c r="H80" i="6"/>
  <c r="H83" i="23"/>
  <c r="D75" i="6"/>
  <c r="B75" i="6" s="1"/>
  <c r="E75" i="6"/>
  <c r="H38" i="23" s="1"/>
  <c r="G59" i="1"/>
  <c r="H59" i="1" s="1"/>
  <c r="F32" i="23"/>
  <c r="F33" i="23" s="1"/>
  <c r="D21" i="18"/>
  <c r="J105" i="16"/>
  <c r="F84" i="23" s="1"/>
  <c r="J84" i="23" s="1"/>
  <c r="E27" i="18"/>
  <c r="N104" i="16"/>
  <c r="H25" i="23"/>
  <c r="L13" i="22"/>
  <c r="L15" i="22" s="1"/>
  <c r="H17" i="23"/>
  <c r="H49" i="23"/>
  <c r="H51" i="23"/>
  <c r="J49" i="23"/>
  <c r="J51" i="23"/>
  <c r="O98" i="16"/>
  <c r="O104" i="16" s="1"/>
  <c r="J11" i="22"/>
  <c r="O82" i="16"/>
  <c r="L80" i="6"/>
  <c r="N59" i="1"/>
  <c r="J35" i="23"/>
  <c r="M62" i="1"/>
  <c r="O84" i="16" s="1"/>
  <c r="F22" i="18"/>
  <c r="I47" i="23"/>
  <c r="T21" i="22"/>
  <c r="F29" i="18"/>
  <c r="O14" i="16"/>
  <c r="J38" i="23"/>
  <c r="O81" i="16"/>
  <c r="L76" i="6"/>
  <c r="M77" i="6"/>
  <c r="J31" i="23"/>
  <c r="X11" i="22"/>
  <c r="X13" i="22" s="1"/>
  <c r="P11" i="22"/>
  <c r="P13" i="22" s="1"/>
  <c r="H31" i="23"/>
  <c r="H13" i="22"/>
  <c r="H15" i="22" s="1"/>
  <c r="G15" i="22" s="1"/>
  <c r="H17" i="22" s="1"/>
  <c r="H21" i="22"/>
  <c r="J21" i="22" s="1"/>
  <c r="J19" i="23"/>
  <c r="K19" i="23" s="1"/>
  <c r="K20" i="23" s="1"/>
  <c r="J22" i="23"/>
  <c r="F19" i="23"/>
  <c r="G19" i="23" s="1"/>
  <c r="G20" i="23" s="1"/>
  <c r="F22" i="23"/>
  <c r="F14" i="23" l="1"/>
  <c r="F47" i="23"/>
  <c r="F49" i="23" s="1"/>
  <c r="D20" i="18"/>
  <c r="H50" i="1"/>
  <c r="D13" i="22"/>
  <c r="D15" i="22" s="1"/>
  <c r="E15" i="22" s="1"/>
  <c r="D13" i="23"/>
  <c r="T15" i="22"/>
  <c r="U13" i="22"/>
  <c r="H22" i="23"/>
  <c r="H19" i="23"/>
  <c r="I19" i="23" s="1"/>
  <c r="I20" i="23" s="1"/>
  <c r="J82" i="23"/>
  <c r="E22" i="18"/>
  <c r="J62" i="1"/>
  <c r="H36" i="23" s="1"/>
  <c r="H37" i="23" s="1"/>
  <c r="K59" i="1"/>
  <c r="Y50" i="20"/>
  <c r="Q51" i="20"/>
  <c r="U53" i="20"/>
  <c r="V52" i="20"/>
  <c r="V20" i="20"/>
  <c r="AG54" i="20"/>
  <c r="AH53" i="20"/>
  <c r="W51" i="20"/>
  <c r="X51" i="20"/>
  <c r="AB54" i="20"/>
  <c r="AA55" i="20"/>
  <c r="AK51" i="20"/>
  <c r="AJ52" i="20" s="1"/>
  <c r="AJ14" i="20" s="1"/>
  <c r="AK14" i="20" s="1"/>
  <c r="P53" i="20"/>
  <c r="O54" i="20"/>
  <c r="AE52" i="20"/>
  <c r="AD53" i="20"/>
  <c r="AC53" i="20" s="1"/>
  <c r="R52" i="20"/>
  <c r="R14" i="20" s="1"/>
  <c r="S14" i="20" s="1"/>
  <c r="I54" i="20"/>
  <c r="J53" i="20"/>
  <c r="M48" i="20"/>
  <c r="N18" i="18"/>
  <c r="M81" i="16"/>
  <c r="L18" i="18"/>
  <c r="N14" i="16"/>
  <c r="D76" i="6"/>
  <c r="M14" i="16"/>
  <c r="I77" i="6"/>
  <c r="D29" i="18"/>
  <c r="E79" i="6"/>
  <c r="M25" i="16" s="1"/>
  <c r="E78" i="6"/>
  <c r="G62" i="1"/>
  <c r="F34" i="23"/>
  <c r="F35" i="23" s="1"/>
  <c r="D22" i="18"/>
  <c r="J36" i="23"/>
  <c r="J37" i="23" s="1"/>
  <c r="F24" i="18"/>
  <c r="F51" i="23"/>
  <c r="F27" i="18"/>
  <c r="M13" i="22"/>
  <c r="X21" i="22"/>
  <c r="Z21" i="22" s="1"/>
  <c r="U21" i="22"/>
  <c r="R11" i="22"/>
  <c r="X15" i="22"/>
  <c r="W15" i="22" s="1"/>
  <c r="X17" i="22" s="1"/>
  <c r="W13" i="22"/>
  <c r="M16" i="22"/>
  <c r="M15" i="22"/>
  <c r="Z11" i="22"/>
  <c r="F23" i="18"/>
  <c r="N62" i="1"/>
  <c r="F28" i="18"/>
  <c r="M63" i="1"/>
  <c r="J40" i="23" s="1"/>
  <c r="J43" i="23" s="1"/>
  <c r="O13" i="22"/>
  <c r="P18" i="22" s="1"/>
  <c r="R18" i="22" s="1"/>
  <c r="P15" i="22"/>
  <c r="O15" i="22" s="1"/>
  <c r="P17" i="22" s="1"/>
  <c r="G13" i="22"/>
  <c r="J15" i="22"/>
  <c r="E16" i="22" l="1"/>
  <c r="H16" i="22" s="1"/>
  <c r="E13" i="22"/>
  <c r="E23" i="18"/>
  <c r="K62" i="1"/>
  <c r="J63" i="1"/>
  <c r="N83" i="16" s="1"/>
  <c r="N84" i="16"/>
  <c r="U15" i="22"/>
  <c r="U16" i="22"/>
  <c r="G82" i="23"/>
  <c r="H82" i="23"/>
  <c r="Q14" i="16"/>
  <c r="H84" i="23"/>
  <c r="G84" i="23"/>
  <c r="AI52" i="20"/>
  <c r="AI14" i="20" s="1"/>
  <c r="AH14" i="20" s="1"/>
  <c r="S52" i="20"/>
  <c r="Q52" i="20"/>
  <c r="Q14" i="20" s="1"/>
  <c r="P14" i="20" s="1"/>
  <c r="M49" i="20"/>
  <c r="P54" i="20"/>
  <c r="O55" i="20"/>
  <c r="AB55" i="20"/>
  <c r="AA56" i="20"/>
  <c r="Y51" i="20"/>
  <c r="U54" i="20"/>
  <c r="V53" i="20"/>
  <c r="L53" i="20"/>
  <c r="K53" i="20" s="1"/>
  <c r="R53" i="20"/>
  <c r="AD54" i="20"/>
  <c r="AC54" i="20" s="1"/>
  <c r="I55" i="20"/>
  <c r="J54" i="20"/>
  <c r="AI53" i="20"/>
  <c r="AJ53" i="20"/>
  <c r="AE53" i="20"/>
  <c r="AK52" i="20"/>
  <c r="AG55" i="20"/>
  <c r="AH54" i="20"/>
  <c r="W52" i="20"/>
  <c r="W21" i="20" s="1"/>
  <c r="X52" i="20"/>
  <c r="X21" i="20" s="1"/>
  <c r="Y21" i="20" s="1"/>
  <c r="G63" i="1"/>
  <c r="F40" i="23" s="1"/>
  <c r="F43" i="23" s="1"/>
  <c r="M84" i="16"/>
  <c r="M90" i="16" s="1"/>
  <c r="D80" i="6"/>
  <c r="H62" i="1"/>
  <c r="L24" i="18"/>
  <c r="N25" i="16"/>
  <c r="Q25" i="16" s="1"/>
  <c r="R25" i="16" s="1"/>
  <c r="M82" i="16"/>
  <c r="D23" i="18"/>
  <c r="F36" i="23"/>
  <c r="F37" i="23" s="1"/>
  <c r="D21" i="22"/>
  <c r="E21" i="22" s="1"/>
  <c r="O18" i="22"/>
  <c r="O19" i="18"/>
  <c r="O22" i="18" s="1"/>
  <c r="O25" i="18"/>
  <c r="O30" i="18" s="1"/>
  <c r="X18" i="22"/>
  <c r="Z18" i="22" s="1"/>
  <c r="Z16" i="22"/>
  <c r="Z13" i="22"/>
  <c r="R13" i="22"/>
  <c r="R16" i="22"/>
  <c r="O83" i="16"/>
  <c r="O26" i="16"/>
  <c r="O27" i="16" s="1"/>
  <c r="T17" i="22"/>
  <c r="U17" i="22" s="1"/>
  <c r="N63" i="1"/>
  <c r="O15" i="16"/>
  <c r="O19" i="16" s="1"/>
  <c r="J59" i="23"/>
  <c r="J61" i="23" s="1"/>
  <c r="P16" i="22"/>
  <c r="O17" i="22" s="1"/>
  <c r="R15" i="22"/>
  <c r="X16" i="22"/>
  <c r="W17" i="22" s="1"/>
  <c r="Z15" i="22"/>
  <c r="J13" i="22"/>
  <c r="H18" i="22"/>
  <c r="J18" i="22" s="1"/>
  <c r="J16" i="22"/>
  <c r="E24" i="18" l="1"/>
  <c r="N25" i="18"/>
  <c r="N30" i="18" s="1"/>
  <c r="N19" i="18"/>
  <c r="N22" i="18" s="1"/>
  <c r="H59" i="23"/>
  <c r="H61" i="23" s="1"/>
  <c r="H40" i="23"/>
  <c r="H43" i="23" s="1"/>
  <c r="K63" i="1"/>
  <c r="N26" i="16"/>
  <c r="N27" i="16" s="1"/>
  <c r="N28" i="16" s="1"/>
  <c r="N15" i="16"/>
  <c r="N19" i="16" s="1"/>
  <c r="N90" i="16"/>
  <c r="O90" i="16" s="1"/>
  <c r="L17" i="22"/>
  <c r="M17" i="22" s="1"/>
  <c r="O30" i="16"/>
  <c r="O28" i="16"/>
  <c r="D24" i="18"/>
  <c r="H63" i="1"/>
  <c r="AE54" i="20"/>
  <c r="AK53" i="20"/>
  <c r="Y52" i="20"/>
  <c r="V21" i="20"/>
  <c r="AG56" i="20"/>
  <c r="AH55" i="20"/>
  <c r="P55" i="20"/>
  <c r="O56" i="20"/>
  <c r="R54" i="20"/>
  <c r="Q54" i="20" s="1"/>
  <c r="L54" i="20"/>
  <c r="K54" i="20" s="1"/>
  <c r="S53" i="20"/>
  <c r="W53" i="20"/>
  <c r="X53" i="20"/>
  <c r="AB56" i="20"/>
  <c r="AA57" i="20"/>
  <c r="AI54" i="20"/>
  <c r="AJ54" i="20"/>
  <c r="I56" i="20"/>
  <c r="J55" i="20"/>
  <c r="Q53" i="20"/>
  <c r="U55" i="20"/>
  <c r="V54" i="20"/>
  <c r="AD55" i="20"/>
  <c r="AC55" i="20" s="1"/>
  <c r="M50" i="20"/>
  <c r="D17" i="22"/>
  <c r="E17" i="22" s="1"/>
  <c r="L19" i="18"/>
  <c r="L22" i="18" s="1"/>
  <c r="M26" i="16"/>
  <c r="M15" i="16"/>
  <c r="L25" i="18"/>
  <c r="L30" i="18" s="1"/>
  <c r="M83" i="16"/>
  <c r="M99" i="16"/>
  <c r="M102" i="16" s="1"/>
  <c r="Z17" i="22"/>
  <c r="R17" i="22"/>
  <c r="O32" i="16"/>
  <c r="O33" i="16" s="1"/>
  <c r="O63" i="16"/>
  <c r="O46" i="16"/>
  <c r="O47" i="16" s="1"/>
  <c r="J63" i="23"/>
  <c r="J41" i="23"/>
  <c r="J45" i="23" s="1"/>
  <c r="W18" i="22"/>
  <c r="H20" i="22"/>
  <c r="H23" i="22" s="1"/>
  <c r="G25" i="22" s="1"/>
  <c r="G18" i="22"/>
  <c r="G17" i="22"/>
  <c r="J17" i="22" s="1"/>
  <c r="N63" i="16" l="1"/>
  <c r="N65" i="16" s="1"/>
  <c r="N67" i="16" s="1"/>
  <c r="H63" i="23"/>
  <c r="H41" i="23"/>
  <c r="H45" i="23" s="1"/>
  <c r="N30" i="16"/>
  <c r="M27" i="16"/>
  <c r="M28" i="16" s="1"/>
  <c r="Q26" i="16"/>
  <c r="R26" i="16" s="1"/>
  <c r="M19" i="16"/>
  <c r="M46" i="16" s="1"/>
  <c r="M47" i="16" s="1"/>
  <c r="L31" i="18"/>
  <c r="N31" i="18" s="1"/>
  <c r="O31" i="18" s="1"/>
  <c r="AK54" i="20"/>
  <c r="Y53" i="20"/>
  <c r="S54" i="20"/>
  <c r="AB57" i="20"/>
  <c r="AA58" i="20"/>
  <c r="R55" i="20"/>
  <c r="Q55" i="20" s="1"/>
  <c r="AG57" i="20"/>
  <c r="AH56" i="20"/>
  <c r="W54" i="20"/>
  <c r="X54" i="20"/>
  <c r="AD56" i="20"/>
  <c r="AC56" i="20" s="1"/>
  <c r="AE55" i="20"/>
  <c r="M51" i="20"/>
  <c r="L52" i="20" s="1"/>
  <c r="K52" i="20" s="1"/>
  <c r="U56" i="20"/>
  <c r="V55" i="20"/>
  <c r="L55" i="20"/>
  <c r="K55" i="20" s="1"/>
  <c r="X22" i="20"/>
  <c r="Y22" i="20" s="1"/>
  <c r="I57" i="20"/>
  <c r="J56" i="20"/>
  <c r="W22" i="20"/>
  <c r="P56" i="20"/>
  <c r="O57" i="20"/>
  <c r="AI55" i="20"/>
  <c r="AJ55" i="20"/>
  <c r="F41" i="23"/>
  <c r="F45" i="23" s="1"/>
  <c r="M105" i="16"/>
  <c r="O65" i="16"/>
  <c r="O67" i="16" s="1"/>
  <c r="E26" i="18"/>
  <c r="D26" i="18"/>
  <c r="R83" i="16"/>
  <c r="F85" i="23" s="1"/>
  <c r="J85" i="23" s="1"/>
  <c r="M63" i="16"/>
  <c r="G20" i="22"/>
  <c r="N32" i="16"/>
  <c r="N33" i="16" s="1"/>
  <c r="N46" i="16"/>
  <c r="N47" i="16" s="1"/>
  <c r="H22" i="22"/>
  <c r="M32" i="16" l="1"/>
  <c r="M33" i="16" s="1"/>
  <c r="M30" i="16"/>
  <c r="Q19" i="16"/>
  <c r="AK55" i="20"/>
  <c r="V22" i="20"/>
  <c r="AE56" i="20"/>
  <c r="Y54" i="20"/>
  <c r="W55" i="20"/>
  <c r="X55" i="20"/>
  <c r="R56" i="20"/>
  <c r="Q56" i="20" s="1"/>
  <c r="Q15" i="20" s="1"/>
  <c r="I58" i="20"/>
  <c r="J57" i="20"/>
  <c r="AG58" i="20"/>
  <c r="AH57" i="20"/>
  <c r="AB58" i="20"/>
  <c r="AA59" i="20"/>
  <c r="M52" i="20"/>
  <c r="AD57" i="20"/>
  <c r="AE57" i="20" s="1"/>
  <c r="P57" i="20"/>
  <c r="O58" i="20"/>
  <c r="L56" i="20"/>
  <c r="U57" i="20"/>
  <c r="V56" i="20"/>
  <c r="AI56" i="20"/>
  <c r="AI15" i="20" s="1"/>
  <c r="AJ56" i="20"/>
  <c r="AJ15" i="20" s="1"/>
  <c r="AK15" i="20" s="1"/>
  <c r="S55" i="20"/>
  <c r="N99" i="16"/>
  <c r="F26" i="18"/>
  <c r="M65" i="16"/>
  <c r="M69" i="16" s="1"/>
  <c r="D20" i="22"/>
  <c r="J20" i="22" s="1"/>
  <c r="M106" i="16"/>
  <c r="D28" i="18"/>
  <c r="D22" i="22"/>
  <c r="F53" i="23"/>
  <c r="G85" i="23"/>
  <c r="G86" i="23" s="1"/>
  <c r="F87" i="23" s="1"/>
  <c r="H85" i="23"/>
  <c r="R15" i="16" l="1"/>
  <c r="R10" i="16"/>
  <c r="R14" i="16"/>
  <c r="R19" i="16"/>
  <c r="R11" i="16"/>
  <c r="F65" i="23"/>
  <c r="F66" i="23"/>
  <c r="Y55" i="20"/>
  <c r="S56" i="20"/>
  <c r="AH15" i="20"/>
  <c r="AI57" i="20"/>
  <c r="AJ57" i="20"/>
  <c r="W56" i="20"/>
  <c r="X56" i="20"/>
  <c r="R57" i="20"/>
  <c r="AD58" i="20"/>
  <c r="AE58" i="20" s="1"/>
  <c r="U58" i="20"/>
  <c r="V57" i="20"/>
  <c r="K56" i="20"/>
  <c r="L57" i="20"/>
  <c r="K57" i="20" s="1"/>
  <c r="R15" i="20"/>
  <c r="S15" i="20" s="1"/>
  <c r="M53" i="20"/>
  <c r="AG59" i="20"/>
  <c r="AH58" i="20"/>
  <c r="I59" i="20"/>
  <c r="J58" i="20"/>
  <c r="AK56" i="20"/>
  <c r="P58" i="20"/>
  <c r="O59" i="20"/>
  <c r="AC57" i="20"/>
  <c r="AB59" i="20"/>
  <c r="AA60" i="20"/>
  <c r="N102" i="16"/>
  <c r="L22" i="22" s="1"/>
  <c r="M107" i="16"/>
  <c r="M71" i="16"/>
  <c r="F64" i="23"/>
  <c r="M67" i="16"/>
  <c r="O99" i="16"/>
  <c r="N105" i="16"/>
  <c r="F55" i="23"/>
  <c r="F57" i="23"/>
  <c r="E20" i="22"/>
  <c r="D23" i="22"/>
  <c r="D25" i="22" s="1"/>
  <c r="N106" i="16" l="1"/>
  <c r="P22" i="22"/>
  <c r="S57" i="20"/>
  <c r="Y56" i="20"/>
  <c r="AK57" i="20"/>
  <c r="Q57" i="20"/>
  <c r="AC58" i="20"/>
  <c r="AB60" i="20"/>
  <c r="AA61" i="20"/>
  <c r="AI58" i="20"/>
  <c r="AJ58" i="20"/>
  <c r="W57" i="20"/>
  <c r="X57" i="20"/>
  <c r="AD59" i="20"/>
  <c r="AE59" i="20" s="1"/>
  <c r="AG60" i="20"/>
  <c r="AH59" i="20"/>
  <c r="U59" i="20"/>
  <c r="V58" i="20"/>
  <c r="R58" i="20"/>
  <c r="S58" i="20" s="1"/>
  <c r="L58" i="20"/>
  <c r="K58" i="20" s="1"/>
  <c r="P59" i="20"/>
  <c r="O60" i="20"/>
  <c r="I60" i="20"/>
  <c r="J59" i="20"/>
  <c r="M54" i="20"/>
  <c r="P15" i="20"/>
  <c r="E28" i="18"/>
  <c r="H53" i="23"/>
  <c r="H55" i="23" s="1"/>
  <c r="L20" i="22"/>
  <c r="L23" i="22" s="1"/>
  <c r="L25" i="22" s="1"/>
  <c r="O105" i="16"/>
  <c r="O102" i="16"/>
  <c r="N78" i="16"/>
  <c r="P78" i="16"/>
  <c r="X23" i="22"/>
  <c r="W25" i="22" s="1"/>
  <c r="D30" i="18"/>
  <c r="N69" i="16"/>
  <c r="H66" i="23" s="1"/>
  <c r="N107" i="16" l="1"/>
  <c r="H65" i="23"/>
  <c r="P23" i="22"/>
  <c r="O25" i="22" s="1"/>
  <c r="Y57" i="20"/>
  <c r="AK58" i="20"/>
  <c r="Q58" i="20"/>
  <c r="AC59" i="20"/>
  <c r="R59" i="20"/>
  <c r="S59" i="20" s="1"/>
  <c r="L59" i="20"/>
  <c r="K59" i="20" s="1"/>
  <c r="AI59" i="20"/>
  <c r="AJ59" i="20"/>
  <c r="AB61" i="20"/>
  <c r="AA62" i="20"/>
  <c r="M55" i="20"/>
  <c r="I61" i="20"/>
  <c r="J60" i="20"/>
  <c r="W58" i="20"/>
  <c r="X58" i="20"/>
  <c r="AG61" i="20"/>
  <c r="AH60" i="20"/>
  <c r="AD60" i="20"/>
  <c r="AD10" i="20" s="1"/>
  <c r="AE10" i="20" s="1"/>
  <c r="P60" i="20"/>
  <c r="O61" i="20"/>
  <c r="U60" i="20"/>
  <c r="V59" i="20"/>
  <c r="H57" i="23"/>
  <c r="M20" i="22"/>
  <c r="N71" i="16"/>
  <c r="H64" i="23"/>
  <c r="T22" i="22"/>
  <c r="J53" i="23"/>
  <c r="J55" i="23" s="1"/>
  <c r="O106" i="16"/>
  <c r="X22" i="22"/>
  <c r="T20" i="22"/>
  <c r="U20" i="22" s="1"/>
  <c r="E30" i="18"/>
  <c r="O69" i="16"/>
  <c r="J66" i="23" s="1"/>
  <c r="F68" i="23"/>
  <c r="F70" i="23"/>
  <c r="Y58" i="20" l="1"/>
  <c r="J65" i="23"/>
  <c r="AK59" i="20"/>
  <c r="Q59" i="20"/>
  <c r="AC60" i="20"/>
  <c r="AC10" i="20" s="1"/>
  <c r="AB10" i="20" s="1"/>
  <c r="R60" i="20"/>
  <c r="R16" i="20" s="1"/>
  <c r="S16" i="20" s="1"/>
  <c r="M56" i="20"/>
  <c r="U61" i="20"/>
  <c r="V60" i="20"/>
  <c r="L60" i="20"/>
  <c r="K60" i="20" s="1"/>
  <c r="AB62" i="20"/>
  <c r="AA63" i="20"/>
  <c r="P61" i="20"/>
  <c r="O62" i="20"/>
  <c r="W59" i="20"/>
  <c r="X59" i="20"/>
  <c r="Y59" i="20" s="1"/>
  <c r="AI60" i="20"/>
  <c r="AI16" i="20" s="1"/>
  <c r="AJ60" i="20"/>
  <c r="AG62" i="20"/>
  <c r="AH61" i="20"/>
  <c r="I62" i="20"/>
  <c r="J61" i="20"/>
  <c r="AD61" i="20"/>
  <c r="AC61" i="20" s="1"/>
  <c r="AE60" i="20"/>
  <c r="O107" i="16"/>
  <c r="O71" i="16"/>
  <c r="J64" i="23"/>
  <c r="J57" i="23"/>
  <c r="O108" i="16"/>
  <c r="T23" i="22"/>
  <c r="T25" i="22" s="1"/>
  <c r="H70" i="23"/>
  <c r="H68" i="23"/>
  <c r="F30" i="18"/>
  <c r="AK60" i="20" l="1"/>
  <c r="S60" i="20"/>
  <c r="AI61" i="20"/>
  <c r="AJ61" i="20"/>
  <c r="P62" i="20"/>
  <c r="O63" i="20"/>
  <c r="AB63" i="20"/>
  <c r="AA64" i="20"/>
  <c r="M57" i="20"/>
  <c r="L61" i="20"/>
  <c r="K61" i="20" s="1"/>
  <c r="R61" i="20"/>
  <c r="W60" i="20"/>
  <c r="X60" i="20"/>
  <c r="Y60" i="20" s="1"/>
  <c r="K10" i="20"/>
  <c r="AE61" i="20"/>
  <c r="AG63" i="20"/>
  <c r="AH62" i="20"/>
  <c r="AD62" i="20"/>
  <c r="AC62" i="20" s="1"/>
  <c r="I63" i="20"/>
  <c r="J62" i="20"/>
  <c r="AJ16" i="20"/>
  <c r="AK16" i="20" s="1"/>
  <c r="L10" i="20"/>
  <c r="U62" i="20"/>
  <c r="V61" i="20"/>
  <c r="Q60" i="20"/>
  <c r="Q16" i="20" s="1"/>
  <c r="P16" i="20" s="1"/>
  <c r="J70" i="23"/>
  <c r="J68" i="23"/>
  <c r="K40" i="18"/>
  <c r="K42" i="18"/>
  <c r="Q39" i="18" s="1"/>
  <c r="AK61" i="20" l="1"/>
  <c r="AE62" i="20"/>
  <c r="P63" i="20"/>
  <c r="O64" i="20"/>
  <c r="J10" i="20"/>
  <c r="C10" i="20" s="1"/>
  <c r="D10" i="20"/>
  <c r="R62" i="20"/>
  <c r="Q62" i="20" s="1"/>
  <c r="U63" i="20"/>
  <c r="V62" i="20"/>
  <c r="L62" i="20"/>
  <c r="K62" i="20" s="1"/>
  <c r="AI62" i="20"/>
  <c r="AJ62" i="20"/>
  <c r="S61" i="20"/>
  <c r="Q61" i="20"/>
  <c r="AD63" i="20"/>
  <c r="AC63" i="20" s="1"/>
  <c r="E10" i="20"/>
  <c r="M10" i="20"/>
  <c r="I64" i="20"/>
  <c r="J63" i="20"/>
  <c r="AG64" i="20"/>
  <c r="AH63" i="20"/>
  <c r="M58" i="20"/>
  <c r="W61" i="20"/>
  <c r="X61" i="20"/>
  <c r="Y61" i="20" s="1"/>
  <c r="AH16" i="20"/>
  <c r="AB64" i="20"/>
  <c r="AA65" i="20"/>
  <c r="AK62" i="20" l="1"/>
  <c r="S62" i="20"/>
  <c r="AD64" i="20"/>
  <c r="AC64" i="20" s="1"/>
  <c r="M59" i="20"/>
  <c r="AI63" i="20"/>
  <c r="AJ63" i="20"/>
  <c r="AK63" i="20" s="1"/>
  <c r="F10" i="20"/>
  <c r="L63" i="20"/>
  <c r="K63" i="20" s="1"/>
  <c r="AB65" i="20"/>
  <c r="AA66" i="20"/>
  <c r="AE63" i="20"/>
  <c r="I65" i="20"/>
  <c r="J64" i="20"/>
  <c r="P64" i="20"/>
  <c r="O65" i="20"/>
  <c r="W62" i="20"/>
  <c r="X62" i="20"/>
  <c r="Y62" i="20" s="1"/>
  <c r="R63" i="20"/>
  <c r="Q63" i="20" s="1"/>
  <c r="AG65" i="20"/>
  <c r="AH64" i="20"/>
  <c r="U64" i="20"/>
  <c r="V63" i="20"/>
  <c r="AE64" i="20" l="1"/>
  <c r="U65" i="20"/>
  <c r="V64" i="20"/>
  <c r="AG66" i="20"/>
  <c r="AH65" i="20"/>
  <c r="AB66" i="20"/>
  <c r="AA67" i="20"/>
  <c r="S63" i="20"/>
  <c r="R64" i="20" s="1"/>
  <c r="Q64" i="20" s="1"/>
  <c r="Q17" i="20" s="1"/>
  <c r="L64" i="20"/>
  <c r="AD65" i="20"/>
  <c r="M60" i="20"/>
  <c r="I66" i="20"/>
  <c r="J65" i="20"/>
  <c r="W63" i="20"/>
  <c r="X63" i="20"/>
  <c r="Y63" i="20" s="1"/>
  <c r="AI64" i="20"/>
  <c r="AI17" i="20" s="1"/>
  <c r="AJ64" i="20"/>
  <c r="AJ17" i="20" s="1"/>
  <c r="AK17" i="20" s="1"/>
  <c r="P65" i="20"/>
  <c r="O66" i="20"/>
  <c r="AE65" i="20" l="1"/>
  <c r="AK64" i="20"/>
  <c r="P66" i="20"/>
  <c r="O67" i="20"/>
  <c r="S64" i="20"/>
  <c r="U66" i="20"/>
  <c r="V65" i="20"/>
  <c r="AH17" i="20"/>
  <c r="M61" i="20"/>
  <c r="R17" i="20"/>
  <c r="S17" i="20" s="1"/>
  <c r="W64" i="20"/>
  <c r="X64" i="20"/>
  <c r="Y64" i="20" s="1"/>
  <c r="L65" i="20"/>
  <c r="K65" i="20" s="1"/>
  <c r="R65" i="20"/>
  <c r="Q65" i="20"/>
  <c r="I67" i="20"/>
  <c r="J66" i="20"/>
  <c r="K64" i="20"/>
  <c r="AB67" i="20"/>
  <c r="AA68" i="20"/>
  <c r="AI65" i="20"/>
  <c r="AJ65" i="20"/>
  <c r="AC65" i="20"/>
  <c r="AD66" i="20"/>
  <c r="AG67" i="20"/>
  <c r="AH66" i="20"/>
  <c r="AE66" i="20" l="1"/>
  <c r="AG68" i="20"/>
  <c r="AH67" i="20"/>
  <c r="AK65" i="20"/>
  <c r="U67" i="20"/>
  <c r="V66" i="20"/>
  <c r="R66" i="20"/>
  <c r="Q66" i="20"/>
  <c r="AC66" i="20"/>
  <c r="S65" i="20"/>
  <c r="P17" i="20"/>
  <c r="AB68" i="20"/>
  <c r="AA69" i="20"/>
  <c r="L66" i="20"/>
  <c r="K66" i="20" s="1"/>
  <c r="AI66" i="20"/>
  <c r="AJ66" i="20"/>
  <c r="AD67" i="20"/>
  <c r="AE67" i="20" s="1"/>
  <c r="I68" i="20"/>
  <c r="J67" i="20"/>
  <c r="M62" i="20"/>
  <c r="W65" i="20"/>
  <c r="X65" i="20"/>
  <c r="Y65" i="20" s="1"/>
  <c r="P67" i="20"/>
  <c r="O68" i="20"/>
  <c r="AC67" i="20" l="1"/>
  <c r="M63" i="20"/>
  <c r="L67" i="20"/>
  <c r="U68" i="20"/>
  <c r="V67" i="20"/>
  <c r="AG69" i="20"/>
  <c r="AH68" i="20"/>
  <c r="P68" i="20"/>
  <c r="O69" i="20"/>
  <c r="I69" i="20"/>
  <c r="J68" i="20"/>
  <c r="S66" i="20"/>
  <c r="AK66" i="20"/>
  <c r="R67" i="20"/>
  <c r="Q67" i="20"/>
  <c r="AB69" i="20"/>
  <c r="AA70" i="20"/>
  <c r="AD68" i="20"/>
  <c r="AE68" i="20" s="1"/>
  <c r="W66" i="20"/>
  <c r="X66" i="20"/>
  <c r="Y66" i="20" s="1"/>
  <c r="AI67" i="20"/>
  <c r="AJ67" i="20"/>
  <c r="S67" i="20" l="1"/>
  <c r="AK67" i="20"/>
  <c r="L68" i="20"/>
  <c r="AI68" i="20"/>
  <c r="AJ68" i="20"/>
  <c r="M64" i="20"/>
  <c r="AC68" i="20"/>
  <c r="I70" i="20"/>
  <c r="J69" i="20"/>
  <c r="AG70" i="20"/>
  <c r="AH69" i="20"/>
  <c r="AI18" i="20"/>
  <c r="AB70" i="20"/>
  <c r="AA71" i="20"/>
  <c r="P69" i="20"/>
  <c r="O70" i="20"/>
  <c r="W67" i="20"/>
  <c r="X67" i="20"/>
  <c r="K67" i="20"/>
  <c r="AD69" i="20"/>
  <c r="AE69" i="20" s="1"/>
  <c r="R68" i="20"/>
  <c r="R18" i="20" s="1"/>
  <c r="S18" i="20" s="1"/>
  <c r="Q68" i="20"/>
  <c r="Q18" i="20" s="1"/>
  <c r="U69" i="20"/>
  <c r="V68" i="20"/>
  <c r="AK68" i="20" l="1"/>
  <c r="AJ18" i="20"/>
  <c r="AK18" i="20" s="1"/>
  <c r="AC69" i="20"/>
  <c r="P18" i="20"/>
  <c r="AD70" i="20"/>
  <c r="AC70" i="20" s="1"/>
  <c r="L69" i="20"/>
  <c r="W68" i="20"/>
  <c r="X68" i="20"/>
  <c r="S68" i="20"/>
  <c r="R69" i="20"/>
  <c r="Q69" i="20"/>
  <c r="I71" i="20"/>
  <c r="J70" i="20"/>
  <c r="P70" i="20"/>
  <c r="O71" i="20"/>
  <c r="U70" i="20"/>
  <c r="V69" i="20"/>
  <c r="AI69" i="20"/>
  <c r="AJ69" i="20"/>
  <c r="M65" i="20"/>
  <c r="Y67" i="20"/>
  <c r="AB71" i="20"/>
  <c r="AA72" i="20"/>
  <c r="AG71" i="20"/>
  <c r="AH70" i="20"/>
  <c r="K68" i="20"/>
  <c r="AK69" i="20" l="1"/>
  <c r="AH18" i="20"/>
  <c r="Y68" i="20"/>
  <c r="S69" i="20"/>
  <c r="AB72" i="20"/>
  <c r="AA73" i="20"/>
  <c r="AD71" i="20"/>
  <c r="AC71" i="20" s="1"/>
  <c r="M66" i="20"/>
  <c r="W69" i="20"/>
  <c r="X69" i="20"/>
  <c r="L70" i="20"/>
  <c r="K70" i="20" s="1"/>
  <c r="R70" i="20"/>
  <c r="S70" i="20" s="1"/>
  <c r="Q70" i="20"/>
  <c r="AI70" i="20"/>
  <c r="AJ70" i="20"/>
  <c r="U71" i="20"/>
  <c r="V70" i="20"/>
  <c r="I72" i="20"/>
  <c r="J71" i="20"/>
  <c r="K69" i="20"/>
  <c r="AE70" i="20"/>
  <c r="AG72" i="20"/>
  <c r="AH71" i="20"/>
  <c r="P71" i="20"/>
  <c r="O72" i="20"/>
  <c r="AE71" i="20" l="1"/>
  <c r="Y69" i="20"/>
  <c r="AG73" i="20"/>
  <c r="AH72" i="20"/>
  <c r="U72" i="20"/>
  <c r="V71" i="20"/>
  <c r="AK70" i="20"/>
  <c r="AI71" i="20"/>
  <c r="AJ71" i="20"/>
  <c r="L71" i="20"/>
  <c r="K71" i="20" s="1"/>
  <c r="M67" i="20"/>
  <c r="P72" i="20"/>
  <c r="O73" i="20"/>
  <c r="I73" i="20"/>
  <c r="J72" i="20"/>
  <c r="AB73" i="20"/>
  <c r="AA74" i="20"/>
  <c r="R71" i="20"/>
  <c r="Q71" i="20"/>
  <c r="W70" i="20"/>
  <c r="X70" i="20"/>
  <c r="AD72" i="20"/>
  <c r="AD11" i="20" s="1"/>
  <c r="AE11" i="20" s="1"/>
  <c r="Y70" i="20" l="1"/>
  <c r="AK71" i="20"/>
  <c r="AE72" i="20"/>
  <c r="L72" i="20"/>
  <c r="K72" i="20" s="1"/>
  <c r="AG74" i="20"/>
  <c r="AH73" i="20"/>
  <c r="AC72" i="20"/>
  <c r="AC11" i="20" s="1"/>
  <c r="AB11" i="20" s="1"/>
  <c r="AB74" i="20"/>
  <c r="AA75" i="20"/>
  <c r="I74" i="20"/>
  <c r="J73" i="20"/>
  <c r="M68" i="20"/>
  <c r="W71" i="20"/>
  <c r="X71" i="20"/>
  <c r="AD73" i="20"/>
  <c r="AC73" i="20" s="1"/>
  <c r="P73" i="20"/>
  <c r="O74" i="20"/>
  <c r="U73" i="20"/>
  <c r="V72" i="20"/>
  <c r="R72" i="20"/>
  <c r="R19" i="20" s="1"/>
  <c r="S19" i="20" s="1"/>
  <c r="Q72" i="20"/>
  <c r="Q19" i="20" s="1"/>
  <c r="AI72" i="20"/>
  <c r="AI19" i="20" s="1"/>
  <c r="AJ72" i="20"/>
  <c r="AJ19" i="20" s="1"/>
  <c r="AK19" i="20" s="1"/>
  <c r="S71" i="20"/>
  <c r="S72" i="20" s="1"/>
  <c r="AK72" i="20" l="1"/>
  <c r="Y71" i="20"/>
  <c r="AH19" i="20"/>
  <c r="P19" i="20"/>
  <c r="AD74" i="20"/>
  <c r="AC74" i="20" s="1"/>
  <c r="U74" i="20"/>
  <c r="V73" i="20"/>
  <c r="R73" i="20"/>
  <c r="S73" i="20" s="1"/>
  <c r="Q73" i="20"/>
  <c r="I75" i="20"/>
  <c r="J74" i="20"/>
  <c r="AI73" i="20"/>
  <c r="AJ73" i="20"/>
  <c r="K11" i="20"/>
  <c r="AB75" i="20"/>
  <c r="AA76" i="20"/>
  <c r="AG75" i="20"/>
  <c r="AH74" i="20"/>
  <c r="M69" i="20"/>
  <c r="W72" i="20"/>
  <c r="X72" i="20"/>
  <c r="P74" i="20"/>
  <c r="O75" i="20"/>
  <c r="L73" i="20"/>
  <c r="K73" i="20" s="1"/>
  <c r="L11" i="20"/>
  <c r="AE73" i="20"/>
  <c r="Y72" i="20" l="1"/>
  <c r="AE74" i="20"/>
  <c r="R74" i="20"/>
  <c r="S74" i="20" s="1"/>
  <c r="Q74" i="20"/>
  <c r="AG76" i="20"/>
  <c r="AH75" i="20"/>
  <c r="J11" i="20"/>
  <c r="C11" i="20" s="1"/>
  <c r="D11" i="20"/>
  <c r="L74" i="20"/>
  <c r="K74" i="20" s="1"/>
  <c r="W73" i="20"/>
  <c r="X73" i="20"/>
  <c r="M70" i="20"/>
  <c r="AB76" i="20"/>
  <c r="AA77" i="20"/>
  <c r="I76" i="20"/>
  <c r="J75" i="20"/>
  <c r="U75" i="20"/>
  <c r="V74" i="20"/>
  <c r="E11" i="20"/>
  <c r="M11" i="20"/>
  <c r="AD75" i="20"/>
  <c r="AC75" i="20" s="1"/>
  <c r="P75" i="20"/>
  <c r="O76" i="20"/>
  <c r="AI74" i="20"/>
  <c r="AJ74" i="20"/>
  <c r="AK73" i="20"/>
  <c r="Y73" i="20" l="1"/>
  <c r="AE75" i="20"/>
  <c r="AD76" i="20"/>
  <c r="AC76" i="20" s="1"/>
  <c r="AI75" i="20"/>
  <c r="AJ75" i="20"/>
  <c r="L75" i="20"/>
  <c r="K75" i="20" s="1"/>
  <c r="P76" i="20"/>
  <c r="O77" i="20"/>
  <c r="W74" i="20"/>
  <c r="X74" i="20"/>
  <c r="AB77" i="20"/>
  <c r="AA78" i="20"/>
  <c r="R75" i="20"/>
  <c r="Q75" i="20"/>
  <c r="U76" i="20"/>
  <c r="V75" i="20"/>
  <c r="F11" i="20"/>
  <c r="AG77" i="20"/>
  <c r="AH76" i="20"/>
  <c r="AK74" i="20"/>
  <c r="I77" i="20"/>
  <c r="J76" i="20"/>
  <c r="M71" i="20"/>
  <c r="AK75" i="20" l="1"/>
  <c r="AE76" i="20"/>
  <c r="L76" i="20"/>
  <c r="U77" i="20"/>
  <c r="V76" i="20"/>
  <c r="AB78" i="20"/>
  <c r="AA79" i="20"/>
  <c r="P77" i="20"/>
  <c r="O78" i="20"/>
  <c r="I78" i="20"/>
  <c r="J77" i="20"/>
  <c r="AI76" i="20"/>
  <c r="AI20" i="20" s="1"/>
  <c r="AJ76" i="20"/>
  <c r="AK76" i="20" s="1"/>
  <c r="Y74" i="20"/>
  <c r="AD77" i="20"/>
  <c r="AC77" i="20"/>
  <c r="R76" i="20"/>
  <c r="Q76" i="20"/>
  <c r="Q20" i="20" s="1"/>
  <c r="AG78" i="20"/>
  <c r="AH77" i="20"/>
  <c r="R20" i="20"/>
  <c r="S20" i="20" s="1"/>
  <c r="M72" i="20"/>
  <c r="S75" i="20"/>
  <c r="W75" i="20"/>
  <c r="X75" i="20"/>
  <c r="S76" i="20" l="1"/>
  <c r="P20" i="20"/>
  <c r="AD78" i="20"/>
  <c r="AC78" i="20" s="1"/>
  <c r="AJ20" i="20"/>
  <c r="AK20" i="20" s="1"/>
  <c r="P78" i="20"/>
  <c r="O79" i="20"/>
  <c r="W76" i="20"/>
  <c r="X76" i="20"/>
  <c r="K76" i="20"/>
  <c r="AG79" i="20"/>
  <c r="AH78" i="20"/>
  <c r="M73" i="20"/>
  <c r="L77" i="20"/>
  <c r="K77" i="20" s="1"/>
  <c r="R77" i="20"/>
  <c r="Q77" i="20"/>
  <c r="U78" i="20"/>
  <c r="V77" i="20"/>
  <c r="AI77" i="20"/>
  <c r="AJ77" i="20"/>
  <c r="Y75" i="20"/>
  <c r="I79" i="20"/>
  <c r="J78" i="20"/>
  <c r="AB79" i="20"/>
  <c r="AA80" i="20"/>
  <c r="AE77" i="20"/>
  <c r="AH20" i="20" l="1"/>
  <c r="S77" i="20"/>
  <c r="AD79" i="20"/>
  <c r="AC79" i="20" s="1"/>
  <c r="M74" i="20"/>
  <c r="R78" i="20"/>
  <c r="Q78" i="20"/>
  <c r="AB80" i="20"/>
  <c r="AA81" i="20"/>
  <c r="Y76" i="20"/>
  <c r="W77" i="20"/>
  <c r="X77" i="20"/>
  <c r="P79" i="20"/>
  <c r="O80" i="20"/>
  <c r="U79" i="20"/>
  <c r="V78" i="20"/>
  <c r="L78" i="20"/>
  <c r="AI78" i="20"/>
  <c r="AJ78" i="20"/>
  <c r="AE78" i="20"/>
  <c r="I80" i="20"/>
  <c r="J79" i="20"/>
  <c r="AG80" i="20"/>
  <c r="AH79" i="20"/>
  <c r="AK77" i="20"/>
  <c r="AE79" i="20" l="1"/>
  <c r="AK78" i="20"/>
  <c r="Y77" i="20"/>
  <c r="S78" i="20"/>
  <c r="AG81" i="20"/>
  <c r="AH80" i="20"/>
  <c r="L79" i="20"/>
  <c r="K79" i="20" s="1"/>
  <c r="P80" i="20"/>
  <c r="O81" i="20"/>
  <c r="AD80" i="20"/>
  <c r="AE80" i="20" s="1"/>
  <c r="M75" i="20"/>
  <c r="AI79" i="20"/>
  <c r="AJ79" i="20"/>
  <c r="I81" i="20"/>
  <c r="J80" i="20"/>
  <c r="W78" i="20"/>
  <c r="X78" i="20"/>
  <c r="R79" i="20"/>
  <c r="Q79" i="20"/>
  <c r="U80" i="20"/>
  <c r="V79" i="20"/>
  <c r="K78" i="20"/>
  <c r="AB81" i="20"/>
  <c r="AA82" i="20"/>
  <c r="AK79" i="20" l="1"/>
  <c r="S79" i="20"/>
  <c r="Y78" i="20"/>
  <c r="AD81" i="20"/>
  <c r="AE81" i="20" s="1"/>
  <c r="L80" i="20"/>
  <c r="P81" i="20"/>
  <c r="O82" i="20"/>
  <c r="AB82" i="20"/>
  <c r="AA83" i="20"/>
  <c r="U81" i="20"/>
  <c r="V80" i="20"/>
  <c r="AC80" i="20"/>
  <c r="AI80" i="20"/>
  <c r="AI21" i="20" s="1"/>
  <c r="AJ80" i="20"/>
  <c r="AJ21" i="20" s="1"/>
  <c r="AK21" i="20" s="1"/>
  <c r="AG82" i="20"/>
  <c r="AH81" i="20"/>
  <c r="W79" i="20"/>
  <c r="X79" i="20"/>
  <c r="I82" i="20"/>
  <c r="J81" i="20"/>
  <c r="M76" i="20"/>
  <c r="R80" i="20"/>
  <c r="R21" i="20" s="1"/>
  <c r="S21" i="20" s="1"/>
  <c r="Q80" i="20"/>
  <c r="Q21" i="20" s="1"/>
  <c r="Y79" i="20" l="1"/>
  <c r="AC81" i="20"/>
  <c r="P21" i="20"/>
  <c r="L81" i="20"/>
  <c r="K81" i="20" s="1"/>
  <c r="W80" i="20"/>
  <c r="X80" i="20"/>
  <c r="AD82" i="20"/>
  <c r="AC82" i="20" s="1"/>
  <c r="AI81" i="20"/>
  <c r="AJ81" i="20"/>
  <c r="AK80" i="20"/>
  <c r="P82" i="20"/>
  <c r="O83" i="20"/>
  <c r="M77" i="20"/>
  <c r="AG83" i="20"/>
  <c r="AH82" i="20"/>
  <c r="AB83" i="20"/>
  <c r="AA84" i="20"/>
  <c r="R81" i="20"/>
  <c r="Q81" i="20"/>
  <c r="AH21" i="20"/>
  <c r="I83" i="20"/>
  <c r="J82" i="20"/>
  <c r="U82" i="20"/>
  <c r="V81" i="20"/>
  <c r="S80" i="20"/>
  <c r="K80" i="20"/>
  <c r="Y80" i="20" l="1"/>
  <c r="AK81" i="20"/>
  <c r="S81" i="20"/>
  <c r="AE82" i="20"/>
  <c r="U83" i="20"/>
  <c r="V82" i="20"/>
  <c r="AI82" i="20"/>
  <c r="AJ82" i="20"/>
  <c r="L82" i="20"/>
  <c r="AG84" i="20"/>
  <c r="AH83" i="20"/>
  <c r="P83" i="20"/>
  <c r="O84" i="20"/>
  <c r="I84" i="20"/>
  <c r="J83" i="20"/>
  <c r="AB84" i="20"/>
  <c r="AA85" i="20"/>
  <c r="R82" i="20"/>
  <c r="Q82" i="20"/>
  <c r="W81" i="20"/>
  <c r="X81" i="20"/>
  <c r="Y81" i="20" s="1"/>
  <c r="AD83" i="20"/>
  <c r="AC83" i="20" s="1"/>
  <c r="M78" i="20"/>
  <c r="AK82" i="20" l="1"/>
  <c r="AE83" i="20"/>
  <c r="AD84" i="20" s="1"/>
  <c r="AD12" i="20" s="1"/>
  <c r="AE12" i="20" s="1"/>
  <c r="AG85" i="20"/>
  <c r="AH84" i="20"/>
  <c r="I85" i="20"/>
  <c r="J84" i="20"/>
  <c r="R83" i="20"/>
  <c r="Q83" i="20"/>
  <c r="W82" i="20"/>
  <c r="X82" i="20"/>
  <c r="Y82" i="20" s="1"/>
  <c r="M79" i="20"/>
  <c r="AB85" i="20"/>
  <c r="AA86" i="20"/>
  <c r="S82" i="20"/>
  <c r="AI83" i="20"/>
  <c r="AJ83" i="20"/>
  <c r="K82" i="20"/>
  <c r="U84" i="20"/>
  <c r="V83" i="20"/>
  <c r="L83" i="20"/>
  <c r="P84" i="20"/>
  <c r="O85" i="20"/>
  <c r="AC84" i="20" l="1"/>
  <c r="AC12" i="20" s="1"/>
  <c r="AB12" i="20" s="1"/>
  <c r="AD85" i="20"/>
  <c r="AC85" i="20" s="1"/>
  <c r="L84" i="20"/>
  <c r="AB86" i="20"/>
  <c r="AA87" i="20"/>
  <c r="AG86" i="20"/>
  <c r="AH85" i="20"/>
  <c r="P85" i="20"/>
  <c r="O86" i="20"/>
  <c r="K83" i="20"/>
  <c r="W83" i="20"/>
  <c r="X83" i="20"/>
  <c r="Y83" i="20" s="1"/>
  <c r="I86" i="20"/>
  <c r="J85" i="20"/>
  <c r="R84" i="20"/>
  <c r="R22" i="20" s="1"/>
  <c r="S22" i="20" s="1"/>
  <c r="Q84" i="20"/>
  <c r="Q22" i="20" s="1"/>
  <c r="AK83" i="20"/>
  <c r="U85" i="20"/>
  <c r="V84" i="20"/>
  <c r="S83" i="20"/>
  <c r="M80" i="20"/>
  <c r="AI84" i="20"/>
  <c r="AI22" i="20" s="1"/>
  <c r="AJ84" i="20"/>
  <c r="AJ22" i="20" s="1"/>
  <c r="AK22" i="20" s="1"/>
  <c r="AE84" i="20"/>
  <c r="M81" i="20" l="1"/>
  <c r="I87" i="20"/>
  <c r="J86" i="20"/>
  <c r="P22" i="20"/>
  <c r="W84" i="20"/>
  <c r="X84" i="20"/>
  <c r="Y84" i="20" s="1"/>
  <c r="AH22" i="20"/>
  <c r="P86" i="20"/>
  <c r="O87" i="20"/>
  <c r="AB87" i="20"/>
  <c r="AA88" i="20"/>
  <c r="AE85" i="20"/>
  <c r="U86" i="20"/>
  <c r="V85" i="20"/>
  <c r="L85" i="20"/>
  <c r="K85" i="20" s="1"/>
  <c r="R85" i="20"/>
  <c r="Q85" i="20"/>
  <c r="AD86" i="20"/>
  <c r="AC86" i="20" s="1"/>
  <c r="AK84" i="20"/>
  <c r="AI85" i="20"/>
  <c r="AJ85" i="20"/>
  <c r="L12" i="20"/>
  <c r="S84" i="20"/>
  <c r="AG87" i="20"/>
  <c r="AH86" i="20"/>
  <c r="K84" i="20"/>
  <c r="AK85" i="20" l="1"/>
  <c r="AG88" i="20"/>
  <c r="AH87" i="20"/>
  <c r="R86" i="20"/>
  <c r="Q86" i="20"/>
  <c r="M82" i="20"/>
  <c r="L86" i="20"/>
  <c r="K86" i="20" s="1"/>
  <c r="K12" i="20"/>
  <c r="AI86" i="20"/>
  <c r="AJ86" i="20"/>
  <c r="AE86" i="20"/>
  <c r="P87" i="20"/>
  <c r="O88" i="20"/>
  <c r="E12" i="20"/>
  <c r="M12" i="20"/>
  <c r="W85" i="20"/>
  <c r="X85" i="20"/>
  <c r="Y85" i="20" s="1"/>
  <c r="AB88" i="20"/>
  <c r="AA89" i="20"/>
  <c r="S85" i="20"/>
  <c r="S86" i="20" s="1"/>
  <c r="U87" i="20"/>
  <c r="V86" i="20"/>
  <c r="AD87" i="20"/>
  <c r="I88" i="20"/>
  <c r="J87" i="20"/>
  <c r="AK86" i="20" l="1"/>
  <c r="F12" i="20"/>
  <c r="AE87" i="20"/>
  <c r="L87" i="20"/>
  <c r="W86" i="20"/>
  <c r="X86" i="20"/>
  <c r="Y86" i="20" s="1"/>
  <c r="M83" i="20"/>
  <c r="AI87" i="20"/>
  <c r="AJ87" i="20"/>
  <c r="AK87" i="20" s="1"/>
  <c r="I89" i="20"/>
  <c r="J88" i="20"/>
  <c r="U88" i="20"/>
  <c r="V87" i="20"/>
  <c r="AB89" i="20"/>
  <c r="AA90" i="20"/>
  <c r="P88" i="20"/>
  <c r="O89" i="20"/>
  <c r="AG89" i="20"/>
  <c r="AH88" i="20"/>
  <c r="AC87" i="20"/>
  <c r="AD88" i="20"/>
  <c r="R87" i="20"/>
  <c r="S87" i="20" s="1"/>
  <c r="Q87" i="20"/>
  <c r="J12" i="20"/>
  <c r="C12" i="20" s="1"/>
  <c r="D12" i="20"/>
  <c r="AI88" i="20" l="1"/>
  <c r="AJ88" i="20"/>
  <c r="AK88" i="20" s="1"/>
  <c r="R88" i="20"/>
  <c r="S88" i="20" s="1"/>
  <c r="Q88" i="20"/>
  <c r="U89" i="20"/>
  <c r="V88" i="20"/>
  <c r="AE88" i="20"/>
  <c r="AC88" i="20"/>
  <c r="AG90" i="20"/>
  <c r="AH89" i="20"/>
  <c r="AB90" i="20"/>
  <c r="AA91" i="20"/>
  <c r="L88" i="20"/>
  <c r="K88" i="20" s="1"/>
  <c r="AD89" i="20"/>
  <c r="AC89" i="20" s="1"/>
  <c r="I90" i="20"/>
  <c r="J89" i="20"/>
  <c r="K87" i="20"/>
  <c r="P89" i="20"/>
  <c r="O90" i="20"/>
  <c r="W87" i="20"/>
  <c r="X87" i="20"/>
  <c r="Y87" i="20" s="1"/>
  <c r="M84" i="20"/>
  <c r="P90" i="20" l="1"/>
  <c r="O91" i="20"/>
  <c r="M85" i="20"/>
  <c r="R89" i="20"/>
  <c r="S89" i="20" s="1"/>
  <c r="Q89" i="20"/>
  <c r="I91" i="20"/>
  <c r="J90" i="20"/>
  <c r="AI89" i="20"/>
  <c r="AJ89" i="20"/>
  <c r="AK89" i="20" s="1"/>
  <c r="AG91" i="20"/>
  <c r="AH90" i="20"/>
  <c r="AB91" i="20"/>
  <c r="AA92" i="20"/>
  <c r="W88" i="20"/>
  <c r="X88" i="20"/>
  <c r="Y88" i="20" s="1"/>
  <c r="L89" i="20"/>
  <c r="K89" i="20" s="1"/>
  <c r="AD90" i="20"/>
  <c r="AC90" i="20" s="1"/>
  <c r="AE89" i="20"/>
  <c r="U90" i="20"/>
  <c r="V89" i="20"/>
  <c r="L90" i="20" l="1"/>
  <c r="U91" i="20"/>
  <c r="V90" i="20"/>
  <c r="AI90" i="20"/>
  <c r="AJ90" i="20"/>
  <c r="AK90" i="20" s="1"/>
  <c r="P91" i="20"/>
  <c r="O92" i="20"/>
  <c r="AE90" i="20"/>
  <c r="AG92" i="20"/>
  <c r="AH91" i="20"/>
  <c r="R90" i="20"/>
  <c r="S90" i="20" s="1"/>
  <c r="Q90" i="20"/>
  <c r="AB92" i="20"/>
  <c r="AA93" i="20"/>
  <c r="W89" i="20"/>
  <c r="X89" i="20"/>
  <c r="Y89" i="20" s="1"/>
  <c r="AD91" i="20"/>
  <c r="AC91" i="20" s="1"/>
  <c r="I92" i="20"/>
  <c r="J91" i="20"/>
  <c r="M86" i="20"/>
  <c r="L91" i="20" l="1"/>
  <c r="AE91" i="20"/>
  <c r="K90" i="20"/>
  <c r="M87" i="20"/>
  <c r="I93" i="20"/>
  <c r="J92" i="20"/>
  <c r="AB93" i="20"/>
  <c r="AA94" i="20"/>
  <c r="AI91" i="20"/>
  <c r="AJ91" i="20"/>
  <c r="AK91" i="20" s="1"/>
  <c r="P92" i="20"/>
  <c r="O93" i="20"/>
  <c r="W90" i="20"/>
  <c r="X90" i="20"/>
  <c r="Y90" i="20" s="1"/>
  <c r="AD92" i="20"/>
  <c r="AC92" i="20" s="1"/>
  <c r="AG93" i="20"/>
  <c r="AH92" i="20"/>
  <c r="R91" i="20"/>
  <c r="S91" i="20" s="1"/>
  <c r="Q91" i="20"/>
  <c r="U92" i="20"/>
  <c r="V91" i="20"/>
  <c r="AE92" i="20" l="1"/>
  <c r="I94" i="20"/>
  <c r="J93" i="20"/>
  <c r="P93" i="20"/>
  <c r="O94" i="20"/>
  <c r="AB94" i="20"/>
  <c r="AA95" i="20"/>
  <c r="W91" i="20"/>
  <c r="X91" i="20"/>
  <c r="Y91" i="20" s="1"/>
  <c r="AI92" i="20"/>
  <c r="AJ92" i="20"/>
  <c r="AK92" i="20" s="1"/>
  <c r="R92" i="20"/>
  <c r="S92" i="20" s="1"/>
  <c r="Q92" i="20"/>
  <c r="AD93" i="20"/>
  <c r="AC93" i="20" s="1"/>
  <c r="M88" i="20"/>
  <c r="U93" i="20"/>
  <c r="V92" i="20"/>
  <c r="AG94" i="20"/>
  <c r="AH93" i="20"/>
  <c r="L92" i="20"/>
  <c r="K92" i="20" s="1"/>
  <c r="K91" i="20"/>
  <c r="AE93" i="20" l="1"/>
  <c r="W92" i="20"/>
  <c r="X92" i="20"/>
  <c r="AD94" i="20"/>
  <c r="AC94" i="20" s="1"/>
  <c r="L93" i="20"/>
  <c r="U94" i="20"/>
  <c r="V93" i="20"/>
  <c r="M89" i="20"/>
  <c r="P94" i="20"/>
  <c r="O95" i="20"/>
  <c r="I95" i="20"/>
  <c r="J94" i="20"/>
  <c r="AI93" i="20"/>
  <c r="AJ93" i="20"/>
  <c r="AK93" i="20" s="1"/>
  <c r="Y92" i="20"/>
  <c r="R93" i="20"/>
  <c r="S93" i="20" s="1"/>
  <c r="Q93" i="20"/>
  <c r="AG95" i="20"/>
  <c r="AH94" i="20"/>
  <c r="AB95" i="20"/>
  <c r="AA96" i="20"/>
  <c r="AE94" i="20" l="1"/>
  <c r="M90" i="20"/>
  <c r="AB96" i="20"/>
  <c r="AA97" i="20"/>
  <c r="P95" i="20"/>
  <c r="O96" i="20"/>
  <c r="W93" i="20"/>
  <c r="X93" i="20"/>
  <c r="AG96" i="20"/>
  <c r="AH95" i="20"/>
  <c r="I96" i="20"/>
  <c r="J95" i="20"/>
  <c r="AD95" i="20"/>
  <c r="AE95" i="20" s="1"/>
  <c r="R94" i="20"/>
  <c r="S94" i="20" s="1"/>
  <c r="Q94" i="20"/>
  <c r="U95" i="20"/>
  <c r="V94" i="20"/>
  <c r="AI94" i="20"/>
  <c r="AJ94" i="20"/>
  <c r="AK94" i="20" s="1"/>
  <c r="L94" i="20"/>
  <c r="K94" i="20" s="1"/>
  <c r="K93" i="20"/>
  <c r="U96" i="20" l="1"/>
  <c r="V95" i="20"/>
  <c r="I97" i="20"/>
  <c r="J96" i="20"/>
  <c r="AB97" i="20"/>
  <c r="AA98" i="20"/>
  <c r="Y93" i="20"/>
  <c r="W94" i="20"/>
  <c r="X94" i="20"/>
  <c r="AC95" i="20"/>
  <c r="AI95" i="20"/>
  <c r="AJ95" i="20"/>
  <c r="AK95" i="20" s="1"/>
  <c r="AD96" i="20"/>
  <c r="AD13" i="20" s="1"/>
  <c r="AE13" i="20" s="1"/>
  <c r="AG97" i="20"/>
  <c r="AH96" i="20"/>
  <c r="P96" i="20"/>
  <c r="O97" i="20"/>
  <c r="L95" i="20"/>
  <c r="R95" i="20"/>
  <c r="S95" i="20" s="1"/>
  <c r="Q95" i="20"/>
  <c r="M91" i="20"/>
  <c r="AC96" i="20" l="1"/>
  <c r="AC13" i="20" s="1"/>
  <c r="AB13" i="20" s="1"/>
  <c r="P97" i="20"/>
  <c r="O98" i="20"/>
  <c r="M92" i="20"/>
  <c r="R96" i="20"/>
  <c r="S96" i="20" s="1"/>
  <c r="Q96" i="20"/>
  <c r="AD97" i="20"/>
  <c r="AC97" i="20" s="1"/>
  <c r="W95" i="20"/>
  <c r="X95" i="20"/>
  <c r="AE96" i="20"/>
  <c r="AB98" i="20"/>
  <c r="AA99" i="20"/>
  <c r="K95" i="20"/>
  <c r="AI96" i="20"/>
  <c r="AJ96" i="20"/>
  <c r="AK96" i="20" s="1"/>
  <c r="L96" i="20"/>
  <c r="U97" i="20"/>
  <c r="V96" i="20"/>
  <c r="AG98" i="20"/>
  <c r="AH97" i="20"/>
  <c r="Y94" i="20"/>
  <c r="Y95" i="20" s="1"/>
  <c r="I98" i="20"/>
  <c r="J97" i="20"/>
  <c r="AE97" i="20" l="1"/>
  <c r="L13" i="20"/>
  <c r="W96" i="20"/>
  <c r="X96" i="20"/>
  <c r="Y96" i="20" s="1"/>
  <c r="AB99" i="20"/>
  <c r="AA100" i="20"/>
  <c r="P98" i="20"/>
  <c r="O99" i="20"/>
  <c r="AI97" i="20"/>
  <c r="AJ97" i="20"/>
  <c r="AK97" i="20" s="1"/>
  <c r="U98" i="20"/>
  <c r="V97" i="20"/>
  <c r="AD98" i="20"/>
  <c r="AC98" i="20" s="1"/>
  <c r="R97" i="20"/>
  <c r="S97" i="20" s="1"/>
  <c r="Q97" i="20"/>
  <c r="L97" i="20"/>
  <c r="K97" i="20" s="1"/>
  <c r="AG99" i="20"/>
  <c r="AH98" i="20"/>
  <c r="I99" i="20"/>
  <c r="J98" i="20"/>
  <c r="K96" i="20"/>
  <c r="M93" i="20"/>
  <c r="AE98" i="20" l="1"/>
  <c r="AB100" i="20"/>
  <c r="AA101" i="20"/>
  <c r="I100" i="20"/>
  <c r="J99" i="20"/>
  <c r="AG100" i="20"/>
  <c r="AH99" i="20"/>
  <c r="W97" i="20"/>
  <c r="X97" i="20"/>
  <c r="Y97" i="20" s="1"/>
  <c r="P99" i="20"/>
  <c r="O100" i="20"/>
  <c r="E13" i="20"/>
  <c r="M13" i="20"/>
  <c r="K13" i="20"/>
  <c r="U99" i="20"/>
  <c r="V98" i="20"/>
  <c r="R98" i="20"/>
  <c r="S98" i="20" s="1"/>
  <c r="Q98" i="20"/>
  <c r="M94" i="20"/>
  <c r="L98" i="20"/>
  <c r="AI98" i="20"/>
  <c r="AJ98" i="20"/>
  <c r="AK98" i="20" s="1"/>
  <c r="AD99" i="20"/>
  <c r="AC99" i="20" s="1"/>
  <c r="AE99" i="20" l="1"/>
  <c r="F13" i="20"/>
  <c r="L99" i="20"/>
  <c r="K99" i="20" s="1"/>
  <c r="I101" i="20"/>
  <c r="J100" i="20"/>
  <c r="M95" i="20"/>
  <c r="W98" i="20"/>
  <c r="X98" i="20"/>
  <c r="Y98" i="20" s="1"/>
  <c r="J13" i="20"/>
  <c r="C13" i="20" s="1"/>
  <c r="D13" i="20"/>
  <c r="P100" i="20"/>
  <c r="O101" i="20"/>
  <c r="AI99" i="20"/>
  <c r="AJ99" i="20"/>
  <c r="AK99" i="20" s="1"/>
  <c r="AB101" i="20"/>
  <c r="AA102" i="20"/>
  <c r="K98" i="20"/>
  <c r="U100" i="20"/>
  <c r="V99" i="20"/>
  <c r="R99" i="20"/>
  <c r="S99" i="20" s="1"/>
  <c r="Q99" i="20"/>
  <c r="AG101" i="20"/>
  <c r="AH100" i="20"/>
  <c r="AD100" i="20"/>
  <c r="AC100" i="20" s="1"/>
  <c r="AG102" i="20" l="1"/>
  <c r="AH101" i="20"/>
  <c r="U101" i="20"/>
  <c r="V100" i="20"/>
  <c r="R100" i="20"/>
  <c r="S100" i="20" s="1"/>
  <c r="Q100" i="20"/>
  <c r="M96" i="20"/>
  <c r="AI100" i="20"/>
  <c r="AJ100" i="20"/>
  <c r="AK100" i="20" s="1"/>
  <c r="W99" i="20"/>
  <c r="X99" i="20"/>
  <c r="Y99" i="20" s="1"/>
  <c r="AA103" i="20"/>
  <c r="AB102" i="20"/>
  <c r="P101" i="20"/>
  <c r="O102" i="20"/>
  <c r="AE100" i="20"/>
  <c r="AD101" i="20"/>
  <c r="AC101" i="20" s="1"/>
  <c r="L100" i="20"/>
  <c r="I102" i="20"/>
  <c r="J101" i="20"/>
  <c r="AG103" i="20" l="1"/>
  <c r="AH102" i="20"/>
  <c r="L101" i="20"/>
  <c r="AD102" i="20"/>
  <c r="AC102" i="20" s="1"/>
  <c r="W100" i="20"/>
  <c r="X100" i="20"/>
  <c r="Y100" i="20" s="1"/>
  <c r="R101" i="20"/>
  <c r="S101" i="20" s="1"/>
  <c r="Q101" i="20"/>
  <c r="M97" i="20"/>
  <c r="J102" i="20"/>
  <c r="I103" i="20"/>
  <c r="K100" i="20"/>
  <c r="AE101" i="20"/>
  <c r="AA104" i="20"/>
  <c r="AB103" i="20"/>
  <c r="U102" i="20"/>
  <c r="V101" i="20"/>
  <c r="P102" i="20"/>
  <c r="O103" i="20"/>
  <c r="AI101" i="20"/>
  <c r="AJ101" i="20"/>
  <c r="AK101" i="20" s="1"/>
  <c r="AE102" i="20" l="1"/>
  <c r="O104" i="20"/>
  <c r="P103" i="20"/>
  <c r="W101" i="20"/>
  <c r="X101" i="20"/>
  <c r="Y101" i="20" s="1"/>
  <c r="AI102" i="20"/>
  <c r="AJ102" i="20"/>
  <c r="AK102" i="20" s="1"/>
  <c r="R102" i="20"/>
  <c r="S102" i="20" s="1"/>
  <c r="Q102" i="20"/>
  <c r="U103" i="20"/>
  <c r="V102" i="20"/>
  <c r="AH103" i="20"/>
  <c r="AG104" i="20"/>
  <c r="AD103" i="20"/>
  <c r="I104" i="20"/>
  <c r="J103" i="20"/>
  <c r="M98" i="20"/>
  <c r="AA105" i="20"/>
  <c r="AB104" i="20"/>
  <c r="L102" i="20"/>
  <c r="K102" i="20" s="1"/>
  <c r="K101" i="20"/>
  <c r="AE103" i="20" l="1"/>
  <c r="V103" i="20"/>
  <c r="U104" i="20"/>
  <c r="Q103" i="20"/>
  <c r="R103" i="20"/>
  <c r="S103" i="20" s="1"/>
  <c r="AA106" i="20"/>
  <c r="AB105" i="20"/>
  <c r="M99" i="20"/>
  <c r="AC103" i="20"/>
  <c r="O105" i="20"/>
  <c r="P104" i="20"/>
  <c r="AD104" i="20"/>
  <c r="L103" i="20"/>
  <c r="K103" i="20" s="1"/>
  <c r="AH104" i="20"/>
  <c r="AG105" i="20"/>
  <c r="J104" i="20"/>
  <c r="I105" i="20"/>
  <c r="AJ103" i="20"/>
  <c r="AK103" i="20" s="1"/>
  <c r="AI103" i="20"/>
  <c r="W102" i="20"/>
  <c r="X102" i="20"/>
  <c r="AE104" i="20" l="1"/>
  <c r="L104" i="20"/>
  <c r="M100" i="20"/>
  <c r="AH105" i="20"/>
  <c r="AG106" i="20"/>
  <c r="AC104" i="20"/>
  <c r="AA107" i="20"/>
  <c r="AB106" i="20"/>
  <c r="V104" i="20"/>
  <c r="U105" i="20"/>
  <c r="J105" i="20"/>
  <c r="I106" i="20"/>
  <c r="AJ104" i="20"/>
  <c r="AK104" i="20" s="1"/>
  <c r="AI104" i="20"/>
  <c r="Y102" i="20"/>
  <c r="Q104" i="20"/>
  <c r="R104" i="20"/>
  <c r="S104" i="20" s="1"/>
  <c r="X103" i="20"/>
  <c r="W103" i="20"/>
  <c r="O106" i="20"/>
  <c r="P105" i="20"/>
  <c r="AD105" i="20"/>
  <c r="AC105" i="20" s="1"/>
  <c r="AE105" i="20" l="1"/>
  <c r="Q105" i="20"/>
  <c r="R105" i="20"/>
  <c r="S105" i="20" s="1"/>
  <c r="V105" i="20"/>
  <c r="U106" i="20"/>
  <c r="O107" i="20"/>
  <c r="P106" i="20"/>
  <c r="X104" i="20"/>
  <c r="W104" i="20"/>
  <c r="M101" i="20"/>
  <c r="J106" i="20"/>
  <c r="I107" i="20"/>
  <c r="AD106" i="20"/>
  <c r="AC106" i="20" s="1"/>
  <c r="AH106" i="20"/>
  <c r="AG107" i="20"/>
  <c r="K104" i="20"/>
  <c r="Y103" i="20"/>
  <c r="L105" i="20"/>
  <c r="K105" i="20" s="1"/>
  <c r="AA108" i="20"/>
  <c r="AB107" i="20"/>
  <c r="AJ105" i="20"/>
  <c r="AK105" i="20" s="1"/>
  <c r="AI105" i="20"/>
  <c r="Y104" i="20" l="1"/>
  <c r="AD107" i="20"/>
  <c r="AC107" i="20" s="1"/>
  <c r="AH107" i="20"/>
  <c r="AG108" i="20"/>
  <c r="L106" i="20"/>
  <c r="V106" i="20"/>
  <c r="U107" i="20"/>
  <c r="AE106" i="20"/>
  <c r="M102" i="20"/>
  <c r="O108" i="20"/>
  <c r="P107" i="20"/>
  <c r="J107" i="20"/>
  <c r="I108" i="20"/>
  <c r="AA109" i="20"/>
  <c r="AB108" i="20"/>
  <c r="AJ106" i="20"/>
  <c r="AK106" i="20" s="1"/>
  <c r="AI106" i="20"/>
  <c r="Q106" i="20"/>
  <c r="R106" i="20"/>
  <c r="S106" i="20" s="1"/>
  <c r="X105" i="20"/>
  <c r="W105" i="20"/>
  <c r="Y105" i="20" l="1"/>
  <c r="AD108" i="20"/>
  <c r="AD14" i="20" s="1"/>
  <c r="AE14" i="20" s="1"/>
  <c r="M103" i="20"/>
  <c r="V107" i="20"/>
  <c r="U108" i="20"/>
  <c r="L107" i="20"/>
  <c r="K107" i="20" s="1"/>
  <c r="AA110" i="20"/>
  <c r="AB109" i="20"/>
  <c r="Q107" i="20"/>
  <c r="R107" i="20"/>
  <c r="S107" i="20" s="1"/>
  <c r="X106" i="20"/>
  <c r="W106" i="20"/>
  <c r="AH108" i="20"/>
  <c r="AG109" i="20"/>
  <c r="J108" i="20"/>
  <c r="I109" i="20"/>
  <c r="O109" i="20"/>
  <c r="P108" i="20"/>
  <c r="AE107" i="20"/>
  <c r="K106" i="20"/>
  <c r="AJ107" i="20"/>
  <c r="AK107" i="20" s="1"/>
  <c r="AI107" i="20"/>
  <c r="Y106" i="20" l="1"/>
  <c r="AE108" i="20"/>
  <c r="AC108" i="20"/>
  <c r="AC14" i="20" s="1"/>
  <c r="AB14" i="20" s="1"/>
  <c r="O110" i="20"/>
  <c r="P109" i="20"/>
  <c r="AJ108" i="20"/>
  <c r="AK108" i="20" s="1"/>
  <c r="AI108" i="20"/>
  <c r="M104" i="20"/>
  <c r="J109" i="20"/>
  <c r="I110" i="20"/>
  <c r="AD109" i="20"/>
  <c r="AC109" i="20" s="1"/>
  <c r="V108" i="20"/>
  <c r="U109" i="20"/>
  <c r="L108" i="20"/>
  <c r="K108" i="20" s="1"/>
  <c r="AA111" i="20"/>
  <c r="AB110" i="20"/>
  <c r="X107" i="20"/>
  <c r="Y107" i="20" s="1"/>
  <c r="W107" i="20"/>
  <c r="Q108" i="20"/>
  <c r="R108" i="20"/>
  <c r="S108" i="20" s="1"/>
  <c r="AH109" i="20"/>
  <c r="AG110" i="20"/>
  <c r="AE109" i="20" l="1"/>
  <c r="K14" i="20"/>
  <c r="AD110" i="20"/>
  <c r="AC110" i="20" s="1"/>
  <c r="L109" i="20"/>
  <c r="AA112" i="20"/>
  <c r="AB111" i="20"/>
  <c r="AJ109" i="20"/>
  <c r="AK109" i="20" s="1"/>
  <c r="AI109" i="20"/>
  <c r="Q109" i="20"/>
  <c r="R109" i="20"/>
  <c r="S109" i="20" s="1"/>
  <c r="V109" i="20"/>
  <c r="U110" i="20"/>
  <c r="J110" i="20"/>
  <c r="I111" i="20"/>
  <c r="O111" i="20"/>
  <c r="P110" i="20"/>
  <c r="L14" i="20"/>
  <c r="X108" i="20"/>
  <c r="Y108" i="20" s="1"/>
  <c r="W108" i="20"/>
  <c r="AH110" i="20"/>
  <c r="AG111" i="20"/>
  <c r="M105" i="20"/>
  <c r="L110" i="20" l="1"/>
  <c r="AA113" i="20"/>
  <c r="AB112" i="20"/>
  <c r="AJ110" i="20"/>
  <c r="AK110" i="20" s="1"/>
  <c r="AI110" i="20"/>
  <c r="E14" i="20"/>
  <c r="M14" i="20"/>
  <c r="J111" i="20"/>
  <c r="I112" i="20"/>
  <c r="AD111" i="20"/>
  <c r="AE110" i="20"/>
  <c r="Q110" i="20"/>
  <c r="R110" i="20"/>
  <c r="S110" i="20" s="1"/>
  <c r="V110" i="20"/>
  <c r="U111" i="20"/>
  <c r="J14" i="20"/>
  <c r="C14" i="20" s="1"/>
  <c r="D14" i="20"/>
  <c r="M106" i="20"/>
  <c r="AH111" i="20"/>
  <c r="AG112" i="20"/>
  <c r="O112" i="20"/>
  <c r="P111" i="20"/>
  <c r="X109" i="20"/>
  <c r="Y109" i="20" s="1"/>
  <c r="W109" i="20"/>
  <c r="K109" i="20"/>
  <c r="F14" i="20" l="1"/>
  <c r="AD112" i="20"/>
  <c r="AC112" i="20" s="1"/>
  <c r="Q111" i="20"/>
  <c r="R111" i="20"/>
  <c r="S111" i="20" s="1"/>
  <c r="M107" i="20"/>
  <c r="V111" i="20"/>
  <c r="U112" i="20"/>
  <c r="AE111" i="20"/>
  <c r="L111" i="20"/>
  <c r="K111" i="20" s="1"/>
  <c r="O113" i="20"/>
  <c r="P112" i="20"/>
  <c r="X110" i="20"/>
  <c r="W110" i="20"/>
  <c r="AH112" i="20"/>
  <c r="AG113" i="20"/>
  <c r="AC111" i="20"/>
  <c r="AA114" i="20"/>
  <c r="AB113" i="20"/>
  <c r="AJ111" i="20"/>
  <c r="AK111" i="20" s="1"/>
  <c r="AI111" i="20"/>
  <c r="J112" i="20"/>
  <c r="I113" i="20"/>
  <c r="K110" i="20"/>
  <c r="AE112" i="20" l="1"/>
  <c r="L112" i="20"/>
  <c r="K112" i="20" s="1"/>
  <c r="O114" i="20"/>
  <c r="P113" i="20"/>
  <c r="X111" i="20"/>
  <c r="W111" i="20"/>
  <c r="J113" i="20"/>
  <c r="I114" i="20"/>
  <c r="AH113" i="20"/>
  <c r="AG114" i="20"/>
  <c r="M108" i="20"/>
  <c r="Y110" i="20"/>
  <c r="AD113" i="20"/>
  <c r="AC113" i="20" s="1"/>
  <c r="AJ112" i="20"/>
  <c r="AK112" i="20" s="1"/>
  <c r="AI112" i="20"/>
  <c r="AA115" i="20"/>
  <c r="AB114" i="20"/>
  <c r="Q112" i="20"/>
  <c r="R112" i="20"/>
  <c r="S112" i="20" s="1"/>
  <c r="V112" i="20"/>
  <c r="U113" i="20"/>
  <c r="X112" i="20" l="1"/>
  <c r="W112" i="20"/>
  <c r="AD114" i="20"/>
  <c r="AC114" i="20" s="1"/>
  <c r="Y111" i="20"/>
  <c r="L113" i="20"/>
  <c r="K113" i="20" s="1"/>
  <c r="Q113" i="20"/>
  <c r="R113" i="20"/>
  <c r="S113" i="20" s="1"/>
  <c r="AA116" i="20"/>
  <c r="AB115" i="20"/>
  <c r="M109" i="20"/>
  <c r="AH114" i="20"/>
  <c r="AG115" i="20"/>
  <c r="O115" i="20"/>
  <c r="P114" i="20"/>
  <c r="AJ113" i="20"/>
  <c r="AK113" i="20" s="1"/>
  <c r="AI113" i="20"/>
  <c r="V113" i="20"/>
  <c r="U114" i="20"/>
  <c r="AE113" i="20"/>
  <c r="J114" i="20"/>
  <c r="I115" i="20"/>
  <c r="Y112" i="20" l="1"/>
  <c r="AD115" i="20"/>
  <c r="AC115" i="20" s="1"/>
  <c r="V114" i="20"/>
  <c r="U115" i="20"/>
  <c r="M110" i="20"/>
  <c r="J115" i="20"/>
  <c r="I116" i="20"/>
  <c r="X113" i="20"/>
  <c r="W113" i="20"/>
  <c r="O116" i="20"/>
  <c r="P115" i="20"/>
  <c r="L114" i="20"/>
  <c r="K114" i="20" s="1"/>
  <c r="AH115" i="20"/>
  <c r="AG116" i="20"/>
  <c r="AE114" i="20"/>
  <c r="AJ114" i="20"/>
  <c r="AK114" i="20" s="1"/>
  <c r="AI114" i="20"/>
  <c r="AA117" i="20"/>
  <c r="AB116" i="20"/>
  <c r="Q114" i="20"/>
  <c r="R114" i="20"/>
  <c r="S114" i="20" s="1"/>
  <c r="AE115" i="20" l="1"/>
  <c r="Y113" i="20"/>
  <c r="AJ115" i="20"/>
  <c r="AK115" i="20" s="1"/>
  <c r="AI115" i="20"/>
  <c r="Q115" i="20"/>
  <c r="R115" i="20"/>
  <c r="S115" i="20" s="1"/>
  <c r="J116" i="20"/>
  <c r="I117" i="20"/>
  <c r="V115" i="20"/>
  <c r="U116" i="20"/>
  <c r="AD116" i="20"/>
  <c r="O117" i="20"/>
  <c r="P116" i="20"/>
  <c r="L115" i="20"/>
  <c r="K115" i="20" s="1"/>
  <c r="X114" i="20"/>
  <c r="W114" i="20"/>
  <c r="AA118" i="20"/>
  <c r="AB117" i="20"/>
  <c r="AH116" i="20"/>
  <c r="AG117" i="20"/>
  <c r="M111" i="20"/>
  <c r="AE116" i="20" l="1"/>
  <c r="Y114" i="20"/>
  <c r="J117" i="20"/>
  <c r="I118" i="20"/>
  <c r="M112" i="20"/>
  <c r="AH117" i="20"/>
  <c r="AG118" i="20"/>
  <c r="AC116" i="20"/>
  <c r="L116" i="20"/>
  <c r="K116" i="20" s="1"/>
  <c r="AA119" i="20"/>
  <c r="AB118" i="20"/>
  <c r="AJ116" i="20"/>
  <c r="AK116" i="20" s="1"/>
  <c r="AI116" i="20"/>
  <c r="Q116" i="20"/>
  <c r="R116" i="20"/>
  <c r="S116" i="20" s="1"/>
  <c r="V116" i="20"/>
  <c r="U117" i="20"/>
  <c r="AD117" i="20"/>
  <c r="O118" i="20"/>
  <c r="P117" i="20"/>
  <c r="X115" i="20"/>
  <c r="W115" i="20"/>
  <c r="AE117" i="20" l="1"/>
  <c r="Y115" i="20"/>
  <c r="AC117" i="20"/>
  <c r="AH118" i="20"/>
  <c r="AG119" i="20"/>
  <c r="Q117" i="20"/>
  <c r="R117" i="20"/>
  <c r="S117" i="20" s="1"/>
  <c r="AD118" i="20"/>
  <c r="X116" i="20"/>
  <c r="W116" i="20"/>
  <c r="J118" i="20"/>
  <c r="I119" i="20"/>
  <c r="AJ117" i="20"/>
  <c r="AK117" i="20" s="1"/>
  <c r="AI117" i="20"/>
  <c r="L117" i="20"/>
  <c r="O119" i="20"/>
  <c r="P118" i="20"/>
  <c r="V117" i="20"/>
  <c r="U118" i="20"/>
  <c r="AA120" i="20"/>
  <c r="AB119" i="20"/>
  <c r="M113" i="20"/>
  <c r="AE118" i="20" l="1"/>
  <c r="AC118" i="20"/>
  <c r="J119" i="20"/>
  <c r="I120" i="20"/>
  <c r="AA121" i="20"/>
  <c r="AB120" i="20"/>
  <c r="O120" i="20"/>
  <c r="P119" i="20"/>
  <c r="L118" i="20"/>
  <c r="AH119" i="20"/>
  <c r="AG120" i="20"/>
  <c r="Y116" i="20"/>
  <c r="AD119" i="20"/>
  <c r="AC119" i="20" s="1"/>
  <c r="Q118" i="20"/>
  <c r="R118" i="20"/>
  <c r="S118" i="20" s="1"/>
  <c r="M114" i="20"/>
  <c r="V118" i="20"/>
  <c r="U119" i="20"/>
  <c r="AJ118" i="20"/>
  <c r="AK118" i="20" s="1"/>
  <c r="AI118" i="20"/>
  <c r="X117" i="20"/>
  <c r="W117" i="20"/>
  <c r="K117" i="20"/>
  <c r="Y117" i="20" l="1"/>
  <c r="L119" i="20"/>
  <c r="K119" i="20" s="1"/>
  <c r="X118" i="20"/>
  <c r="W118" i="20"/>
  <c r="AH120" i="20"/>
  <c r="AG121" i="20"/>
  <c r="AA122" i="20"/>
  <c r="AB121" i="20"/>
  <c r="V119" i="20"/>
  <c r="U120" i="20"/>
  <c r="M115" i="20"/>
  <c r="AJ119" i="20"/>
  <c r="AK119" i="20" s="1"/>
  <c r="AI119" i="20"/>
  <c r="Q119" i="20"/>
  <c r="R119" i="20"/>
  <c r="S119" i="20" s="1"/>
  <c r="AE119" i="20"/>
  <c r="K118" i="20"/>
  <c r="O121" i="20"/>
  <c r="P120" i="20"/>
  <c r="J120" i="20"/>
  <c r="I121" i="20"/>
  <c r="Y118" i="20" l="1"/>
  <c r="AH121" i="20"/>
  <c r="AG122" i="20"/>
  <c r="J121" i="20"/>
  <c r="I122" i="20"/>
  <c r="AC121" i="20"/>
  <c r="AD121" i="20"/>
  <c r="AJ120" i="20"/>
  <c r="AK120" i="20" s="1"/>
  <c r="AI120" i="20"/>
  <c r="AA123" i="20"/>
  <c r="AB122" i="20"/>
  <c r="Q120" i="20"/>
  <c r="R120" i="20"/>
  <c r="S120" i="20" s="1"/>
  <c r="V120" i="20"/>
  <c r="U121" i="20"/>
  <c r="AD120" i="20"/>
  <c r="O122" i="20"/>
  <c r="P121" i="20"/>
  <c r="X119" i="20"/>
  <c r="W119" i="20"/>
  <c r="M116" i="20"/>
  <c r="L120" i="20"/>
  <c r="Y119" i="20" l="1"/>
  <c r="L15" i="20"/>
  <c r="AD15" i="20"/>
  <c r="AE15" i="20" s="1"/>
  <c r="AC120" i="20"/>
  <c r="AC15" i="20" s="1"/>
  <c r="AJ121" i="20"/>
  <c r="AK121" i="20" s="1"/>
  <c r="AI121" i="20"/>
  <c r="M117" i="20"/>
  <c r="V121" i="20"/>
  <c r="U122" i="20"/>
  <c r="AC122" i="20"/>
  <c r="AD122" i="20"/>
  <c r="J122" i="20"/>
  <c r="I123" i="20"/>
  <c r="AE120" i="20"/>
  <c r="AE121" i="20" s="1"/>
  <c r="K120" i="20"/>
  <c r="Q121" i="20"/>
  <c r="R121" i="20"/>
  <c r="S121" i="20" s="1"/>
  <c r="X120" i="20"/>
  <c r="W120" i="20"/>
  <c r="AA124" i="20"/>
  <c r="AB123" i="20"/>
  <c r="L121" i="20"/>
  <c r="K121" i="20" s="1"/>
  <c r="O123" i="20"/>
  <c r="P122" i="20"/>
  <c r="AH122" i="20"/>
  <c r="AG123" i="20"/>
  <c r="Y120" i="20" l="1"/>
  <c r="AC123" i="20"/>
  <c r="AD123" i="20"/>
  <c r="J123" i="20"/>
  <c r="I124" i="20"/>
  <c r="V122" i="20"/>
  <c r="U123" i="20"/>
  <c r="AH123" i="20"/>
  <c r="AG124" i="20"/>
  <c r="Q122" i="20"/>
  <c r="R122" i="20"/>
  <c r="S122" i="20" s="1"/>
  <c r="AA125" i="20"/>
  <c r="AB124" i="20"/>
  <c r="L122" i="20"/>
  <c r="K122" i="20" s="1"/>
  <c r="X121" i="20"/>
  <c r="W121" i="20"/>
  <c r="E15" i="20"/>
  <c r="M15" i="20"/>
  <c r="AJ122" i="20"/>
  <c r="AK122" i="20" s="1"/>
  <c r="AI122" i="20"/>
  <c r="O124" i="20"/>
  <c r="P123" i="20"/>
  <c r="K15" i="20"/>
  <c r="M118" i="20"/>
  <c r="AE122" i="20"/>
  <c r="AB15" i="20"/>
  <c r="Y121" i="20" l="1"/>
  <c r="M119" i="20"/>
  <c r="J15" i="20"/>
  <c r="C15" i="20" s="1"/>
  <c r="D15" i="20"/>
  <c r="Q123" i="20"/>
  <c r="R123" i="20"/>
  <c r="S123" i="20" s="1"/>
  <c r="F15" i="20"/>
  <c r="AA126" i="20"/>
  <c r="AB125" i="20"/>
  <c r="AJ123" i="20"/>
  <c r="AK123" i="20" s="1"/>
  <c r="AI123" i="20"/>
  <c r="J124" i="20"/>
  <c r="I125" i="20"/>
  <c r="O125" i="20"/>
  <c r="P124" i="20"/>
  <c r="L123" i="20"/>
  <c r="K123" i="20" s="1"/>
  <c r="V123" i="20"/>
  <c r="U124" i="20"/>
  <c r="AE123" i="20"/>
  <c r="AC124" i="20"/>
  <c r="AD124" i="20"/>
  <c r="AH124" i="20"/>
  <c r="AG125" i="20"/>
  <c r="X122" i="20"/>
  <c r="W122" i="20"/>
  <c r="AE124" i="20" l="1"/>
  <c r="X123" i="20"/>
  <c r="W123" i="20"/>
  <c r="AC125" i="20"/>
  <c r="AD125" i="20"/>
  <c r="AJ124" i="20"/>
  <c r="AK124" i="20" s="1"/>
  <c r="AI124" i="20"/>
  <c r="O126" i="20"/>
  <c r="P125" i="20"/>
  <c r="Y122" i="20"/>
  <c r="V124" i="20"/>
  <c r="U125" i="20"/>
  <c r="J125" i="20"/>
  <c r="I126" i="20"/>
  <c r="M120" i="20"/>
  <c r="AG126" i="20"/>
  <c r="AH125" i="20"/>
  <c r="Q124" i="20"/>
  <c r="R124" i="20"/>
  <c r="S124" i="20" s="1"/>
  <c r="L124" i="20"/>
  <c r="AB126" i="20"/>
  <c r="AA127" i="20"/>
  <c r="AE125" i="20" l="1"/>
  <c r="AD126" i="20"/>
  <c r="AC126" i="20"/>
  <c r="AG127" i="20"/>
  <c r="AH126" i="20"/>
  <c r="L125" i="20"/>
  <c r="X124" i="20"/>
  <c r="W124" i="20"/>
  <c r="K124" i="20"/>
  <c r="M121" i="20"/>
  <c r="Y123" i="20"/>
  <c r="Q125" i="20"/>
  <c r="R125" i="20"/>
  <c r="S125" i="20" s="1"/>
  <c r="AB127" i="20"/>
  <c r="AA128" i="20"/>
  <c r="AJ125" i="20"/>
  <c r="AK125" i="20" s="1"/>
  <c r="AI125" i="20"/>
  <c r="I127" i="20"/>
  <c r="J126" i="20"/>
  <c r="U126" i="20"/>
  <c r="V125" i="20"/>
  <c r="P126" i="20"/>
  <c r="O127" i="20"/>
  <c r="Y124" i="20" l="1"/>
  <c r="AE126" i="20"/>
  <c r="X125" i="20"/>
  <c r="W125" i="20"/>
  <c r="AD127" i="20"/>
  <c r="AC127" i="20"/>
  <c r="U127" i="20"/>
  <c r="V126" i="20"/>
  <c r="M122" i="20"/>
  <c r="AI126" i="20"/>
  <c r="AJ126" i="20"/>
  <c r="AK126" i="20" s="1"/>
  <c r="P127" i="20"/>
  <c r="O128" i="20"/>
  <c r="L126" i="20"/>
  <c r="AG128" i="20"/>
  <c r="AH127" i="20"/>
  <c r="R126" i="20"/>
  <c r="S126" i="20" s="1"/>
  <c r="Q126" i="20"/>
  <c r="I128" i="20"/>
  <c r="J127" i="20"/>
  <c r="AB128" i="20"/>
  <c r="AA129" i="20"/>
  <c r="K125" i="20"/>
  <c r="Y125" i="20" l="1"/>
  <c r="AE127" i="20"/>
  <c r="M123" i="20"/>
  <c r="L127" i="20"/>
  <c r="R127" i="20"/>
  <c r="S127" i="20" s="1"/>
  <c r="Q127" i="20"/>
  <c r="AD128" i="20"/>
  <c r="AC128" i="20"/>
  <c r="P128" i="20"/>
  <c r="O129" i="20"/>
  <c r="I129" i="20"/>
  <c r="J128" i="20"/>
  <c r="AI127" i="20"/>
  <c r="AJ127" i="20"/>
  <c r="AK127" i="20" s="1"/>
  <c r="W126" i="20"/>
  <c r="X126" i="20"/>
  <c r="AB129" i="20"/>
  <c r="AA130" i="20"/>
  <c r="AG129" i="20"/>
  <c r="AH128" i="20"/>
  <c r="K126" i="20"/>
  <c r="U128" i="20"/>
  <c r="V127" i="20"/>
  <c r="AE128" i="20" l="1"/>
  <c r="AD129" i="20"/>
  <c r="AC129" i="20"/>
  <c r="P129" i="20"/>
  <c r="O130" i="20"/>
  <c r="Y126" i="20"/>
  <c r="M124" i="20"/>
  <c r="AI128" i="20"/>
  <c r="AJ128" i="20"/>
  <c r="AK128" i="20" s="1"/>
  <c r="R128" i="20"/>
  <c r="S128" i="20" s="1"/>
  <c r="Q128" i="20"/>
  <c r="K127" i="20"/>
  <c r="W127" i="20"/>
  <c r="X127" i="20"/>
  <c r="AG130" i="20"/>
  <c r="AH129" i="20"/>
  <c r="L128" i="20"/>
  <c r="U129" i="20"/>
  <c r="V128" i="20"/>
  <c r="AB130" i="20"/>
  <c r="AA131" i="20"/>
  <c r="I130" i="20"/>
  <c r="J129" i="20"/>
  <c r="AE129" i="20" l="1"/>
  <c r="Y127" i="20"/>
  <c r="AI129" i="20"/>
  <c r="AJ129" i="20"/>
  <c r="AK129" i="20" s="1"/>
  <c r="AD130" i="20"/>
  <c r="AE130" i="20" s="1"/>
  <c r="AC130" i="20"/>
  <c r="AG131" i="20"/>
  <c r="AH130" i="20"/>
  <c r="M125" i="20"/>
  <c r="P130" i="20"/>
  <c r="O131" i="20"/>
  <c r="AB131" i="20"/>
  <c r="AA132" i="20"/>
  <c r="L129" i="20"/>
  <c r="K129" i="20" s="1"/>
  <c r="W128" i="20"/>
  <c r="X128" i="20"/>
  <c r="R129" i="20"/>
  <c r="S129" i="20" s="1"/>
  <c r="Q129" i="20"/>
  <c r="I131" i="20"/>
  <c r="J130" i="20"/>
  <c r="U130" i="20"/>
  <c r="V129" i="20"/>
  <c r="K128" i="20"/>
  <c r="U131" i="20" l="1"/>
  <c r="V130" i="20"/>
  <c r="AD131" i="20"/>
  <c r="AE131" i="20" s="1"/>
  <c r="AC131" i="20"/>
  <c r="L130" i="20"/>
  <c r="P131" i="20"/>
  <c r="O132" i="20"/>
  <c r="AI130" i="20"/>
  <c r="AJ130" i="20"/>
  <c r="AK130" i="20" s="1"/>
  <c r="I132" i="20"/>
  <c r="J131" i="20"/>
  <c r="R130" i="20"/>
  <c r="S130" i="20" s="1"/>
  <c r="Q130" i="20"/>
  <c r="AG132" i="20"/>
  <c r="AH131" i="20"/>
  <c r="Y128" i="20"/>
  <c r="W129" i="20"/>
  <c r="X129" i="20"/>
  <c r="AB132" i="20"/>
  <c r="AA133" i="20"/>
  <c r="M126" i="20"/>
  <c r="Y129" i="20" l="1"/>
  <c r="M127" i="20"/>
  <c r="R131" i="20"/>
  <c r="S131" i="20" s="1"/>
  <c r="Q131" i="20"/>
  <c r="AB133" i="20"/>
  <c r="AA134" i="20"/>
  <c r="AD132" i="20"/>
  <c r="AD16" i="20" s="1"/>
  <c r="AE16" i="20" s="1"/>
  <c r="AC132" i="20"/>
  <c r="AC16" i="20" s="1"/>
  <c r="AI131" i="20"/>
  <c r="AJ131" i="20"/>
  <c r="AK131" i="20" s="1"/>
  <c r="L131" i="20"/>
  <c r="K131" i="20" s="1"/>
  <c r="W130" i="20"/>
  <c r="X130" i="20"/>
  <c r="AG133" i="20"/>
  <c r="AH132" i="20"/>
  <c r="I133" i="20"/>
  <c r="J132" i="20"/>
  <c r="P132" i="20"/>
  <c r="O133" i="20"/>
  <c r="K130" i="20"/>
  <c r="U132" i="20"/>
  <c r="V131" i="20"/>
  <c r="AB16" i="20" l="1"/>
  <c r="AE132" i="20"/>
  <c r="Y130" i="20"/>
  <c r="L132" i="20"/>
  <c r="K132" i="20" s="1"/>
  <c r="AB134" i="20"/>
  <c r="AA135" i="20"/>
  <c r="I134" i="20"/>
  <c r="J133" i="20"/>
  <c r="AD133" i="20"/>
  <c r="AC133" i="20"/>
  <c r="U133" i="20"/>
  <c r="V132" i="20"/>
  <c r="P133" i="20"/>
  <c r="O134" i="20"/>
  <c r="AI132" i="20"/>
  <c r="AJ132" i="20"/>
  <c r="AK132" i="20" s="1"/>
  <c r="M128" i="20"/>
  <c r="W131" i="20"/>
  <c r="X131" i="20"/>
  <c r="Y131" i="20" s="1"/>
  <c r="R132" i="20"/>
  <c r="S132" i="20" s="1"/>
  <c r="Q132" i="20"/>
  <c r="AG134" i="20"/>
  <c r="AH133" i="20"/>
  <c r="K16" i="20" l="1"/>
  <c r="P134" i="20"/>
  <c r="O135" i="20"/>
  <c r="I135" i="20"/>
  <c r="J134" i="20"/>
  <c r="M129" i="20"/>
  <c r="R133" i="20"/>
  <c r="S133" i="20" s="1"/>
  <c r="Q133" i="20"/>
  <c r="AE133" i="20"/>
  <c r="AI133" i="20"/>
  <c r="AJ133" i="20"/>
  <c r="AK133" i="20" s="1"/>
  <c r="W132" i="20"/>
  <c r="X132" i="20"/>
  <c r="Y132" i="20" s="1"/>
  <c r="AB135" i="20"/>
  <c r="AA136" i="20"/>
  <c r="L16" i="20"/>
  <c r="AG135" i="20"/>
  <c r="AH134" i="20"/>
  <c r="U134" i="20"/>
  <c r="V133" i="20"/>
  <c r="L133" i="20"/>
  <c r="AD134" i="20"/>
  <c r="AC134" i="20"/>
  <c r="AG136" i="20" l="1"/>
  <c r="AH135" i="20"/>
  <c r="U135" i="20"/>
  <c r="V134" i="20"/>
  <c r="M130" i="20"/>
  <c r="K133" i="20"/>
  <c r="AI134" i="20"/>
  <c r="AJ134" i="20"/>
  <c r="AK134" i="20" s="1"/>
  <c r="AB136" i="20"/>
  <c r="AA137" i="20"/>
  <c r="P135" i="20"/>
  <c r="O136" i="20"/>
  <c r="AD135" i="20"/>
  <c r="AC135" i="20"/>
  <c r="L134" i="20"/>
  <c r="R134" i="20"/>
  <c r="S134" i="20" s="1"/>
  <c r="Q134" i="20"/>
  <c r="W133" i="20"/>
  <c r="X133" i="20"/>
  <c r="Y133" i="20" s="1"/>
  <c r="E16" i="20"/>
  <c r="M16" i="20"/>
  <c r="AE134" i="20"/>
  <c r="I136" i="20"/>
  <c r="J135" i="20"/>
  <c r="J16" i="20"/>
  <c r="C16" i="20" s="1"/>
  <c r="D16" i="20"/>
  <c r="I137" i="20" l="1"/>
  <c r="J136" i="20"/>
  <c r="AD136" i="20"/>
  <c r="AC136" i="20"/>
  <c r="AE135" i="20"/>
  <c r="P136" i="20"/>
  <c r="O137" i="20"/>
  <c r="M131" i="20"/>
  <c r="F16" i="20"/>
  <c r="K134" i="20"/>
  <c r="R135" i="20"/>
  <c r="S135" i="20" s="1"/>
  <c r="Q135" i="20"/>
  <c r="W134" i="20"/>
  <c r="X134" i="20"/>
  <c r="Y134" i="20" s="1"/>
  <c r="AI135" i="20"/>
  <c r="AJ135" i="20"/>
  <c r="AK135" i="20" s="1"/>
  <c r="L135" i="20"/>
  <c r="K135" i="20" s="1"/>
  <c r="AB137" i="20"/>
  <c r="AA138" i="20"/>
  <c r="U136" i="20"/>
  <c r="V135" i="20"/>
  <c r="AG137" i="20"/>
  <c r="AH136" i="20"/>
  <c r="AE136" i="20" l="1"/>
  <c r="U137" i="20"/>
  <c r="V136" i="20"/>
  <c r="AI136" i="20"/>
  <c r="AJ136" i="20"/>
  <c r="AK136" i="20" s="1"/>
  <c r="AG138" i="20"/>
  <c r="AH137" i="20"/>
  <c r="I138" i="20"/>
  <c r="J137" i="20"/>
  <c r="W135" i="20"/>
  <c r="X135" i="20"/>
  <c r="Y135" i="20" s="1"/>
  <c r="AB138" i="20"/>
  <c r="AA139" i="20"/>
  <c r="M132" i="20"/>
  <c r="AD137" i="20"/>
  <c r="AC137" i="20"/>
  <c r="P137" i="20"/>
  <c r="O138" i="20"/>
  <c r="R136" i="20"/>
  <c r="S136" i="20" s="1"/>
  <c r="Q136" i="20"/>
  <c r="L136" i="20"/>
  <c r="AE137" i="20" l="1"/>
  <c r="AI137" i="20"/>
  <c r="AJ137" i="20"/>
  <c r="AK137" i="20" s="1"/>
  <c r="W136" i="20"/>
  <c r="X136" i="20"/>
  <c r="Y136" i="20" s="1"/>
  <c r="AB139" i="20"/>
  <c r="AA140" i="20"/>
  <c r="L137" i="20"/>
  <c r="K137" i="20" s="1"/>
  <c r="AG139" i="20"/>
  <c r="AH138" i="20"/>
  <c r="U138" i="20"/>
  <c r="V137" i="20"/>
  <c r="K136" i="20"/>
  <c r="P138" i="20"/>
  <c r="O139" i="20"/>
  <c r="AD138" i="20"/>
  <c r="AC138" i="20"/>
  <c r="I139" i="20"/>
  <c r="J138" i="20"/>
  <c r="R137" i="20"/>
  <c r="S137" i="20" s="1"/>
  <c r="Q137" i="20"/>
  <c r="M133" i="20"/>
  <c r="AE138" i="20" l="1"/>
  <c r="L138" i="20"/>
  <c r="K138" i="20" s="1"/>
  <c r="P139" i="20"/>
  <c r="O140" i="20"/>
  <c r="AG140" i="20"/>
  <c r="AH139" i="20"/>
  <c r="U139" i="20"/>
  <c r="V138" i="20"/>
  <c r="AI138" i="20"/>
  <c r="AJ138" i="20"/>
  <c r="AK138" i="20" s="1"/>
  <c r="M134" i="20"/>
  <c r="AB140" i="20"/>
  <c r="AA141" i="20"/>
  <c r="I140" i="20"/>
  <c r="J139" i="20"/>
  <c r="R138" i="20"/>
  <c r="S138" i="20" s="1"/>
  <c r="Q138" i="20"/>
  <c r="W137" i="20"/>
  <c r="X137" i="20"/>
  <c r="Y137" i="20" s="1"/>
  <c r="AD139" i="20"/>
  <c r="AC139" i="20"/>
  <c r="AE139" i="20" l="1"/>
  <c r="AI139" i="20"/>
  <c r="AJ139" i="20"/>
  <c r="AK139" i="20" s="1"/>
  <c r="I141" i="20"/>
  <c r="J140" i="20"/>
  <c r="P140" i="20"/>
  <c r="O141" i="20"/>
  <c r="M135" i="20"/>
  <c r="R139" i="20"/>
  <c r="S139" i="20" s="1"/>
  <c r="Q139" i="20"/>
  <c r="AB141" i="20"/>
  <c r="AA142" i="20"/>
  <c r="W138" i="20"/>
  <c r="X138" i="20"/>
  <c r="Y138" i="20" s="1"/>
  <c r="L139" i="20"/>
  <c r="AD140" i="20"/>
  <c r="AC140" i="20"/>
  <c r="U140" i="20"/>
  <c r="V139" i="20"/>
  <c r="AG141" i="20"/>
  <c r="AH140" i="20"/>
  <c r="AE140" i="20" l="1"/>
  <c r="W139" i="20"/>
  <c r="X139" i="20"/>
  <c r="P141" i="20"/>
  <c r="O142" i="20"/>
  <c r="I142" i="20"/>
  <c r="J141" i="20"/>
  <c r="U141" i="20"/>
  <c r="V140" i="20"/>
  <c r="K139" i="20"/>
  <c r="R140" i="20"/>
  <c r="S140" i="20" s="1"/>
  <c r="Q140" i="20"/>
  <c r="AI140" i="20"/>
  <c r="AJ140" i="20"/>
  <c r="AK140" i="20" s="1"/>
  <c r="AB142" i="20"/>
  <c r="AA143" i="20"/>
  <c r="AG142" i="20"/>
  <c r="AH141" i="20"/>
  <c r="AD141" i="20"/>
  <c r="AC141" i="20"/>
  <c r="M136" i="20"/>
  <c r="L140" i="20"/>
  <c r="K140" i="20" s="1"/>
  <c r="AE141" i="20" l="1"/>
  <c r="AI141" i="20"/>
  <c r="AJ141" i="20"/>
  <c r="AK141" i="20" s="1"/>
  <c r="U142" i="20"/>
  <c r="V141" i="20"/>
  <c r="R141" i="20"/>
  <c r="S141" i="20" s="1"/>
  <c r="Q141" i="20"/>
  <c r="I143" i="20"/>
  <c r="J142" i="20"/>
  <c r="Y139" i="20"/>
  <c r="W140" i="20"/>
  <c r="X140" i="20"/>
  <c r="P142" i="20"/>
  <c r="O143" i="20"/>
  <c r="AB143" i="20"/>
  <c r="AA144" i="20"/>
  <c r="M137" i="20"/>
  <c r="AG143" i="20"/>
  <c r="AH142" i="20"/>
  <c r="AD142" i="20"/>
  <c r="AC142" i="20"/>
  <c r="L141" i="20"/>
  <c r="K141" i="20" s="1"/>
  <c r="AE142" i="20" l="1"/>
  <c r="AD143" i="20"/>
  <c r="AC143" i="20"/>
  <c r="M138" i="20"/>
  <c r="P143" i="20"/>
  <c r="O144" i="20"/>
  <c r="Y140" i="20"/>
  <c r="AI142" i="20"/>
  <c r="AJ142" i="20"/>
  <c r="AK142" i="20" s="1"/>
  <c r="R142" i="20"/>
  <c r="S142" i="20" s="1"/>
  <c r="Q142" i="20"/>
  <c r="L142" i="20"/>
  <c r="W141" i="20"/>
  <c r="X141" i="20"/>
  <c r="AG144" i="20"/>
  <c r="AH143" i="20"/>
  <c r="AB144" i="20"/>
  <c r="AA145" i="20"/>
  <c r="I144" i="20"/>
  <c r="J143" i="20"/>
  <c r="U143" i="20"/>
  <c r="V142" i="20"/>
  <c r="AE143" i="20" l="1"/>
  <c r="AI143" i="20"/>
  <c r="AJ143" i="20"/>
  <c r="AK143" i="20" s="1"/>
  <c r="I145" i="20"/>
  <c r="J144" i="20"/>
  <c r="AG145" i="20"/>
  <c r="AH144" i="20"/>
  <c r="Y141" i="20"/>
  <c r="M139" i="20"/>
  <c r="L143" i="20"/>
  <c r="W142" i="20"/>
  <c r="X142" i="20"/>
  <c r="AB145" i="20"/>
  <c r="AA146" i="20"/>
  <c r="P144" i="20"/>
  <c r="O145" i="20"/>
  <c r="U144" i="20"/>
  <c r="V143" i="20"/>
  <c r="AD144" i="20"/>
  <c r="AD17" i="20" s="1"/>
  <c r="AE17" i="20" s="1"/>
  <c r="AC144" i="20"/>
  <c r="AC17" i="20" s="1"/>
  <c r="K142" i="20"/>
  <c r="R143" i="20"/>
  <c r="S143" i="20" s="1"/>
  <c r="Q143" i="20"/>
  <c r="M140" i="20" l="1"/>
  <c r="AG146" i="20"/>
  <c r="AH145" i="20"/>
  <c r="AB17" i="20"/>
  <c r="P145" i="20"/>
  <c r="O146" i="20"/>
  <c r="AD145" i="20"/>
  <c r="AC145" i="20"/>
  <c r="K143" i="20"/>
  <c r="Y142" i="20"/>
  <c r="L144" i="20"/>
  <c r="AE144" i="20"/>
  <c r="U145" i="20"/>
  <c r="V144" i="20"/>
  <c r="AB146" i="20"/>
  <c r="AA147" i="20"/>
  <c r="R144" i="20"/>
  <c r="S144" i="20" s="1"/>
  <c r="Q144" i="20"/>
  <c r="I146" i="20"/>
  <c r="J145" i="20"/>
  <c r="W143" i="20"/>
  <c r="X143" i="20"/>
  <c r="AI144" i="20"/>
  <c r="AJ144" i="20"/>
  <c r="AK144" i="20" s="1"/>
  <c r="AD146" i="20" l="1"/>
  <c r="AC146" i="20"/>
  <c r="L17" i="20"/>
  <c r="R145" i="20"/>
  <c r="S145" i="20" s="1"/>
  <c r="Q145" i="20"/>
  <c r="W144" i="20"/>
  <c r="X144" i="20"/>
  <c r="M141" i="20"/>
  <c r="L145" i="20"/>
  <c r="U146" i="20"/>
  <c r="V145" i="20"/>
  <c r="K144" i="20"/>
  <c r="AI145" i="20"/>
  <c r="AJ145" i="20"/>
  <c r="AK145" i="20" s="1"/>
  <c r="I147" i="20"/>
  <c r="J146" i="20"/>
  <c r="AB147" i="20"/>
  <c r="AA148" i="20"/>
  <c r="AE145" i="20"/>
  <c r="Y143" i="20"/>
  <c r="P146" i="20"/>
  <c r="O147" i="20"/>
  <c r="AG147" i="20"/>
  <c r="AH146" i="20"/>
  <c r="Y144" i="20" l="1"/>
  <c r="AE146" i="20"/>
  <c r="L146" i="20"/>
  <c r="K146" i="20" s="1"/>
  <c r="P147" i="20"/>
  <c r="O148" i="20"/>
  <c r="AB148" i="20"/>
  <c r="AA149" i="20"/>
  <c r="W145" i="20"/>
  <c r="X145" i="20"/>
  <c r="Y145" i="20" s="1"/>
  <c r="R146" i="20"/>
  <c r="S146" i="20" s="1"/>
  <c r="Q146" i="20"/>
  <c r="AD147" i="20"/>
  <c r="AC147" i="20"/>
  <c r="U147" i="20"/>
  <c r="V146" i="20"/>
  <c r="AI146" i="20"/>
  <c r="AJ146" i="20"/>
  <c r="AK146" i="20" s="1"/>
  <c r="M142" i="20"/>
  <c r="E17" i="20"/>
  <c r="M17" i="20"/>
  <c r="AG148" i="20"/>
  <c r="AH147" i="20"/>
  <c r="I148" i="20"/>
  <c r="J147" i="20"/>
  <c r="K17" i="20"/>
  <c r="K145" i="20"/>
  <c r="U148" i="20" l="1"/>
  <c r="V147" i="20"/>
  <c r="AB149" i="20"/>
  <c r="AA150" i="20"/>
  <c r="I149" i="20"/>
  <c r="J148" i="20"/>
  <c r="F17" i="20"/>
  <c r="P148" i="20"/>
  <c r="O149" i="20"/>
  <c r="J17" i="20"/>
  <c r="C17" i="20" s="1"/>
  <c r="D17" i="20"/>
  <c r="AE147" i="20"/>
  <c r="W146" i="20"/>
  <c r="X146" i="20"/>
  <c r="Y146" i="20" s="1"/>
  <c r="R147" i="20"/>
  <c r="S147" i="20" s="1"/>
  <c r="Q147" i="20"/>
  <c r="AI147" i="20"/>
  <c r="AJ147" i="20"/>
  <c r="AK147" i="20" s="1"/>
  <c r="L147" i="20"/>
  <c r="AG149" i="20"/>
  <c r="AH148" i="20"/>
  <c r="M143" i="20"/>
  <c r="AD148" i="20"/>
  <c r="AC148" i="20"/>
  <c r="L148" i="20" l="1"/>
  <c r="K148" i="20" s="1"/>
  <c r="AB150" i="20"/>
  <c r="AA151" i="20"/>
  <c r="M144" i="20"/>
  <c r="K147" i="20"/>
  <c r="I150" i="20"/>
  <c r="J149" i="20"/>
  <c r="AD149" i="20"/>
  <c r="AC149" i="20"/>
  <c r="AI148" i="20"/>
  <c r="AJ148" i="20"/>
  <c r="AK148" i="20" s="1"/>
  <c r="P149" i="20"/>
  <c r="O150" i="20"/>
  <c r="W147" i="20"/>
  <c r="X147" i="20"/>
  <c r="Y147" i="20" s="1"/>
  <c r="AG150" i="20"/>
  <c r="AH149" i="20"/>
  <c r="AE148" i="20"/>
  <c r="R148" i="20"/>
  <c r="S148" i="20" s="1"/>
  <c r="Q148" i="20"/>
  <c r="U149" i="20"/>
  <c r="V148" i="20"/>
  <c r="AE149" i="20" l="1"/>
  <c r="L149" i="20"/>
  <c r="M145" i="20"/>
  <c r="AG151" i="20"/>
  <c r="AH150" i="20"/>
  <c r="R149" i="20"/>
  <c r="S149" i="20" s="1"/>
  <c r="Q149" i="20"/>
  <c r="AB151" i="20"/>
  <c r="AA152" i="20"/>
  <c r="AD150" i="20"/>
  <c r="AC150" i="20"/>
  <c r="W148" i="20"/>
  <c r="X148" i="20"/>
  <c r="Y148" i="20" s="1"/>
  <c r="U150" i="20"/>
  <c r="V149" i="20"/>
  <c r="AI149" i="20"/>
  <c r="AJ149" i="20"/>
  <c r="AK149" i="20" s="1"/>
  <c r="P150" i="20"/>
  <c r="O151" i="20"/>
  <c r="I151" i="20"/>
  <c r="J150" i="20"/>
  <c r="AE150" i="20" l="1"/>
  <c r="M146" i="20"/>
  <c r="P151" i="20"/>
  <c r="O152" i="20"/>
  <c r="R150" i="20"/>
  <c r="S150" i="20" s="1"/>
  <c r="Q150" i="20"/>
  <c r="U151" i="20"/>
  <c r="V150" i="20"/>
  <c r="I152" i="20"/>
  <c r="J151" i="20"/>
  <c r="AB152" i="20"/>
  <c r="AA153" i="20"/>
  <c r="AD151" i="20"/>
  <c r="AC151" i="20"/>
  <c r="W149" i="20"/>
  <c r="X149" i="20"/>
  <c r="Y149" i="20" s="1"/>
  <c r="AI150" i="20"/>
  <c r="AJ150" i="20"/>
  <c r="AK150" i="20" s="1"/>
  <c r="L150" i="20"/>
  <c r="AG152" i="20"/>
  <c r="AH151" i="20"/>
  <c r="K149" i="20"/>
  <c r="AE151" i="20" l="1"/>
  <c r="AI151" i="20"/>
  <c r="AJ151" i="20"/>
  <c r="AK151" i="20" s="1"/>
  <c r="K150" i="20"/>
  <c r="AB153" i="20"/>
  <c r="AA154" i="20"/>
  <c r="W150" i="20"/>
  <c r="X150" i="20"/>
  <c r="Y150" i="20" s="1"/>
  <c r="M147" i="20"/>
  <c r="AG153" i="20"/>
  <c r="AH152" i="20"/>
  <c r="AD152" i="20"/>
  <c r="AC152" i="20"/>
  <c r="U152" i="20"/>
  <c r="V151" i="20"/>
  <c r="P152" i="20"/>
  <c r="O153" i="20"/>
  <c r="L151" i="20"/>
  <c r="K151" i="20" s="1"/>
  <c r="R151" i="20"/>
  <c r="S151" i="20" s="1"/>
  <c r="Q151" i="20"/>
  <c r="I153" i="20"/>
  <c r="J152" i="20"/>
  <c r="AE152" i="20" l="1"/>
  <c r="I154" i="20"/>
  <c r="J153" i="20"/>
  <c r="W151" i="20"/>
  <c r="X151" i="20"/>
  <c r="Y151" i="20" s="1"/>
  <c r="L152" i="20"/>
  <c r="K152" i="20" s="1"/>
  <c r="R152" i="20"/>
  <c r="S152" i="20" s="1"/>
  <c r="Q152" i="20"/>
  <c r="M148" i="20"/>
  <c r="AD153" i="20"/>
  <c r="AC153" i="20"/>
  <c r="AI152" i="20"/>
  <c r="AJ152" i="20"/>
  <c r="AK152" i="20" s="1"/>
  <c r="U153" i="20"/>
  <c r="V152" i="20"/>
  <c r="AG154" i="20"/>
  <c r="AH153" i="20"/>
  <c r="P153" i="20"/>
  <c r="O154" i="20"/>
  <c r="AB154" i="20"/>
  <c r="AA155" i="20"/>
  <c r="AE153" i="20" l="1"/>
  <c r="AB155" i="20"/>
  <c r="AA156" i="20"/>
  <c r="W152" i="20"/>
  <c r="X152" i="20"/>
  <c r="Y152" i="20" s="1"/>
  <c r="L153" i="20"/>
  <c r="AD154" i="20"/>
  <c r="AC154" i="20"/>
  <c r="U154" i="20"/>
  <c r="V153" i="20"/>
  <c r="I155" i="20"/>
  <c r="J154" i="20"/>
  <c r="P154" i="20"/>
  <c r="O155" i="20"/>
  <c r="AI153" i="20"/>
  <c r="AJ153" i="20"/>
  <c r="AK153" i="20" s="1"/>
  <c r="R153" i="20"/>
  <c r="S153" i="20" s="1"/>
  <c r="Q153" i="20"/>
  <c r="AG155" i="20"/>
  <c r="AH154" i="20"/>
  <c r="M149" i="20"/>
  <c r="AE154" i="20" l="1"/>
  <c r="K153" i="20"/>
  <c r="AI154" i="20"/>
  <c r="AJ154" i="20"/>
  <c r="AK154" i="20" s="1"/>
  <c r="P155" i="20"/>
  <c r="O156" i="20"/>
  <c r="W153" i="20"/>
  <c r="X153" i="20"/>
  <c r="Y153" i="20" s="1"/>
  <c r="AD155" i="20"/>
  <c r="AE155" i="20" s="1"/>
  <c r="AC155" i="20"/>
  <c r="AG156" i="20"/>
  <c r="AH155" i="20"/>
  <c r="R154" i="20"/>
  <c r="S154" i="20" s="1"/>
  <c r="Q154" i="20"/>
  <c r="U155" i="20"/>
  <c r="V154" i="20"/>
  <c r="L154" i="20"/>
  <c r="M150" i="20"/>
  <c r="I156" i="20"/>
  <c r="J155" i="20"/>
  <c r="AB156" i="20"/>
  <c r="AA157" i="20"/>
  <c r="M151" i="20" l="1"/>
  <c r="L155" i="20"/>
  <c r="K155" i="20" s="1"/>
  <c r="U156" i="20"/>
  <c r="V155" i="20"/>
  <c r="AI155" i="20"/>
  <c r="AJ155" i="20"/>
  <c r="AK155" i="20" s="1"/>
  <c r="W154" i="20"/>
  <c r="X154" i="20"/>
  <c r="Y154" i="20" s="1"/>
  <c r="R155" i="20"/>
  <c r="S155" i="20" s="1"/>
  <c r="Q155" i="20"/>
  <c r="AB157" i="20"/>
  <c r="AA158" i="20"/>
  <c r="I157" i="20"/>
  <c r="J156" i="20"/>
  <c r="AG157" i="20"/>
  <c r="AH156" i="20"/>
  <c r="AD156" i="20"/>
  <c r="AD18" i="20" s="1"/>
  <c r="AE18" i="20" s="1"/>
  <c r="AC156" i="20"/>
  <c r="AC18" i="20" s="1"/>
  <c r="K154" i="20"/>
  <c r="P156" i="20"/>
  <c r="O157" i="20"/>
  <c r="AB18" i="20" l="1"/>
  <c r="AE156" i="20"/>
  <c r="U157" i="20"/>
  <c r="V156" i="20"/>
  <c r="L156" i="20"/>
  <c r="AI156" i="20"/>
  <c r="AJ156" i="20"/>
  <c r="AK156" i="20" s="1"/>
  <c r="I158" i="20"/>
  <c r="J157" i="20"/>
  <c r="AG158" i="20"/>
  <c r="AH157" i="20"/>
  <c r="AB158" i="20"/>
  <c r="AA159" i="20"/>
  <c r="W155" i="20"/>
  <c r="X155" i="20"/>
  <c r="Y155" i="20" s="1"/>
  <c r="M152" i="20"/>
  <c r="AD157" i="20"/>
  <c r="AC157" i="20"/>
  <c r="P157" i="20"/>
  <c r="O158" i="20"/>
  <c r="R156" i="20"/>
  <c r="S156" i="20" s="1"/>
  <c r="Q156" i="20"/>
  <c r="AE157" i="20" l="1"/>
  <c r="AI157" i="20"/>
  <c r="AJ157" i="20"/>
  <c r="AK157" i="20" s="1"/>
  <c r="I159" i="20"/>
  <c r="J158" i="20"/>
  <c r="L18" i="20"/>
  <c r="U158" i="20"/>
  <c r="V157" i="20"/>
  <c r="P158" i="20"/>
  <c r="O159" i="20"/>
  <c r="AG159" i="20"/>
  <c r="AH158" i="20"/>
  <c r="R157" i="20"/>
  <c r="S157" i="20" s="1"/>
  <c r="Q157" i="20"/>
  <c r="AA160" i="20"/>
  <c r="AB159" i="20"/>
  <c r="K156" i="20"/>
  <c r="M153" i="20"/>
  <c r="AD158" i="20"/>
  <c r="AC158" i="20"/>
  <c r="L157" i="20"/>
  <c r="W156" i="20"/>
  <c r="X156" i="20"/>
  <c r="Y156" i="20" s="1"/>
  <c r="AE158" i="20" l="1"/>
  <c r="AG160" i="20"/>
  <c r="AH159" i="20"/>
  <c r="W157" i="20"/>
  <c r="X157" i="20"/>
  <c r="L158" i="20"/>
  <c r="AB160" i="20"/>
  <c r="AA161" i="20"/>
  <c r="K157" i="20"/>
  <c r="K18" i="20"/>
  <c r="O160" i="20"/>
  <c r="P159" i="20"/>
  <c r="U159" i="20"/>
  <c r="V158" i="20"/>
  <c r="I160" i="20"/>
  <c r="J159" i="20"/>
  <c r="Y157" i="20"/>
  <c r="M154" i="20"/>
  <c r="AD159" i="20"/>
  <c r="AC159" i="20"/>
  <c r="AI158" i="20"/>
  <c r="AJ158" i="20"/>
  <c r="AK158" i="20" s="1"/>
  <c r="R158" i="20"/>
  <c r="S158" i="20" s="1"/>
  <c r="Q158" i="20"/>
  <c r="E18" i="20"/>
  <c r="M18" i="20"/>
  <c r="U160" i="20" l="1"/>
  <c r="V159" i="20"/>
  <c r="M155" i="20"/>
  <c r="I161" i="20"/>
  <c r="J160" i="20"/>
  <c r="O161" i="20"/>
  <c r="P160" i="20"/>
  <c r="AB161" i="20"/>
  <c r="AA162" i="20"/>
  <c r="K158" i="20"/>
  <c r="AE159" i="20"/>
  <c r="W158" i="20"/>
  <c r="X158" i="20"/>
  <c r="J18" i="20"/>
  <c r="C18" i="20" s="1"/>
  <c r="D18" i="20"/>
  <c r="AD160" i="20"/>
  <c r="AC160" i="20"/>
  <c r="AI159" i="20"/>
  <c r="AJ159" i="20"/>
  <c r="AK159" i="20" s="1"/>
  <c r="F18" i="20"/>
  <c r="L159" i="20"/>
  <c r="R159" i="20"/>
  <c r="S159" i="20" s="1"/>
  <c r="Q159" i="20"/>
  <c r="AG161" i="20"/>
  <c r="AH160" i="20"/>
  <c r="AE160" i="20" l="1"/>
  <c r="AB162" i="20"/>
  <c r="AA163" i="20"/>
  <c r="L160" i="20"/>
  <c r="W159" i="20"/>
  <c r="X159" i="20"/>
  <c r="AI160" i="20"/>
  <c r="AJ160" i="20"/>
  <c r="AK160" i="20" s="1"/>
  <c r="K159" i="20"/>
  <c r="AD161" i="20"/>
  <c r="AC161" i="20"/>
  <c r="I162" i="20"/>
  <c r="J161" i="20"/>
  <c r="U161" i="20"/>
  <c r="V160" i="20"/>
  <c r="AG162" i="20"/>
  <c r="AH161" i="20"/>
  <c r="R160" i="20"/>
  <c r="S160" i="20" s="1"/>
  <c r="Q160" i="20"/>
  <c r="Y158" i="20"/>
  <c r="P161" i="20"/>
  <c r="O162" i="20"/>
  <c r="M156" i="20"/>
  <c r="Y159" i="20" l="1"/>
  <c r="AE161" i="20"/>
  <c r="M157" i="20"/>
  <c r="L161" i="20"/>
  <c r="AB163" i="20"/>
  <c r="AA164" i="20"/>
  <c r="P162" i="20"/>
  <c r="O163" i="20"/>
  <c r="AG163" i="20"/>
  <c r="AH162" i="20"/>
  <c r="I163" i="20"/>
  <c r="J162" i="20"/>
  <c r="AD162" i="20"/>
  <c r="AC162" i="20"/>
  <c r="AI161" i="20"/>
  <c r="AJ161" i="20"/>
  <c r="AK161" i="20" s="1"/>
  <c r="R161" i="20"/>
  <c r="S161" i="20" s="1"/>
  <c r="Q161" i="20"/>
  <c r="W160" i="20"/>
  <c r="X160" i="20"/>
  <c r="U162" i="20"/>
  <c r="V161" i="20"/>
  <c r="K160" i="20"/>
  <c r="AE162" i="20" l="1"/>
  <c r="W161" i="20"/>
  <c r="X161" i="20"/>
  <c r="AI162" i="20"/>
  <c r="AJ162" i="20"/>
  <c r="AK162" i="20" s="1"/>
  <c r="AB164" i="20"/>
  <c r="AA165" i="20"/>
  <c r="M158" i="20"/>
  <c r="AD163" i="20"/>
  <c r="AE163" i="20" s="1"/>
  <c r="AC163" i="20"/>
  <c r="Y160" i="20"/>
  <c r="Y161" i="20" s="1"/>
  <c r="I164" i="20"/>
  <c r="J163" i="20"/>
  <c r="R162" i="20"/>
  <c r="S162" i="20" s="1"/>
  <c r="Q162" i="20"/>
  <c r="U163" i="20"/>
  <c r="V162" i="20"/>
  <c r="AG164" i="20"/>
  <c r="AH163" i="20"/>
  <c r="L162" i="20"/>
  <c r="K162" i="20" s="1"/>
  <c r="P163" i="20"/>
  <c r="O164" i="20"/>
  <c r="K161" i="20"/>
  <c r="R163" i="20" l="1"/>
  <c r="S163" i="20" s="1"/>
  <c r="Q163" i="20"/>
  <c r="U164" i="20"/>
  <c r="V163" i="20"/>
  <c r="M159" i="20"/>
  <c r="AG165" i="20"/>
  <c r="AH164" i="20"/>
  <c r="I165" i="20"/>
  <c r="J164" i="20"/>
  <c r="AD164" i="20"/>
  <c r="AE164" i="20" s="1"/>
  <c r="AC164" i="20"/>
  <c r="P164" i="20"/>
  <c r="O165" i="20"/>
  <c r="W162" i="20"/>
  <c r="X162" i="20"/>
  <c r="Y162" i="20" s="1"/>
  <c r="AI163" i="20"/>
  <c r="AJ163" i="20"/>
  <c r="AK163" i="20" s="1"/>
  <c r="L163" i="20"/>
  <c r="AB165" i="20"/>
  <c r="AA166" i="20"/>
  <c r="AG166" i="20" l="1"/>
  <c r="AH165" i="20"/>
  <c r="W163" i="20"/>
  <c r="X163" i="20"/>
  <c r="Y163" i="20" s="1"/>
  <c r="P165" i="20"/>
  <c r="O166" i="20"/>
  <c r="L164" i="20"/>
  <c r="K164" i="20" s="1"/>
  <c r="U165" i="20"/>
  <c r="V164" i="20"/>
  <c r="AB166" i="20"/>
  <c r="AA167" i="20"/>
  <c r="K163" i="20"/>
  <c r="R164" i="20"/>
  <c r="S164" i="20" s="1"/>
  <c r="Q164" i="20"/>
  <c r="I166" i="20"/>
  <c r="J165" i="20"/>
  <c r="AD165" i="20"/>
  <c r="AE165" i="20" s="1"/>
  <c r="AC165" i="20"/>
  <c r="AI164" i="20"/>
  <c r="AJ164" i="20"/>
  <c r="AK164" i="20" s="1"/>
  <c r="M160" i="20"/>
  <c r="AD166" i="20" l="1"/>
  <c r="AE166" i="20" s="1"/>
  <c r="AC166" i="20"/>
  <c r="AG167" i="20"/>
  <c r="AH166" i="20"/>
  <c r="L165" i="20"/>
  <c r="W164" i="20"/>
  <c r="X164" i="20"/>
  <c r="Y164" i="20" s="1"/>
  <c r="I167" i="20"/>
  <c r="J166" i="20"/>
  <c r="U166" i="20"/>
  <c r="V165" i="20"/>
  <c r="P166" i="20"/>
  <c r="O167" i="20"/>
  <c r="M161" i="20"/>
  <c r="AB167" i="20"/>
  <c r="AA168" i="20"/>
  <c r="R165" i="20"/>
  <c r="S165" i="20" s="1"/>
  <c r="Q165" i="20"/>
  <c r="AI165" i="20"/>
  <c r="AJ165" i="20"/>
  <c r="AK165" i="20" s="1"/>
  <c r="M162" i="20" l="1"/>
  <c r="U167" i="20"/>
  <c r="V166" i="20"/>
  <c r="I168" i="20"/>
  <c r="J167" i="20"/>
  <c r="AI166" i="20"/>
  <c r="AJ166" i="20"/>
  <c r="AK166" i="20" s="1"/>
  <c r="AB168" i="20"/>
  <c r="AA169" i="20"/>
  <c r="P167" i="20"/>
  <c r="O168" i="20"/>
  <c r="AG168" i="20"/>
  <c r="AH167" i="20"/>
  <c r="AD167" i="20"/>
  <c r="AE167" i="20" s="1"/>
  <c r="AC167" i="20"/>
  <c r="R166" i="20"/>
  <c r="S166" i="20" s="1"/>
  <c r="Q166" i="20"/>
  <c r="W165" i="20"/>
  <c r="X165" i="20"/>
  <c r="Y165" i="20" s="1"/>
  <c r="L166" i="20"/>
  <c r="K165" i="20"/>
  <c r="P168" i="20" l="1"/>
  <c r="O169" i="20"/>
  <c r="I169" i="20"/>
  <c r="J168" i="20"/>
  <c r="M163" i="20"/>
  <c r="K166" i="20"/>
  <c r="AI167" i="20"/>
  <c r="AJ167" i="20"/>
  <c r="AK167" i="20" s="1"/>
  <c r="R167" i="20"/>
  <c r="S167" i="20" s="1"/>
  <c r="Q167" i="20"/>
  <c r="W166" i="20"/>
  <c r="X166" i="20"/>
  <c r="Y166" i="20" s="1"/>
  <c r="AG169" i="20"/>
  <c r="AH168" i="20"/>
  <c r="AB169" i="20"/>
  <c r="AA170" i="20"/>
  <c r="U168" i="20"/>
  <c r="V167" i="20"/>
  <c r="AD168" i="20"/>
  <c r="AD19" i="20" s="1"/>
  <c r="AE19" i="20" s="1"/>
  <c r="AC168" i="20"/>
  <c r="AC19" i="20" s="1"/>
  <c r="L167" i="20"/>
  <c r="K167" i="20" s="1"/>
  <c r="AE168" i="20" l="1"/>
  <c r="AB19" i="20"/>
  <c r="AI168" i="20"/>
  <c r="AJ168" i="20"/>
  <c r="AK168" i="20" s="1"/>
  <c r="I170" i="20"/>
  <c r="J169" i="20"/>
  <c r="AB170" i="20"/>
  <c r="AA171" i="20"/>
  <c r="M164" i="20"/>
  <c r="R168" i="20"/>
  <c r="S168" i="20" s="1"/>
  <c r="Q168" i="20"/>
  <c r="W167" i="20"/>
  <c r="X167" i="20"/>
  <c r="Y167" i="20" s="1"/>
  <c r="AD169" i="20"/>
  <c r="AC169" i="20"/>
  <c r="L168" i="20"/>
  <c r="K168" i="20" s="1"/>
  <c r="U169" i="20"/>
  <c r="V168" i="20"/>
  <c r="AG170" i="20"/>
  <c r="AH169" i="20"/>
  <c r="P169" i="20"/>
  <c r="O170" i="20"/>
  <c r="AE169" i="20" l="1"/>
  <c r="K19" i="20"/>
  <c r="R169" i="20"/>
  <c r="S169" i="20" s="1"/>
  <c r="Q169" i="20"/>
  <c r="AG171" i="20"/>
  <c r="AH170" i="20"/>
  <c r="W168" i="20"/>
  <c r="X168" i="20"/>
  <c r="Y168" i="20" s="1"/>
  <c r="P170" i="20"/>
  <c r="O171" i="20"/>
  <c r="U170" i="20"/>
  <c r="V169" i="20"/>
  <c r="M165" i="20"/>
  <c r="L169" i="20"/>
  <c r="K169" i="20" s="1"/>
  <c r="AB171" i="20"/>
  <c r="AA172" i="20"/>
  <c r="I171" i="20"/>
  <c r="J170" i="20"/>
  <c r="AI169" i="20"/>
  <c r="AJ169" i="20"/>
  <c r="AK169" i="20" s="1"/>
  <c r="L19" i="20"/>
  <c r="AD170" i="20"/>
  <c r="AC170" i="20"/>
  <c r="AE170" i="20" l="1"/>
  <c r="AB172" i="20"/>
  <c r="AA173" i="20"/>
  <c r="R170" i="20"/>
  <c r="S170" i="20" s="1"/>
  <c r="Q170" i="20"/>
  <c r="AI170" i="20"/>
  <c r="AJ170" i="20"/>
  <c r="AK170" i="20" s="1"/>
  <c r="E19" i="20"/>
  <c r="M19" i="20"/>
  <c r="AD171" i="20"/>
  <c r="AC171" i="20"/>
  <c r="W169" i="20"/>
  <c r="X169" i="20"/>
  <c r="Y169" i="20" s="1"/>
  <c r="AG172" i="20"/>
  <c r="AH171" i="20"/>
  <c r="J19" i="20"/>
  <c r="C19" i="20" s="1"/>
  <c r="D19" i="20"/>
  <c r="L170" i="20"/>
  <c r="U171" i="20"/>
  <c r="V170" i="20"/>
  <c r="I172" i="20"/>
  <c r="J171" i="20"/>
  <c r="M166" i="20"/>
  <c r="P171" i="20"/>
  <c r="O172" i="20"/>
  <c r="L171" i="20" l="1"/>
  <c r="K171" i="20" s="1"/>
  <c r="P172" i="20"/>
  <c r="O173" i="20"/>
  <c r="W170" i="20"/>
  <c r="X170" i="20"/>
  <c r="Y170" i="20" s="1"/>
  <c r="AG173" i="20"/>
  <c r="AH172" i="20"/>
  <c r="AD172" i="20"/>
  <c r="AC172" i="20"/>
  <c r="R171" i="20"/>
  <c r="S171" i="20" s="1"/>
  <c r="Q171" i="20"/>
  <c r="U172" i="20"/>
  <c r="V171" i="20"/>
  <c r="F19" i="20"/>
  <c r="M167" i="20"/>
  <c r="I173" i="20"/>
  <c r="J172" i="20"/>
  <c r="K170" i="20"/>
  <c r="AI171" i="20"/>
  <c r="AJ171" i="20"/>
  <c r="AK171" i="20" s="1"/>
  <c r="AB173" i="20"/>
  <c r="AA174" i="20"/>
  <c r="AE171" i="20"/>
  <c r="AE172" i="20" l="1"/>
  <c r="AB174" i="20"/>
  <c r="AA175" i="20"/>
  <c r="M168" i="20"/>
  <c r="I174" i="20"/>
  <c r="J173" i="20"/>
  <c r="U173" i="20"/>
  <c r="V172" i="20"/>
  <c r="AG174" i="20"/>
  <c r="AH173" i="20"/>
  <c r="P173" i="20"/>
  <c r="O174" i="20"/>
  <c r="R172" i="20"/>
  <c r="S172" i="20" s="1"/>
  <c r="Q172" i="20"/>
  <c r="AD173" i="20"/>
  <c r="AC173" i="20"/>
  <c r="L172" i="20"/>
  <c r="K172" i="20" s="1"/>
  <c r="W171" i="20"/>
  <c r="X171" i="20"/>
  <c r="Y171" i="20" s="1"/>
  <c r="AI172" i="20"/>
  <c r="AJ172" i="20"/>
  <c r="AK172" i="20" s="1"/>
  <c r="AE173" i="20" l="1"/>
  <c r="P174" i="20"/>
  <c r="O175" i="20"/>
  <c r="AB175" i="20"/>
  <c r="AA176" i="20"/>
  <c r="AI173" i="20"/>
  <c r="AJ173" i="20"/>
  <c r="AK173" i="20" s="1"/>
  <c r="AG175" i="20"/>
  <c r="AH174" i="20"/>
  <c r="L173" i="20"/>
  <c r="M169" i="20"/>
  <c r="W172" i="20"/>
  <c r="X172" i="20"/>
  <c r="Y172" i="20" s="1"/>
  <c r="I175" i="20"/>
  <c r="J174" i="20"/>
  <c r="R173" i="20"/>
  <c r="S173" i="20" s="1"/>
  <c r="Q173" i="20"/>
  <c r="U174" i="20"/>
  <c r="V173" i="20"/>
  <c r="AD174" i="20"/>
  <c r="AC174" i="20"/>
  <c r="AE174" i="20" l="1"/>
  <c r="U175" i="20"/>
  <c r="V174" i="20"/>
  <c r="AG176" i="20"/>
  <c r="AH175" i="20"/>
  <c r="R174" i="20"/>
  <c r="S174" i="20" s="1"/>
  <c r="Q174" i="20"/>
  <c r="AB176" i="20"/>
  <c r="AA177" i="20"/>
  <c r="L174" i="20"/>
  <c r="K174" i="20" s="1"/>
  <c r="K173" i="20"/>
  <c r="AD175" i="20"/>
  <c r="AC175" i="20"/>
  <c r="W173" i="20"/>
  <c r="X173" i="20"/>
  <c r="Y173" i="20" s="1"/>
  <c r="I176" i="20"/>
  <c r="J175" i="20"/>
  <c r="M170" i="20"/>
  <c r="AI174" i="20"/>
  <c r="AJ174" i="20"/>
  <c r="AK174" i="20" s="1"/>
  <c r="P175" i="20"/>
  <c r="O176" i="20"/>
  <c r="AE175" i="20" l="1"/>
  <c r="R175" i="20"/>
  <c r="S175" i="20" s="1"/>
  <c r="Q175" i="20"/>
  <c r="AI175" i="20"/>
  <c r="AJ175" i="20"/>
  <c r="AK175" i="20" s="1"/>
  <c r="L175" i="20"/>
  <c r="K175" i="20" s="1"/>
  <c r="AD176" i="20"/>
  <c r="AC176" i="20"/>
  <c r="AG177" i="20"/>
  <c r="AH176" i="20"/>
  <c r="M171" i="20"/>
  <c r="AB177" i="20"/>
  <c r="AA178" i="20"/>
  <c r="U176" i="20"/>
  <c r="V175" i="20"/>
  <c r="I177" i="20"/>
  <c r="J176" i="20"/>
  <c r="P176" i="20"/>
  <c r="O177" i="20"/>
  <c r="W174" i="20"/>
  <c r="X174" i="20"/>
  <c r="Y174" i="20" s="1"/>
  <c r="AE176" i="20" l="1"/>
  <c r="L176" i="20"/>
  <c r="R176" i="20"/>
  <c r="S176" i="20" s="1"/>
  <c r="Q176" i="20"/>
  <c r="W175" i="20"/>
  <c r="X175" i="20"/>
  <c r="AI176" i="20"/>
  <c r="AJ176" i="20"/>
  <c r="AK176" i="20" s="1"/>
  <c r="U177" i="20"/>
  <c r="V176" i="20"/>
  <c r="AG178" i="20"/>
  <c r="AH177" i="20"/>
  <c r="AB178" i="20"/>
  <c r="AA179" i="20"/>
  <c r="P177" i="20"/>
  <c r="O178" i="20"/>
  <c r="I178" i="20"/>
  <c r="J177" i="20"/>
  <c r="AD177" i="20"/>
  <c r="AC177" i="20"/>
  <c r="M172" i="20"/>
  <c r="AE177" i="20" l="1"/>
  <c r="P178" i="20"/>
  <c r="O179" i="20"/>
  <c r="AB179" i="20"/>
  <c r="AA180" i="20"/>
  <c r="W176" i="20"/>
  <c r="X176" i="20"/>
  <c r="R177" i="20"/>
  <c r="S177" i="20" s="1"/>
  <c r="Q177" i="20"/>
  <c r="AD178" i="20"/>
  <c r="AC178" i="20"/>
  <c r="U178" i="20"/>
  <c r="V177" i="20"/>
  <c r="K176" i="20"/>
  <c r="L177" i="20"/>
  <c r="Y175" i="20"/>
  <c r="AI177" i="20"/>
  <c r="AJ177" i="20"/>
  <c r="AK177" i="20" s="1"/>
  <c r="M173" i="20"/>
  <c r="I179" i="20"/>
  <c r="J178" i="20"/>
  <c r="AG179" i="20"/>
  <c r="AH178" i="20"/>
  <c r="AE178" i="20" l="1"/>
  <c r="W177" i="20"/>
  <c r="X177" i="20"/>
  <c r="P179" i="20"/>
  <c r="O180" i="20"/>
  <c r="I180" i="20"/>
  <c r="J179" i="20"/>
  <c r="U179" i="20"/>
  <c r="V178" i="20"/>
  <c r="R178" i="20"/>
  <c r="S178" i="20" s="1"/>
  <c r="Q178" i="20"/>
  <c r="L178" i="20"/>
  <c r="AI178" i="20"/>
  <c r="AJ178" i="20"/>
  <c r="AK178" i="20" s="1"/>
  <c r="K177" i="20"/>
  <c r="AB180" i="20"/>
  <c r="AA181" i="20"/>
  <c r="AG180" i="20"/>
  <c r="AH179" i="20"/>
  <c r="M174" i="20"/>
  <c r="Y176" i="20"/>
  <c r="AD179" i="20"/>
  <c r="AC179" i="20"/>
  <c r="Y177" i="20" l="1"/>
  <c r="AE179" i="20"/>
  <c r="L179" i="20"/>
  <c r="K179" i="20" s="1"/>
  <c r="K178" i="20"/>
  <c r="W178" i="20"/>
  <c r="X178" i="20"/>
  <c r="Y178" i="20" s="1"/>
  <c r="I181" i="20"/>
  <c r="J180" i="20"/>
  <c r="AG181" i="20"/>
  <c r="AH180" i="20"/>
  <c r="M175" i="20"/>
  <c r="AB181" i="20"/>
  <c r="AA182" i="20"/>
  <c r="U180" i="20"/>
  <c r="V179" i="20"/>
  <c r="P180" i="20"/>
  <c r="O181" i="20"/>
  <c r="AI179" i="20"/>
  <c r="AJ179" i="20"/>
  <c r="AK179" i="20" s="1"/>
  <c r="AD180" i="20"/>
  <c r="AD20" i="20" s="1"/>
  <c r="AE20" i="20" s="1"/>
  <c r="AC180" i="20"/>
  <c r="AC20" i="20" s="1"/>
  <c r="R179" i="20"/>
  <c r="S179" i="20" s="1"/>
  <c r="Q179" i="20"/>
  <c r="U181" i="20" l="1"/>
  <c r="V180" i="20"/>
  <c r="M176" i="20"/>
  <c r="AB20" i="20"/>
  <c r="P181" i="20"/>
  <c r="O182" i="20"/>
  <c r="AB182" i="20"/>
  <c r="AA183" i="20"/>
  <c r="L180" i="20"/>
  <c r="K180" i="20" s="1"/>
  <c r="R180" i="20"/>
  <c r="S180" i="20" s="1"/>
  <c r="Q180" i="20"/>
  <c r="AD181" i="20"/>
  <c r="AC181" i="20"/>
  <c r="AI180" i="20"/>
  <c r="AJ180" i="20"/>
  <c r="AK180" i="20" s="1"/>
  <c r="I182" i="20"/>
  <c r="J181" i="20"/>
  <c r="AE180" i="20"/>
  <c r="W179" i="20"/>
  <c r="X179" i="20"/>
  <c r="Y179" i="20" s="1"/>
  <c r="AG182" i="20"/>
  <c r="AH181" i="20"/>
  <c r="AE181" i="20" l="1"/>
  <c r="K20" i="20"/>
  <c r="AB183" i="20"/>
  <c r="AA184" i="20"/>
  <c r="AI181" i="20"/>
  <c r="AJ181" i="20"/>
  <c r="AK181" i="20" s="1"/>
  <c r="P182" i="20"/>
  <c r="O183" i="20"/>
  <c r="AG183" i="20"/>
  <c r="AH182" i="20"/>
  <c r="R181" i="20"/>
  <c r="S181" i="20" s="1"/>
  <c r="Q181" i="20"/>
  <c r="M177" i="20"/>
  <c r="L181" i="20"/>
  <c r="W180" i="20"/>
  <c r="X180" i="20"/>
  <c r="Y180" i="20" s="1"/>
  <c r="I183" i="20"/>
  <c r="J182" i="20"/>
  <c r="L20" i="20"/>
  <c r="AD182" i="20"/>
  <c r="AC182" i="20"/>
  <c r="U182" i="20"/>
  <c r="V181" i="20"/>
  <c r="AE182" i="20" l="1"/>
  <c r="R182" i="20"/>
  <c r="S182" i="20" s="1"/>
  <c r="Q182" i="20"/>
  <c r="J20" i="20"/>
  <c r="C20" i="20" s="1"/>
  <c r="D20" i="20"/>
  <c r="L182" i="20"/>
  <c r="M178" i="20"/>
  <c r="AI182" i="20"/>
  <c r="AJ182" i="20"/>
  <c r="AK182" i="20" s="1"/>
  <c r="AB184" i="20"/>
  <c r="AA185" i="20"/>
  <c r="W181" i="20"/>
  <c r="X181" i="20"/>
  <c r="Y181" i="20" s="1"/>
  <c r="E20" i="20"/>
  <c r="M20" i="20"/>
  <c r="I184" i="20"/>
  <c r="J183" i="20"/>
  <c r="AG184" i="20"/>
  <c r="AH183" i="20"/>
  <c r="AD183" i="20"/>
  <c r="AC183" i="20"/>
  <c r="U183" i="20"/>
  <c r="V182" i="20"/>
  <c r="K181" i="20"/>
  <c r="P183" i="20"/>
  <c r="O184" i="20"/>
  <c r="AB185" i="20" l="1"/>
  <c r="AA186" i="20"/>
  <c r="P184" i="20"/>
  <c r="O185" i="20"/>
  <c r="U184" i="20"/>
  <c r="V183" i="20"/>
  <c r="AI183" i="20"/>
  <c r="AJ183" i="20"/>
  <c r="AK183" i="20" s="1"/>
  <c r="I185" i="20"/>
  <c r="J184" i="20"/>
  <c r="R183" i="20"/>
  <c r="S183" i="20" s="1"/>
  <c r="Q183" i="20"/>
  <c r="AG185" i="20"/>
  <c r="AH184" i="20"/>
  <c r="F20" i="20"/>
  <c r="W182" i="20"/>
  <c r="X182" i="20"/>
  <c r="Y182" i="20" s="1"/>
  <c r="L183" i="20"/>
  <c r="AD184" i="20"/>
  <c r="AC184" i="20"/>
  <c r="M179" i="20"/>
  <c r="K182" i="20"/>
  <c r="AE183" i="20"/>
  <c r="AG186" i="20" l="1"/>
  <c r="AH185" i="20"/>
  <c r="U185" i="20"/>
  <c r="V184" i="20"/>
  <c r="AE184" i="20"/>
  <c r="K183" i="20"/>
  <c r="AI184" i="20"/>
  <c r="AJ184" i="20"/>
  <c r="AK184" i="20" s="1"/>
  <c r="R184" i="20"/>
  <c r="S184" i="20" s="1"/>
  <c r="Q184" i="20"/>
  <c r="L184" i="20"/>
  <c r="K184" i="20" s="1"/>
  <c r="W183" i="20"/>
  <c r="X183" i="20"/>
  <c r="Y183" i="20" s="1"/>
  <c r="AB186" i="20"/>
  <c r="AA187" i="20"/>
  <c r="I186" i="20"/>
  <c r="J185" i="20"/>
  <c r="AD185" i="20"/>
  <c r="AC185" i="20"/>
  <c r="M180" i="20"/>
  <c r="P185" i="20"/>
  <c r="O186" i="20"/>
  <c r="L185" i="20" l="1"/>
  <c r="AD186" i="20"/>
  <c r="AC186" i="20"/>
  <c r="AI185" i="20"/>
  <c r="AJ185" i="20"/>
  <c r="AK185" i="20" s="1"/>
  <c r="P186" i="20"/>
  <c r="O187" i="20"/>
  <c r="M181" i="20"/>
  <c r="I187" i="20"/>
  <c r="J186" i="20"/>
  <c r="W184" i="20"/>
  <c r="X184" i="20"/>
  <c r="Y184" i="20" s="1"/>
  <c r="AG187" i="20"/>
  <c r="AH186" i="20"/>
  <c r="R185" i="20"/>
  <c r="S185" i="20" s="1"/>
  <c r="Q185" i="20"/>
  <c r="U186" i="20"/>
  <c r="V185" i="20"/>
  <c r="AB187" i="20"/>
  <c r="AA188" i="20"/>
  <c r="AE185" i="20"/>
  <c r="AE186" i="20" l="1"/>
  <c r="AI186" i="20"/>
  <c r="AJ186" i="20"/>
  <c r="AK186" i="20" s="1"/>
  <c r="L186" i="20"/>
  <c r="K186" i="20" s="1"/>
  <c r="O188" i="20"/>
  <c r="P187" i="20"/>
  <c r="AD187" i="20"/>
  <c r="AC187" i="20"/>
  <c r="U187" i="20"/>
  <c r="V186" i="20"/>
  <c r="M182" i="20"/>
  <c r="AG188" i="20"/>
  <c r="AH187" i="20"/>
  <c r="I188" i="20"/>
  <c r="J187" i="20"/>
  <c r="R186" i="20"/>
  <c r="S186" i="20" s="1"/>
  <c r="Q186" i="20"/>
  <c r="K185" i="20"/>
  <c r="AB188" i="20"/>
  <c r="AA189" i="20"/>
  <c r="W185" i="20"/>
  <c r="X185" i="20"/>
  <c r="Y185" i="20" s="1"/>
  <c r="AE187" i="20" l="1"/>
  <c r="AB189" i="20"/>
  <c r="AA190" i="20"/>
  <c r="AG189" i="20"/>
  <c r="AH188" i="20"/>
  <c r="M183" i="20"/>
  <c r="AD188" i="20"/>
  <c r="AC188" i="20"/>
  <c r="L187" i="20"/>
  <c r="W186" i="20"/>
  <c r="X186" i="20"/>
  <c r="Y186" i="20" s="1"/>
  <c r="R187" i="20"/>
  <c r="S187" i="20" s="1"/>
  <c r="Q187" i="20"/>
  <c r="I189" i="20"/>
  <c r="J188" i="20"/>
  <c r="U188" i="20"/>
  <c r="V187" i="20"/>
  <c r="P188" i="20"/>
  <c r="O189" i="20"/>
  <c r="AI187" i="20"/>
  <c r="AJ187" i="20"/>
  <c r="AK187" i="20" s="1"/>
  <c r="AE188" i="20" l="1"/>
  <c r="AI188" i="20"/>
  <c r="AJ188" i="20"/>
  <c r="AK188" i="20" s="1"/>
  <c r="U189" i="20"/>
  <c r="V188" i="20"/>
  <c r="AG190" i="20"/>
  <c r="AH189" i="20"/>
  <c r="W187" i="20"/>
  <c r="X187" i="20"/>
  <c r="Y187" i="20" s="1"/>
  <c r="P189" i="20"/>
  <c r="O190" i="20"/>
  <c r="L188" i="20"/>
  <c r="K188" i="20" s="1"/>
  <c r="K187" i="20"/>
  <c r="AB190" i="20"/>
  <c r="AA191" i="20"/>
  <c r="R188" i="20"/>
  <c r="S188" i="20" s="1"/>
  <c r="Q188" i="20"/>
  <c r="I190" i="20"/>
  <c r="J189" i="20"/>
  <c r="M184" i="20"/>
  <c r="AD189" i="20"/>
  <c r="AE189" i="20" s="1"/>
  <c r="AC189" i="20"/>
  <c r="L189" i="20" l="1"/>
  <c r="K189" i="20" s="1"/>
  <c r="AD190" i="20"/>
  <c r="AE190" i="20" s="1"/>
  <c r="AC190" i="20"/>
  <c r="U190" i="20"/>
  <c r="V189" i="20"/>
  <c r="M185" i="20"/>
  <c r="P190" i="20"/>
  <c r="O191" i="20"/>
  <c r="AI189" i="20"/>
  <c r="AJ189" i="20"/>
  <c r="AK189" i="20" s="1"/>
  <c r="R189" i="20"/>
  <c r="S189" i="20" s="1"/>
  <c r="Q189" i="20"/>
  <c r="AG191" i="20"/>
  <c r="AH190" i="20"/>
  <c r="I191" i="20"/>
  <c r="J190" i="20"/>
  <c r="AB191" i="20"/>
  <c r="AA192" i="20"/>
  <c r="X188" i="20"/>
  <c r="Y188" i="20" s="1"/>
  <c r="W188" i="20"/>
  <c r="AD191" i="20" l="1"/>
  <c r="AE191" i="20" s="1"/>
  <c r="AC191" i="20"/>
  <c r="L190" i="20"/>
  <c r="AG192" i="20"/>
  <c r="AH191" i="20"/>
  <c r="W189" i="20"/>
  <c r="X189" i="20"/>
  <c r="Y189" i="20" s="1"/>
  <c r="AI190" i="20"/>
  <c r="AJ190" i="20"/>
  <c r="AK190" i="20" s="1"/>
  <c r="R190" i="20"/>
  <c r="S190" i="20" s="1"/>
  <c r="Q190" i="20"/>
  <c r="M186" i="20"/>
  <c r="I192" i="20"/>
  <c r="J191" i="20"/>
  <c r="U191" i="20"/>
  <c r="V190" i="20"/>
  <c r="AB192" i="20"/>
  <c r="AA193" i="20"/>
  <c r="P191" i="20"/>
  <c r="O192" i="20"/>
  <c r="AD192" i="20" l="1"/>
  <c r="AD21" i="20" s="1"/>
  <c r="AE21" i="20" s="1"/>
  <c r="AC192" i="20"/>
  <c r="AC21" i="20" s="1"/>
  <c r="U192" i="20"/>
  <c r="V191" i="20"/>
  <c r="P192" i="20"/>
  <c r="O193" i="20"/>
  <c r="R191" i="20"/>
  <c r="S191" i="20" s="1"/>
  <c r="Q191" i="20"/>
  <c r="I193" i="20"/>
  <c r="J192" i="20"/>
  <c r="AG193" i="20"/>
  <c r="AH192" i="20"/>
  <c r="AB193" i="20"/>
  <c r="AA194" i="20"/>
  <c r="W190" i="20"/>
  <c r="X190" i="20"/>
  <c r="Y190" i="20" s="1"/>
  <c r="L191" i="20"/>
  <c r="M187" i="20"/>
  <c r="AI191" i="20"/>
  <c r="AJ191" i="20"/>
  <c r="AK191" i="20" s="1"/>
  <c r="K190" i="20"/>
  <c r="AB21" i="20" l="1"/>
  <c r="AB194" i="20"/>
  <c r="AA195" i="20"/>
  <c r="AI192" i="20"/>
  <c r="AJ192" i="20"/>
  <c r="AK192" i="20" s="1"/>
  <c r="W191" i="20"/>
  <c r="X191" i="20"/>
  <c r="Y191" i="20" s="1"/>
  <c r="K191" i="20"/>
  <c r="AG194" i="20"/>
  <c r="AH193" i="20"/>
  <c r="U193" i="20"/>
  <c r="V192" i="20"/>
  <c r="AE192" i="20"/>
  <c r="L192" i="20"/>
  <c r="P193" i="20"/>
  <c r="O194" i="20"/>
  <c r="M188" i="20"/>
  <c r="AD193" i="20"/>
  <c r="AC193" i="20"/>
  <c r="I194" i="20"/>
  <c r="J193" i="20"/>
  <c r="R192" i="20"/>
  <c r="S192" i="20" s="1"/>
  <c r="Q192" i="20"/>
  <c r="AE193" i="20" l="1"/>
  <c r="R193" i="20"/>
  <c r="S193" i="20" s="1"/>
  <c r="Q193" i="20"/>
  <c r="AG195" i="20"/>
  <c r="AH194" i="20"/>
  <c r="AD194" i="20"/>
  <c r="AC194" i="20"/>
  <c r="L21" i="20"/>
  <c r="I195" i="20"/>
  <c r="J194" i="20"/>
  <c r="P194" i="20"/>
  <c r="O195" i="20"/>
  <c r="K192" i="20"/>
  <c r="AI193" i="20"/>
  <c r="AJ193" i="20"/>
  <c r="AK193" i="20" s="1"/>
  <c r="AB195" i="20"/>
  <c r="AA196" i="20"/>
  <c r="M189" i="20"/>
  <c r="W192" i="20"/>
  <c r="X192" i="20"/>
  <c r="L193" i="20"/>
  <c r="K193" i="20" s="1"/>
  <c r="U194" i="20"/>
  <c r="V193" i="20"/>
  <c r="AE194" i="20" l="1"/>
  <c r="Q194" i="20"/>
  <c r="R194" i="20"/>
  <c r="S194" i="20" s="1"/>
  <c r="U195" i="20"/>
  <c r="V194" i="20"/>
  <c r="AB196" i="20"/>
  <c r="AA197" i="20"/>
  <c r="K21" i="20"/>
  <c r="I196" i="20"/>
  <c r="J195" i="20"/>
  <c r="AD195" i="20"/>
  <c r="AC195" i="20"/>
  <c r="P195" i="20"/>
  <c r="O196" i="20"/>
  <c r="E21" i="20"/>
  <c r="M21" i="20"/>
  <c r="AI194" i="20"/>
  <c r="AJ194" i="20"/>
  <c r="AK194" i="20" s="1"/>
  <c r="Y192" i="20"/>
  <c r="AG196" i="20"/>
  <c r="AH195" i="20"/>
  <c r="W193" i="20"/>
  <c r="X193" i="20"/>
  <c r="M190" i="20"/>
  <c r="L194" i="20"/>
  <c r="M191" i="20" l="1"/>
  <c r="P196" i="20"/>
  <c r="O197" i="20"/>
  <c r="L195" i="20"/>
  <c r="AB197" i="20"/>
  <c r="AA198" i="20"/>
  <c r="W194" i="20"/>
  <c r="X194" i="20"/>
  <c r="Y193" i="20"/>
  <c r="AI195" i="20"/>
  <c r="AJ195" i="20"/>
  <c r="AK195" i="20" s="1"/>
  <c r="R195" i="20"/>
  <c r="S195" i="20" s="1"/>
  <c r="Q195" i="20"/>
  <c r="I197" i="20"/>
  <c r="J196" i="20"/>
  <c r="AD196" i="20"/>
  <c r="AC196" i="20"/>
  <c r="U196" i="20"/>
  <c r="V195" i="20"/>
  <c r="AE195" i="20"/>
  <c r="K194" i="20"/>
  <c r="AG197" i="20"/>
  <c r="AH196" i="20"/>
  <c r="F21" i="20"/>
  <c r="J21" i="20"/>
  <c r="C21" i="20" s="1"/>
  <c r="D21" i="20"/>
  <c r="AE196" i="20" l="1"/>
  <c r="Y194" i="20"/>
  <c r="AD197" i="20"/>
  <c r="AC197" i="20"/>
  <c r="P197" i="20"/>
  <c r="O198" i="20"/>
  <c r="R196" i="20"/>
  <c r="S196" i="20" s="1"/>
  <c r="Q196" i="20"/>
  <c r="AI196" i="20"/>
  <c r="AJ196" i="20"/>
  <c r="AK196" i="20" s="1"/>
  <c r="W195" i="20"/>
  <c r="X195" i="20"/>
  <c r="L196" i="20"/>
  <c r="K195" i="20"/>
  <c r="AG198" i="20"/>
  <c r="AH197" i="20"/>
  <c r="U197" i="20"/>
  <c r="V196" i="20"/>
  <c r="I198" i="20"/>
  <c r="J197" i="20"/>
  <c r="AB198" i="20"/>
  <c r="AA199" i="20"/>
  <c r="M192" i="20"/>
  <c r="AE197" i="20" l="1"/>
  <c r="Y195" i="20"/>
  <c r="AB199" i="20"/>
  <c r="AA200" i="20"/>
  <c r="W196" i="20"/>
  <c r="X196" i="20"/>
  <c r="Y196" i="20" s="1"/>
  <c r="R197" i="20"/>
  <c r="S197" i="20" s="1"/>
  <c r="Q197" i="20"/>
  <c r="AD198" i="20"/>
  <c r="AE198" i="20" s="1"/>
  <c r="AC198" i="20"/>
  <c r="U198" i="20"/>
  <c r="V197" i="20"/>
  <c r="M193" i="20"/>
  <c r="L197" i="20"/>
  <c r="K197" i="20" s="1"/>
  <c r="AI197" i="20"/>
  <c r="AJ197" i="20"/>
  <c r="AK197" i="20" s="1"/>
  <c r="I199" i="20"/>
  <c r="J198" i="20"/>
  <c r="AG199" i="20"/>
  <c r="AH198" i="20"/>
  <c r="K196" i="20"/>
  <c r="P198" i="20"/>
  <c r="O199" i="20"/>
  <c r="P199" i="20" l="1"/>
  <c r="O200" i="20"/>
  <c r="AD199" i="20"/>
  <c r="AE199" i="20" s="1"/>
  <c r="AC199" i="20"/>
  <c r="R198" i="20"/>
  <c r="S198" i="20" s="1"/>
  <c r="Q198" i="20"/>
  <c r="L198" i="20"/>
  <c r="K198" i="20" s="1"/>
  <c r="AG200" i="20"/>
  <c r="AH199" i="20"/>
  <c r="I200" i="20"/>
  <c r="J199" i="20"/>
  <c r="W197" i="20"/>
  <c r="X197" i="20"/>
  <c r="Y197" i="20" s="1"/>
  <c r="AI198" i="20"/>
  <c r="AJ198" i="20"/>
  <c r="AK198" i="20" s="1"/>
  <c r="M194" i="20"/>
  <c r="U199" i="20"/>
  <c r="V198" i="20"/>
  <c r="AB200" i="20"/>
  <c r="AA201" i="20"/>
  <c r="M195" i="20" l="1"/>
  <c r="U200" i="20"/>
  <c r="V199" i="20"/>
  <c r="I201" i="20"/>
  <c r="J200" i="20"/>
  <c r="P200" i="20"/>
  <c r="O201" i="20"/>
  <c r="AB201" i="20"/>
  <c r="AA202" i="20"/>
  <c r="AI199" i="20"/>
  <c r="AJ199" i="20"/>
  <c r="AK199" i="20" s="1"/>
  <c r="R199" i="20"/>
  <c r="S199" i="20" s="1"/>
  <c r="Q199" i="20"/>
  <c r="AD200" i="20"/>
  <c r="AE200" i="20" s="1"/>
  <c r="AC200" i="20"/>
  <c r="AG201" i="20"/>
  <c r="AH200" i="20"/>
  <c r="W198" i="20"/>
  <c r="X198" i="20"/>
  <c r="Y198" i="20" s="1"/>
  <c r="L199" i="20"/>
  <c r="K199" i="20" s="1"/>
  <c r="AG202" i="20" l="1"/>
  <c r="AH201" i="20"/>
  <c r="AB202" i="20"/>
  <c r="AA203" i="20"/>
  <c r="P201" i="20"/>
  <c r="O202" i="20"/>
  <c r="W199" i="20"/>
  <c r="X199" i="20"/>
  <c r="Y199" i="20" s="1"/>
  <c r="AI200" i="20"/>
  <c r="AJ200" i="20"/>
  <c r="AK200" i="20" s="1"/>
  <c r="R200" i="20"/>
  <c r="S200" i="20" s="1"/>
  <c r="Q200" i="20"/>
  <c r="U201" i="20"/>
  <c r="V200" i="20"/>
  <c r="L200" i="20"/>
  <c r="AD201" i="20"/>
  <c r="AE201" i="20" s="1"/>
  <c r="AC201" i="20"/>
  <c r="I202" i="20"/>
  <c r="J201" i="20"/>
  <c r="M196" i="20"/>
  <c r="U202" i="20" l="1"/>
  <c r="V201" i="20"/>
  <c r="P202" i="20"/>
  <c r="O203" i="20"/>
  <c r="L201" i="20"/>
  <c r="I203" i="20"/>
  <c r="J202" i="20"/>
  <c r="W200" i="20"/>
  <c r="X200" i="20"/>
  <c r="AB203" i="20"/>
  <c r="AA204" i="20"/>
  <c r="AB204" i="20" s="1"/>
  <c r="AD202" i="20"/>
  <c r="AE202" i="20" s="1"/>
  <c r="AC202" i="20"/>
  <c r="M197" i="20"/>
  <c r="R201" i="20"/>
  <c r="S201" i="20" s="1"/>
  <c r="Q201" i="20"/>
  <c r="AI201" i="20"/>
  <c r="AJ201" i="20"/>
  <c r="AK201" i="20" s="1"/>
  <c r="K200" i="20"/>
  <c r="AG203" i="20"/>
  <c r="AH202" i="20"/>
  <c r="M198" i="20" l="1"/>
  <c r="AD204" i="20"/>
  <c r="AC204" i="20"/>
  <c r="AB205" i="20"/>
  <c r="L202" i="20"/>
  <c r="K202" i="20" s="1"/>
  <c r="W201" i="20"/>
  <c r="X201" i="20"/>
  <c r="AD203" i="20"/>
  <c r="AE203" i="20" s="1"/>
  <c r="AC203" i="20"/>
  <c r="I204" i="20"/>
  <c r="J204" i="20" s="1"/>
  <c r="J203" i="20"/>
  <c r="Y200" i="20"/>
  <c r="U203" i="20"/>
  <c r="V202" i="20"/>
  <c r="AI202" i="20"/>
  <c r="AJ202" i="20"/>
  <c r="AK202" i="20" s="1"/>
  <c r="P203" i="20"/>
  <c r="O204" i="20"/>
  <c r="P204" i="20" s="1"/>
  <c r="AG204" i="20"/>
  <c r="AH204" i="20" s="1"/>
  <c r="AH203" i="20"/>
  <c r="K201" i="20"/>
  <c r="R202" i="20"/>
  <c r="S202" i="20" s="1"/>
  <c r="Q202" i="20"/>
  <c r="AE204" i="20" l="1"/>
  <c r="L203" i="20"/>
  <c r="AI203" i="20"/>
  <c r="AJ203" i="20"/>
  <c r="AK203" i="20" s="1"/>
  <c r="W202" i="20"/>
  <c r="X202" i="20"/>
  <c r="J205" i="20"/>
  <c r="M199" i="20"/>
  <c r="R203" i="20"/>
  <c r="S203" i="20" s="1"/>
  <c r="Q203" i="20"/>
  <c r="AI204" i="20"/>
  <c r="AI205" i="20" s="1"/>
  <c r="AJ204" i="20"/>
  <c r="AH205" i="20"/>
  <c r="U204" i="20"/>
  <c r="V204" i="20" s="1"/>
  <c r="V203" i="20"/>
  <c r="AC205" i="20"/>
  <c r="AC22" i="20"/>
  <c r="R204" i="20"/>
  <c r="Q204" i="20"/>
  <c r="P205" i="20"/>
  <c r="Y201" i="20"/>
  <c r="AD205" i="20"/>
  <c r="AD22" i="20"/>
  <c r="AE22" i="20" s="1"/>
  <c r="AB22" i="20" l="1"/>
  <c r="R205" i="20"/>
  <c r="Y202" i="20"/>
  <c r="S204" i="20"/>
  <c r="AK204" i="20"/>
  <c r="Q205" i="20"/>
  <c r="W203" i="20"/>
  <c r="X203" i="20"/>
  <c r="AJ205" i="20"/>
  <c r="K203" i="20"/>
  <c r="W204" i="20"/>
  <c r="X204" i="20"/>
  <c r="X205" i="20" s="1"/>
  <c r="V205" i="20"/>
  <c r="M200" i="20"/>
  <c r="Y203" i="20" l="1"/>
  <c r="Y204" i="20" s="1"/>
  <c r="M201" i="20"/>
  <c r="W205" i="20"/>
  <c r="M202" i="20" l="1"/>
  <c r="M203" i="20" l="1"/>
  <c r="L204" i="20" l="1"/>
  <c r="L205" i="20" l="1"/>
  <c r="L22" i="20"/>
  <c r="K204" i="20"/>
  <c r="M204" i="20"/>
  <c r="K205" i="20" l="1"/>
  <c r="K22" i="20"/>
  <c r="E22" i="20"/>
  <c r="E23" i="20" s="1"/>
  <c r="M22" i="20"/>
  <c r="F22" i="20" s="1"/>
  <c r="J22" i="20" l="1"/>
  <c r="C22" i="20" s="1"/>
  <c r="C23" i="20" s="1"/>
  <c r="D22" i="20"/>
  <c r="G6" i="20" l="1"/>
  <c r="D2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SOKOA </author>
  </authors>
  <commentList>
    <comment ref="B4" authorId="0" shapeId="0" xr:uid="{00000000-0006-0000-0300-000001000000}">
      <text>
        <r>
          <rPr>
            <sz val="8"/>
            <color indexed="56"/>
            <rFont val="Tahoma"/>
            <family val="2"/>
          </rPr>
          <t>Expliquez en quelques lignes, de façon très simple et très compréhensible, votre projet tel que vous l'imaginez.</t>
        </r>
        <r>
          <rPr>
            <sz val="8"/>
            <color indexed="81"/>
            <rFont val="Tahoma"/>
            <family val="2"/>
          </rPr>
          <t xml:space="preserve">
</t>
        </r>
      </text>
    </comment>
    <comment ref="B33" authorId="0" shapeId="0" xr:uid="{00000000-0006-0000-0300-000002000000}">
      <text>
        <r>
          <rPr>
            <sz val="8"/>
            <color indexed="56"/>
            <rFont val="Tahoma"/>
            <family val="2"/>
          </rPr>
          <t>Il s'agit de faire apparaître les différentes caractéristiques de votre produit ou de votre prestation.
Indiquez donc sa description physique, ses caractéristiques techniques, ses performances et surtout son utilisation ou utilité (à quel besoin répond-il ?</t>
        </r>
        <r>
          <rPr>
            <b/>
            <sz val="8"/>
            <color indexed="81"/>
            <rFont val="Tahoma"/>
            <family val="2"/>
          </rPr>
          <t xml:space="preserve">
</t>
        </r>
        <r>
          <rPr>
            <sz val="8"/>
            <color indexed="81"/>
            <rFont val="Tahoma"/>
            <family val="2"/>
          </rPr>
          <t xml:space="preserve">
</t>
        </r>
      </text>
    </comment>
    <comment ref="I33" authorId="0" shapeId="0" xr:uid="{00000000-0006-0000-0300-000003000000}">
      <text>
        <r>
          <rPr>
            <sz val="8"/>
            <color indexed="56"/>
            <rFont val="Tahoma"/>
            <family val="2"/>
          </rPr>
          <t xml:space="preserve">Précisez sur quel marché vous vous situez.
(exemple : le marché du loisir)
</t>
        </r>
      </text>
    </comment>
    <comment ref="B44" authorId="0" shapeId="0" xr:uid="{00000000-0006-0000-0300-000004000000}">
      <text>
        <r>
          <rPr>
            <sz val="8"/>
            <color indexed="56"/>
            <rFont val="Tahoma"/>
            <family val="2"/>
          </rPr>
          <t xml:space="preserve">Indications sur le volume général de votre marché.
Quelle a été son évolution ses dernières années ?
Quelle est l'évolution prévisible ?
S'agit-il d'un marché en déclin, en stagnation, en progression ?
Connaissez-vous son taux  de croissance actuel ?
</t>
        </r>
      </text>
    </comment>
    <comment ref="B65" authorId="0" shapeId="0" xr:uid="{00000000-0006-0000-0300-000005000000}">
      <text>
        <r>
          <rPr>
            <sz val="8"/>
            <color indexed="56"/>
            <rFont val="Tahoma"/>
            <family val="2"/>
          </rPr>
          <t xml:space="preserve">Indiquez quelles sont les caractéristiques principales de l'offre sur ce marché.
(exemples : concentration ou, au contraire, multitude de concurrents, intensité concurrentielle, type de distribution généralement choisi, évolution technologique, etc …)
</t>
        </r>
      </text>
    </comment>
    <comment ref="I65" authorId="0" shapeId="0" xr:uid="{00000000-0006-0000-0300-000006000000}">
      <text>
        <r>
          <rPr>
            <sz val="8"/>
            <color indexed="56"/>
            <rFont val="Tahoma"/>
            <family val="2"/>
          </rPr>
          <t xml:space="preserve">Précisez quels sont vos principaux concurrents et, dans la mesure du possible, veuillez indiquer pour chacun : ancienneté, taille, CA, part de marché, caractéristiques de leurs produits, réputation, politique commerciale, etc
</t>
        </r>
      </text>
    </comment>
    <comment ref="B76" authorId="0" shapeId="0" xr:uid="{00000000-0006-0000-0300-000007000000}">
      <text>
        <r>
          <rPr>
            <sz val="8"/>
            <color indexed="56"/>
            <rFont val="Tahoma"/>
            <family val="2"/>
          </rPr>
          <t xml:space="preserve">Quels sont les caractéristiques de votre produit par rapport à ceux de vos concurrents ?
Quels sont les aspects positifs et négatifs au regard des distributeurs, consommateurs, ….(présentation, performances, garantie, simplicité, …) ?
Aurez-vous un produit ou une gamme, plusieurs produits ou plusieurs gammes ?
</t>
        </r>
      </text>
    </comment>
    <comment ref="I76" authorId="0" shapeId="0" xr:uid="{00000000-0006-0000-0300-000008000000}">
      <text>
        <r>
          <rPr>
            <sz val="8"/>
            <color indexed="56"/>
            <rFont val="Tahoma"/>
            <family val="2"/>
          </rPr>
          <t>Quel est le niveau de prix de vos produits ?
Comment vous situez-vous par rapport à la concurrence ?
Pourquoi ?</t>
        </r>
        <r>
          <rPr>
            <sz val="8"/>
            <color indexed="81"/>
            <rFont val="Tahoma"/>
            <family val="2"/>
          </rPr>
          <t xml:space="preserve">
</t>
        </r>
      </text>
    </comment>
    <comment ref="B85" authorId="0" shapeId="0" xr:uid="{00000000-0006-0000-0300-000009000000}">
      <text>
        <r>
          <rPr>
            <sz val="8"/>
            <color indexed="56"/>
            <rFont val="Tahoma"/>
            <family val="2"/>
          </rPr>
          <t xml:space="preserve">Indiquer quel type de canal(aux) de distribution vous comptez utiliser pour la distribution de vos produits.
Quels sont les délais et modes de règlement de ces canaux ?
Envisagez-vous de vendre directement ? Si oui, par quels moyens ?
S'il est prévu une force de vente, indiquez son nombre, sa structure, son type de rémunération.
</t>
        </r>
      </text>
    </comment>
    <comment ref="I85" authorId="0" shapeId="0" xr:uid="{00000000-0006-0000-0300-00000A000000}">
      <text>
        <r>
          <rPr>
            <sz val="8"/>
            <color indexed="56"/>
            <rFont val="Tahoma"/>
            <family val="2"/>
          </rPr>
          <t>Allez-vous réaliser des actions promotionnelles ou publicitaires ?
Si oui, quel message voulez-vous transmettre et par quels moyens ?
Quel budget avez-vous prévu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SOKOA </author>
  </authors>
  <commentList>
    <comment ref="P18" authorId="0" shapeId="0" xr:uid="{00000000-0006-0000-0400-000001000000}">
      <text>
        <r>
          <rPr>
            <b/>
            <sz val="8"/>
            <color indexed="12"/>
            <rFont val="Tahoma"/>
            <family val="2"/>
          </rPr>
          <t>Prévoir sagement</t>
        </r>
        <r>
          <rPr>
            <sz val="8"/>
            <color indexed="12"/>
            <rFont val="Tahoma"/>
            <family val="2"/>
          </rPr>
          <t xml:space="preserve">. 
Ne pas surestimer la rapidité du "décollage" de l'activité, tout est souvent plus long que prévu et il n' est pas rare qu'aucune vente ne soit réalisée le ou les tous premiers mois et que 70 à 80% du chiffre d'affaires de la 1ère année soit réalisé les 6 derniers mois.
</t>
        </r>
        <r>
          <rPr>
            <b/>
            <sz val="8"/>
            <color indexed="12"/>
            <rFont val="Tahoma"/>
            <family val="2"/>
          </rPr>
          <t>Attention !</t>
        </r>
        <r>
          <rPr>
            <sz val="8"/>
            <color indexed="12"/>
            <rFont val="Tahoma"/>
            <family val="2"/>
          </rPr>
          <t xml:space="preserve"> par chiffre d'affaires, il faut entendre le chiffre d'affaires facturé (hors taxes) et non commandes reçues.
</t>
        </r>
        <r>
          <rPr>
            <b/>
            <sz val="8"/>
            <color indexed="12"/>
            <rFont val="Tahoma"/>
            <family val="2"/>
          </rPr>
          <t>Vérifiez si votre activité est réglementée</t>
        </r>
        <r>
          <rPr>
            <sz val="8"/>
            <color indexed="81"/>
            <rFont val="Tahoma"/>
            <family val="2"/>
          </rPr>
          <t xml:space="preserve">
</t>
        </r>
        <r>
          <rPr>
            <sz val="8"/>
            <color indexed="12"/>
            <rFont val="Tahoma"/>
            <family val="2"/>
          </rPr>
          <t>L'exercice de certaines activités est soumis à des conditions de diplôme, d'expérience professionnelle, d'obtention d'une licence ou à des demandes d'autorisation ou d'agrément.
Vérifiez les conditions attachées à l'activité que vous souhaitez exercer avant de créer votre entreprise. Cette précaution vous évitera un éventuel refus d'immatriculation et vous permettra de gagner du temps si vous devez préparer des dossiers de demande d'autorisation ou d'agrément.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author>
  </authors>
  <commentList>
    <comment ref="L4" authorId="0" shapeId="0" xr:uid="{00000000-0006-0000-0500-000001000000}">
      <text>
        <r>
          <rPr>
            <sz val="8"/>
            <color indexed="12"/>
            <rFont val="Tahoma"/>
            <family val="2"/>
          </rPr>
          <t xml:space="preserve">Pour définir les moyens dont vous avez besoin :
- la première règle, pour des raisons de coûts évidentes, est d'aller vers l'utile et l'indispensable. </t>
        </r>
        <r>
          <rPr>
            <u/>
            <sz val="8"/>
            <color indexed="12"/>
            <rFont val="Tahoma"/>
            <family val="2"/>
          </rPr>
          <t>Les marériels d'occasion existent</t>
        </r>
        <r>
          <rPr>
            <sz val="8"/>
            <color indexed="12"/>
            <rFont val="Tahoma"/>
            <family val="2"/>
          </rPr>
          <t xml:space="preserve">.
- la deuxième règle est de bien dimensionner ses investissements en ayant bien à l'esprit qu'il ne sont pas fait pour une courte période. Ils doivent correspondres aux besoins immédiats mais aussi futurs.
- la troisième règle est que la politique d'investissements doit être, au cours des premiers exercices, modérée et, dans la mesure du possible, graduelle.
</t>
        </r>
      </text>
    </comment>
    <comment ref="K67" authorId="0" shapeId="0" xr:uid="{00000000-0006-0000-0500-000002000000}">
      <text>
        <r>
          <rPr>
            <b/>
            <sz val="8"/>
            <color indexed="12"/>
            <rFont val="Tahoma"/>
            <family val="2"/>
          </rPr>
          <t>Démarrage – votre loyer</t>
        </r>
        <r>
          <rPr>
            <sz val="8"/>
            <color indexed="12"/>
            <rFont val="Tahoma"/>
            <family val="2"/>
          </rPr>
          <t xml:space="preserve">
Le loyer demandé pour un local commercial peut être trop élevé dans l'absolu ou trop coûteux pour l'activité qui doit y être exercée (par exemple, si l'activité relève d'un secteur à marge trop faible pour les volumes de vente qu'il serait raisonnablement possible de réaliser).
Aussi, avant de retenir un local commercial, considérez que le loyer annuel ne devrait normalement pas dépasser 8 % du chiffre d'affaires HT.
Avec cette donnée et le montant du loyer réclamé : 
- calculez le chiffre d'affaires annuel TTC correspondant,
- traduisez le en nombre de ventes à réaliser en moyenne par jour (ou semaine ou mois).
Cela vous permettra de juger du réalisme de ce choix éventuel. 
Complétez cette approche en comparant le chiffre d'affaires ainsi calculé avec votre propre chiffre d'affaires prévisionnel, si vous l'avez déjà déterminé.
</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SOKOA </author>
  </authors>
  <commentList>
    <comment ref="G65" authorId="0" shapeId="0" xr:uid="{00000000-0006-0000-0600-000001000000}">
      <text>
        <r>
          <rPr>
            <sz val="10"/>
            <color indexed="56"/>
            <rFont val="Calibri"/>
            <family val="2"/>
          </rPr>
          <t xml:space="preserve">Ayez l'obsession de limiter au maximum  les charges fixes de votre entreprise.
</t>
        </r>
        <r>
          <rPr>
            <b/>
            <sz val="10"/>
            <color indexed="56"/>
            <rFont val="Calibri"/>
            <family val="2"/>
          </rPr>
          <t>C'est une condition de réussite !</t>
        </r>
      </text>
    </comment>
    <comment ref="J65" authorId="0" shapeId="0" xr:uid="{00000000-0006-0000-0600-000002000000}">
      <text>
        <r>
          <rPr>
            <sz val="10"/>
            <color indexed="56"/>
            <rFont val="Calibri"/>
            <family val="2"/>
          </rPr>
          <t xml:space="preserve">Ayez l'obsession de limiter au maximum  les charges fixes de votre entreprise.
</t>
        </r>
        <r>
          <rPr>
            <b/>
            <sz val="10"/>
            <color indexed="56"/>
            <rFont val="Calibri"/>
            <family val="2"/>
          </rPr>
          <t>C'est une condition de réussite !</t>
        </r>
      </text>
    </comment>
    <comment ref="M65" authorId="0" shapeId="0" xr:uid="{00000000-0006-0000-0600-000003000000}">
      <text>
        <r>
          <rPr>
            <sz val="10"/>
            <color indexed="56"/>
            <rFont val="Calibri"/>
            <family val="2"/>
          </rPr>
          <t xml:space="preserve">Ayez l'obsession de limiter au maximum  les charges fixes de votre entreprise.
</t>
        </r>
        <r>
          <rPr>
            <b/>
            <sz val="10"/>
            <color indexed="56"/>
            <rFont val="Calibri"/>
            <family val="2"/>
          </rPr>
          <t>C'est une condition de réussite !</t>
        </r>
      </text>
    </comment>
    <comment ref="G67" authorId="0" shapeId="0" xr:uid="{00000000-0006-0000-0600-000004000000}">
      <text>
        <r>
          <rPr>
            <sz val="10"/>
            <color indexed="56"/>
            <rFont val="Calibri"/>
            <family val="2"/>
          </rPr>
          <t xml:space="preserve">Ayez l'obsession de limiter au maximum  les charges fixes de votre entreprise.
</t>
        </r>
        <r>
          <rPr>
            <b/>
            <sz val="10"/>
            <color indexed="56"/>
            <rFont val="Calibri"/>
            <family val="2"/>
          </rPr>
          <t>C'est une condition de réussite !</t>
        </r>
      </text>
    </comment>
    <comment ref="J67" authorId="0" shapeId="0" xr:uid="{00000000-0006-0000-0600-000005000000}">
      <text>
        <r>
          <rPr>
            <sz val="10"/>
            <color indexed="56"/>
            <rFont val="Calibri"/>
            <family val="2"/>
          </rPr>
          <t xml:space="preserve">Ayez l'obsession de limiter au maximum  les charges fixes de votre entreprise.
</t>
        </r>
        <r>
          <rPr>
            <b/>
            <sz val="10"/>
            <color indexed="56"/>
            <rFont val="Calibri"/>
            <family val="2"/>
          </rPr>
          <t>C'est une condition de réussite !</t>
        </r>
      </text>
    </comment>
    <comment ref="M67" authorId="0" shapeId="0" xr:uid="{00000000-0006-0000-0600-000006000000}">
      <text>
        <r>
          <rPr>
            <sz val="10"/>
            <color indexed="56"/>
            <rFont val="Calibri"/>
            <family val="2"/>
          </rPr>
          <t xml:space="preserve">Ayez l'obsession de limiter au maximum  les charges fixes de votre entreprise.
</t>
        </r>
        <r>
          <rPr>
            <b/>
            <sz val="10"/>
            <color indexed="56"/>
            <rFont val="Calibri"/>
            <family val="2"/>
          </rPr>
          <t>C'est une condition de réussite !</t>
        </r>
      </text>
    </comment>
    <comment ref="G68" authorId="0" shapeId="0" xr:uid="{00000000-0006-0000-0600-000007000000}">
      <text>
        <r>
          <rPr>
            <b/>
            <sz val="8"/>
            <color indexed="12"/>
            <rFont val="Tahoma"/>
            <family val="2"/>
          </rPr>
          <t xml:space="preserve">Conseil </t>
        </r>
        <r>
          <rPr>
            <sz val="8"/>
            <color indexed="12"/>
            <rFont val="Tahoma"/>
            <family val="2"/>
          </rPr>
          <t>: il est important de connaître le chiffre d'affaires que l'entreprise devra impérativement réaliser pour au moins couvrir l'ensemble de ses charges et savoir quand dans le temps ce point mort sera atteint (au-delà l'entreprise commençant à faire des bénéfices).</t>
        </r>
      </text>
    </comment>
    <comment ref="J68" authorId="0" shapeId="0" xr:uid="{00000000-0006-0000-0600-000008000000}">
      <text>
        <r>
          <rPr>
            <b/>
            <sz val="8"/>
            <color indexed="12"/>
            <rFont val="Tahoma"/>
            <family val="2"/>
          </rPr>
          <t xml:space="preserve">Conseil </t>
        </r>
        <r>
          <rPr>
            <sz val="8"/>
            <color indexed="12"/>
            <rFont val="Tahoma"/>
            <family val="2"/>
          </rPr>
          <t>: il est important de connaître le chiffre d'affaires que l'entreprise devra impérativement réaliser pour au moins couvrir l'ensemble de ses charges et savoir quand dans le temps ce point mort sera atteint (au-delà l'entreprise commençant à faire des bénéfices).</t>
        </r>
      </text>
    </comment>
    <comment ref="M68" authorId="0" shapeId="0" xr:uid="{00000000-0006-0000-0600-000009000000}">
      <text>
        <r>
          <rPr>
            <b/>
            <sz val="8"/>
            <color indexed="12"/>
            <rFont val="Tahoma"/>
            <family val="2"/>
          </rPr>
          <t xml:space="preserve">Conseil </t>
        </r>
        <r>
          <rPr>
            <sz val="8"/>
            <color indexed="12"/>
            <rFont val="Tahoma"/>
            <family val="2"/>
          </rPr>
          <t>: il est important de connaître le chiffre d'affaires que l'entreprise devra impérativement réaliser pour au moins couvrir l'ensemble de ses charges et savoir quand dans le temps ce point mort sera atteint (au-delà l'entreprise commençant à faire des bénéfices).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inf</author>
    <author xml:space="preserve">SOKOA </author>
  </authors>
  <commentList>
    <comment ref="M4" authorId="0" shapeId="0" xr:uid="{00000000-0006-0000-0700-000001000000}">
      <text>
        <r>
          <rPr>
            <b/>
            <sz val="8"/>
            <color indexed="12"/>
            <rFont val="Tahoma"/>
            <family val="2"/>
          </rPr>
          <t>Ne sous-évaluez pas votre BFR...</t>
        </r>
        <r>
          <rPr>
            <sz val="8"/>
            <color indexed="12"/>
            <rFont val="Tahoma"/>
            <family val="2"/>
          </rPr>
          <t xml:space="preserve">
Votre besoin en fonds de roulement doit être déterminé avec beaucoup de soins. 
Ne cédez pas à la tentation de le sous-évaluer. 
Prévoyez les capitaux nécessaires pour le financer en totalité afin d'éviter de graves crises de trésorerie ultérieures.
</t>
        </r>
      </text>
    </comment>
    <comment ref="L21" authorId="0" shapeId="0" xr:uid="{00000000-0006-0000-0700-000002000000}">
      <text>
        <r>
          <rPr>
            <b/>
            <sz val="8"/>
            <color indexed="12"/>
            <rFont val="Tahoma"/>
            <family val="2"/>
          </rPr>
          <t>Evitez de jouer au banquier.</t>
        </r>
        <r>
          <rPr>
            <sz val="8"/>
            <color indexed="12"/>
            <rFont val="Tahoma"/>
            <family val="2"/>
          </rPr>
          <t xml:space="preserve">
Ne perdez pas de vue que plus vous jouerez au banquier avec vos clients, plus vous risquerez d'avoir besoin de votre banquier... et en plus celui-ci risquera de faire la sourde oreille !
</t>
        </r>
      </text>
    </comment>
    <comment ref="E34" authorId="1" shapeId="0" xr:uid="{00000000-0006-0000-0700-000003000000}">
      <text>
        <r>
          <rPr>
            <sz val="8"/>
            <color indexed="12"/>
            <rFont val="Tahoma"/>
            <family val="2"/>
          </rPr>
          <t>Cet élément n'a pas à être obligatoirement renseigné par le porteur de projet</t>
        </r>
        <r>
          <rPr>
            <sz val="8"/>
            <color indexed="81"/>
            <rFont val="Tahoma"/>
            <family val="2"/>
          </rPr>
          <t xml:space="preserve">
</t>
        </r>
      </text>
    </comment>
    <comment ref="H38" authorId="0" shapeId="0" xr:uid="{00000000-0006-0000-0700-000004000000}">
      <text>
        <r>
          <rPr>
            <b/>
            <sz val="8"/>
            <color indexed="12"/>
            <rFont val="Tahoma"/>
            <family val="2"/>
          </rPr>
          <t>Démarrage - Surveillez vos stocks...</t>
        </r>
        <r>
          <rPr>
            <sz val="8"/>
            <color indexed="12"/>
            <rFont val="Tahoma"/>
            <family val="2"/>
          </rPr>
          <t xml:space="preserve">
Une bonne gestion des stocks est un facteur important de réussite. Ils ne doivent ni gonfler indûment (vous risqueriez, outre un problème de trésorerie, de vous retrouver avec des invendus), ni occasionner une rupture d'activité. Dès le démarrage de votre entreprise, mettez en place un outil de gestion des stocks adapté
</t>
        </r>
      </text>
    </comment>
    <comment ref="E61" authorId="1" shapeId="0" xr:uid="{00000000-0006-0000-0700-000005000000}">
      <text>
        <r>
          <rPr>
            <sz val="8"/>
            <color indexed="12"/>
            <rFont val="Tahoma"/>
            <family val="2"/>
          </rPr>
          <t>Cet élément n'a pas à être obligatoirement renseigné par le porteur de projet</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SOKOA </author>
    <author>Joseph BERGARA</author>
    <author>BERGARA</author>
    <author>inf</author>
  </authors>
  <commentList>
    <comment ref="G5" authorId="0" shapeId="0" xr:uid="{00000000-0006-0000-0800-000001000000}">
      <text>
        <r>
          <rPr>
            <sz val="8"/>
            <color indexed="12"/>
            <rFont val="Tahoma"/>
            <family val="2"/>
          </rPr>
          <t xml:space="preserve">Réaliser un montage financier, c’est de la construction : pour que l’ensemble tienne debout, il faut des murs de soutènement solides, et pour soulever des grosses pierres, il faut se servir des petites pierres, c’est l’effet de levier. </t>
        </r>
        <r>
          <rPr>
            <u/>
            <sz val="8"/>
            <color indexed="12"/>
            <rFont val="Tahoma"/>
            <family val="2"/>
          </rPr>
          <t>C'est tout l'intérêt de disposer de fonds propres suffisants</t>
        </r>
        <r>
          <rPr>
            <sz val="8"/>
            <color indexed="12"/>
            <rFont val="Tahoma"/>
            <family val="2"/>
          </rPr>
          <t xml:space="preserve"> et </t>
        </r>
        <r>
          <rPr>
            <b/>
            <sz val="8"/>
            <color indexed="12"/>
            <rFont val="Tahoma"/>
            <family val="2"/>
          </rPr>
          <t>Herrikoa</t>
        </r>
        <r>
          <rPr>
            <sz val="8"/>
            <color indexed="12"/>
            <rFont val="Tahoma"/>
            <family val="2"/>
          </rPr>
          <t xml:space="preserve"> vous permet de récolter des fonds supplémentaires qui augmenteront votre capacité à investir et à embaucher ainsi que vos possibilités d'accéder au financement sous forme de crédits auprès des banques.
Les fonds propres sont le " trésor de guerre", " l’assurance-vie" de l’entreprise . </t>
        </r>
        <r>
          <rPr>
            <b/>
            <sz val="8"/>
            <color indexed="12"/>
            <rFont val="Tahoma"/>
            <family val="2"/>
          </rPr>
          <t>Ils sont  à la fois un gage de pérennité et d’indépendance de l’entreprise et la base indispensable pour obtenir des financements bancaires</t>
        </r>
        <r>
          <rPr>
            <sz val="8"/>
            <color indexed="12"/>
            <rFont val="Tahoma"/>
            <family val="2"/>
          </rPr>
          <t xml:space="preserve">. Ils permettent de traverser des périodes difficiles sans que la stratégie de financement ne vienne se heurter à une contrainte de solvabilité qui compromettrait la politique d’investissement indispensable à son développement.
Non seulement </t>
        </r>
        <r>
          <rPr>
            <b/>
            <sz val="8"/>
            <color indexed="12"/>
            <rFont val="Tahoma"/>
            <family val="2"/>
          </rPr>
          <t xml:space="preserve">Herrikoa </t>
        </r>
        <r>
          <rPr>
            <sz val="8"/>
            <color indexed="12"/>
            <rFont val="Tahoma"/>
            <family val="2"/>
          </rPr>
          <t>vous permet de vous procurer de l’argent pour renforcer vos fonds propres, mais surtout notre présence dans votre entreprise est un label de crédibilité et une sécurité pour les autres intervenants financiers qui vous aideront à boucler le montage financier de votre projet.</t>
        </r>
      </text>
    </comment>
    <comment ref="G13" authorId="0" shapeId="0" xr:uid="{00000000-0006-0000-0800-000002000000}">
      <text>
        <r>
          <rPr>
            <sz val="8"/>
            <color indexed="12"/>
            <rFont val="Tahoma"/>
            <family val="2"/>
          </rPr>
          <t xml:space="preserve">Les décalages en trésorerie au moment du démarrage liés, non seulement aux retards dans le versements des aides et des financements, mais aussi aux retards dans la mise en route de l'outil de producrion et dans le décollage des ventes, apparaissent très fréquemment, alors qu'il faut assurer le paiement des salaires, des loyers et autres charges...
Le besoin en fonds de roulement (BFR) résultant de ces décalages doit être considéré comme un </t>
        </r>
        <r>
          <rPr>
            <b/>
            <sz val="8"/>
            <color indexed="12"/>
            <rFont val="Tahoma"/>
            <family val="2"/>
          </rPr>
          <t>investissement</t>
        </r>
        <r>
          <rPr>
            <sz val="8"/>
            <color indexed="12"/>
            <rFont val="Tahoma"/>
            <family val="2"/>
          </rPr>
          <t xml:space="preserve"> et, à ce titre, être </t>
        </r>
        <r>
          <rPr>
            <b/>
            <sz val="8"/>
            <color indexed="12"/>
            <rFont val="Tahoma"/>
            <family val="2"/>
          </rPr>
          <t>financé par des capitaux permanents</t>
        </r>
        <r>
          <rPr>
            <sz val="8"/>
            <color indexed="12"/>
            <rFont val="Tahoma"/>
            <family val="2"/>
          </rPr>
          <t xml:space="preserve"> (fonds propres + dettes à long et moyen terme).
</t>
        </r>
        <r>
          <rPr>
            <b/>
            <sz val="8"/>
            <color indexed="12"/>
            <rFont val="Tahoma"/>
            <family val="2"/>
          </rPr>
          <t xml:space="preserve">L'intégration du montant du BFR dans le plan de financement initial est indispensable pour bien couvrir l'ensemble des besoins financiers permanents de l'entreprise à son démarrage et dans les mois qui suivent.
</t>
        </r>
        <r>
          <rPr>
            <sz val="8"/>
            <color indexed="12"/>
            <rFont val="Tahoma"/>
            <family val="2"/>
          </rPr>
          <t xml:space="preserve">
Or, il est évidemment impossible à calculer de manière précise puisque le montant des encours moyen des créances clients (voire celui des dettes fournisseurs) est inconnu.
</t>
        </r>
        <r>
          <rPr>
            <b/>
            <sz val="8"/>
            <color indexed="12"/>
            <rFont val="Tahoma"/>
            <family val="2"/>
          </rPr>
          <t>C'est la raison pour laquelle, Herrikoa impose un fonds de roulement initial égal au minimum à 10 % du chiffre d'affaires hors taxe du premier exercice.</t>
        </r>
        <r>
          <rPr>
            <sz val="10"/>
            <color indexed="12"/>
            <rFont val="Tahoma"/>
            <family val="2"/>
          </rPr>
          <t xml:space="preserve">
</t>
        </r>
      </text>
    </comment>
    <comment ref="H27" authorId="1" shapeId="0" xr:uid="{00000000-0006-0000-0800-000003000000}">
      <text>
        <r>
          <rPr>
            <sz val="8"/>
            <color indexed="12"/>
            <rFont val="Tahoma"/>
            <family val="2"/>
          </rPr>
          <t>Le remboursement de la part des dettes financières à moins d'1 an doit absorber un maximum de 50 à 60 % de la capacité d'autofinancement car celle-ci a d'autres utilisations que le remboursement des dettes financières.
Elle doit permettre de faire face :
- d'une part aux aléas économiques,
- d'autre part au besoin d'autofinancement nécessaire au développement de l'entreprise (renouvellement de l'outil de production, investissements, croissance du BFR) 
- ainsi qu'à la rémunération du capital (dividendes)</t>
        </r>
        <r>
          <rPr>
            <sz val="8"/>
            <color indexed="81"/>
            <rFont val="Tahoma"/>
            <family val="2"/>
          </rPr>
          <t xml:space="preserve">
</t>
        </r>
      </text>
    </comment>
    <comment ref="G34" authorId="2" shapeId="0" xr:uid="{00000000-0006-0000-0800-000004000000}">
      <text>
        <r>
          <rPr>
            <b/>
            <sz val="8"/>
            <color indexed="12"/>
            <rFont val="Tahoma"/>
            <family val="2"/>
          </rPr>
          <t xml:space="preserve">Ne sous-capitalisez pas votre société
</t>
        </r>
        <r>
          <rPr>
            <sz val="8"/>
            <color indexed="12"/>
            <rFont val="Tahoma"/>
            <family val="2"/>
          </rPr>
          <t>La sous-capitalisation de départ est souvent la cause des échecs des créations d'entreprises et les banquiers le savent bien. Bien capitaliser son entreprise, c'est s'assurer contre les dérapages qui touchent la plupart des créantions.</t>
        </r>
        <r>
          <rPr>
            <b/>
            <sz val="8"/>
            <color indexed="12"/>
            <rFont val="Tahoma"/>
            <family val="2"/>
          </rPr>
          <t xml:space="preserve"> 
</t>
        </r>
        <r>
          <rPr>
            <sz val="8"/>
            <color indexed="12"/>
            <rFont val="Tahoma"/>
            <family val="2"/>
          </rPr>
          <t>Ne confondez pas le capital minimum légal (capital minimal fixé par la loi) avec le capital nécessaire au démarrage correct de votre société et à son développement (</t>
        </r>
        <r>
          <rPr>
            <b/>
            <sz val="8"/>
            <color indexed="12"/>
            <rFont val="Tahoma"/>
            <family val="2"/>
          </rPr>
          <t>capital "économique"</t>
        </r>
        <r>
          <rPr>
            <sz val="8"/>
            <color indexed="12"/>
            <rFont val="Tahoma"/>
            <family val="2"/>
          </rPr>
          <t xml:space="preserve">). Si la législation vous permet de créer une SARL ou une SAS avec un capital très faible, celui-ci doit être en adéquation avec les besoins de votre entreprise. A défaut, votre responsabilité de chef d'entreprise pourrait être ultérieurement engagée pour faute de gestion.
</t>
        </r>
        <r>
          <rPr>
            <b/>
            <sz val="8"/>
            <color indexed="12"/>
            <rFont val="Tahoma"/>
            <family val="2"/>
          </rPr>
          <t>Votre engagement personnel</t>
        </r>
        <r>
          <rPr>
            <sz val="8"/>
            <color indexed="12"/>
            <rFont val="Tahoma"/>
            <family val="2"/>
          </rPr>
          <t xml:space="preserve">
Votre capacité à engager une mise de fonds significative dans votre création est un facteur de crédibilité vis-à-vis des partenaires potentiels que vous solliciterez.
</t>
        </r>
        <r>
          <rPr>
            <b/>
            <sz val="8"/>
            <color indexed="12"/>
            <rFont val="Tahoma"/>
            <family val="2"/>
          </rPr>
          <t>Pertes de la moitié du capital social</t>
        </r>
        <r>
          <rPr>
            <sz val="8"/>
            <color indexed="12"/>
            <rFont val="Tahoma"/>
            <family val="2"/>
          </rPr>
          <t xml:space="preserve">
Si, du fait des pertes constatées, les capitaux propres de la société deviennent inférieurs à la moitié du capital social, une assemblée générale extraordinaire doit être convoquée dans les 4 mois suivant l'assemblée générale ordinaire statuant sur les comptes, à l'effet de décider s'il y a lieu ou non de dissoudre la société.
Si l'assemblée décide la poursuite de l'activité, la loi lui impose de régulariser la situation au plus tard lors de la clôture du deuxième exercice social suivant celui au cours duquel la constatation des pertes est intervenue (réalisation de bénéfices, augmentation de capital, etc.)
</t>
        </r>
        <r>
          <rPr>
            <b/>
            <sz val="8"/>
            <color indexed="12"/>
            <rFont val="Tahoma"/>
            <family val="2"/>
          </rPr>
          <t>A défaut, tout intéressé peut demander en justice la dissolution de la société</t>
        </r>
        <r>
          <rPr>
            <sz val="8"/>
            <color indexed="12"/>
            <rFont val="Tahoma"/>
            <family val="2"/>
          </rPr>
          <t xml:space="preserve">. Dans tous les cas, le tribunal peut accorder à la société un délai maximal de 6 mois pour régulariser.
</t>
        </r>
      </text>
    </comment>
    <comment ref="G72" authorId="3" shapeId="0" xr:uid="{00000000-0006-0000-0800-000005000000}">
      <text>
        <r>
          <rPr>
            <b/>
            <sz val="8"/>
            <color indexed="81"/>
            <rFont val="Tahoma"/>
            <family val="2"/>
          </rPr>
          <t>E</t>
        </r>
        <r>
          <rPr>
            <b/>
            <sz val="8"/>
            <color indexed="12"/>
            <rFont val="Tahoma"/>
            <family val="2"/>
          </rPr>
          <t>onia : Euro Overnight Index Average</t>
        </r>
        <r>
          <rPr>
            <sz val="8"/>
            <color indexed="12"/>
            <rFont val="Tahoma"/>
            <family val="2"/>
          </rPr>
          <t xml:space="preserve">
Taux calculé par la BCE. Il résulte de la moyenne pondérée de toutes les transactions au jour le jour de prêts non garantis réalisées par les banques retenues pour le calcul de l'euribor. Il sert de référence pour le calcul des crédits à court terme : découvert et crédits de trésorerie.
</t>
        </r>
        <r>
          <rPr>
            <b/>
            <sz val="8"/>
            <color indexed="12"/>
            <rFont val="Tahoma"/>
            <family val="2"/>
          </rPr>
          <t>Euribor : Euro Interbank Offered Rate</t>
        </r>
        <r>
          <rPr>
            <sz val="8"/>
            <color indexed="12"/>
            <rFont val="Tahoma"/>
            <family val="2"/>
          </rPr>
          <t xml:space="preserve">
L'Euribor est le taux moyen pratiqué par les banques pour se prêter de l'argent, en euros, entre elles . Plus précisément, c'est le taux interbancaire offert entre banques de meilleures signatures pour la rémunération de dépôts dans la zone euro. Il représente la moyenne des taux prêteurs communiqués par un échantillon de 57 établissements bancaires les plus actifs de la zonne euro. L'Euribor est une référence très répandue, à la fois pour les crédits à court terme et pour ceux à moyen et long terme.
L'Euribor 3 mois (3M) est la moyenne glissante des Euribors sur les 3 derniers mois.
</t>
        </r>
        <r>
          <rPr>
            <b/>
            <sz val="8"/>
            <color indexed="12"/>
            <rFont val="Tahoma"/>
            <family val="2"/>
          </rPr>
          <t>T4M : Taux moyen mensuel  du marché monétaire</t>
        </r>
        <r>
          <rPr>
            <sz val="8"/>
            <color indexed="12"/>
            <rFont val="Tahoma"/>
            <family val="2"/>
          </rPr>
          <t xml:space="preserve">
Taux égal à la moyenne arithmétique de tous les Eonia du mois. Il est utilisé comme référence pour les crédits à moyen et long terme à taux variable.
</t>
        </r>
        <r>
          <rPr>
            <b/>
            <sz val="8"/>
            <color indexed="12"/>
            <rFont val="Tahoma"/>
            <family val="2"/>
          </rPr>
          <t xml:space="preserve">TAM : Taux Annuel Monétaire
</t>
        </r>
        <r>
          <rPr>
            <sz val="8"/>
            <color indexed="12"/>
            <rFont val="Tahoma"/>
            <family val="2"/>
          </rPr>
          <t xml:space="preserve">Taux correspondant à la moyenne des douze derniers T4M. Il sert de référence pour les crédits à moyen et long terme à taux variable.
</t>
        </r>
        <r>
          <rPr>
            <b/>
            <sz val="8"/>
            <color indexed="12"/>
            <rFont val="Tahoma"/>
            <family val="2"/>
          </rPr>
          <t>TBB : Taux de Base Bancaire</t>
        </r>
        <r>
          <rPr>
            <sz val="8"/>
            <color indexed="81"/>
            <rFont val="Tahoma"/>
            <family val="2"/>
          </rPr>
          <t xml:space="preserve">
</t>
        </r>
        <r>
          <rPr>
            <sz val="8"/>
            <color indexed="12"/>
            <rFont val="Tahoma"/>
            <family val="2"/>
          </rPr>
          <t>Contrairement aux précédents, ce taux n'est pas un taux de marché, mais un taux élaboré par les banques elles-mêmes. Il inclut le taux de marché à court terme (Eonia), couvre en plus les frais de la banque ... et intégre déjà une marge. De ce fait, il excède de 3% à 4% les taux du marché.
Le TBB reste couramment utilisé comme référence pour les crédits à court terme accordés aux très petites entreprises et à une partie des PME.</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SOKOA </author>
    <author>Joseph BERGARA</author>
    <author>BERGARA</author>
    <author>inf</author>
  </authors>
  <commentList>
    <comment ref="C23" authorId="0" shapeId="0" xr:uid="{00000000-0006-0000-0A00-000001000000}">
      <text>
        <r>
          <rPr>
            <sz val="8"/>
            <color indexed="12"/>
            <rFont val="Tahoma"/>
            <family val="2"/>
          </rPr>
          <t>A</t>
        </r>
        <r>
          <rPr>
            <sz val="9"/>
            <color indexed="12"/>
            <rFont val="Tahoma"/>
            <family val="2"/>
          </rPr>
          <t xml:space="preserve">nnée après année, l'analyse financière confirme que la maîtrise des charges de personnel reste un enjeu vital pour les entreprises.
On estime que quelque soit le secteur d'activité, l'entreprise devient vulnérable lorsque le ratio dépasse 80%.
</t>
        </r>
        <r>
          <rPr>
            <b/>
            <sz val="9"/>
            <color indexed="12"/>
            <rFont val="Tahoma"/>
            <family val="2"/>
          </rPr>
          <t>Les frais de personnel sont une charge imcompressible à court terme</t>
        </r>
      </text>
    </comment>
    <comment ref="C49" authorId="1" shapeId="0" xr:uid="{00000000-0006-0000-0A00-000002000000}">
      <text>
        <r>
          <rPr>
            <b/>
            <u/>
            <sz val="9"/>
            <color indexed="12"/>
            <rFont val="Calibri"/>
            <family val="2"/>
            <scheme val="minor"/>
          </rPr>
          <t>P</t>
        </r>
        <r>
          <rPr>
            <b/>
            <u/>
            <sz val="9"/>
            <color indexed="12"/>
            <rFont val="Tahoma"/>
            <family val="2"/>
          </rPr>
          <t>rimauté de la liquidité</t>
        </r>
        <r>
          <rPr>
            <b/>
            <sz val="9"/>
            <color indexed="12"/>
            <rFont val="Tahoma"/>
            <family val="2"/>
          </rPr>
          <t xml:space="preserve">
</t>
        </r>
        <r>
          <rPr>
            <sz val="9"/>
            <color indexed="12"/>
            <rFont val="Tahoma"/>
            <family val="2"/>
          </rPr>
          <t>L'expérience montre que les entreprises meurent presque toujours d'une crise de liquidité dont la survenance se précipite dès que les partenaires commerciaux et financiers sont informés des difficultés qu'elles ont à se financer.
C'est donc la liquidité de l'entreprise qui est la pierre angulaire de l'édifice et il n'y a pas de meilleur indicateur pour la mesurer que le</t>
        </r>
        <r>
          <rPr>
            <b/>
            <sz val="9"/>
            <color indexed="12"/>
            <rFont val="Tahoma"/>
            <family val="2"/>
          </rPr>
          <t xml:space="preserve"> ratio frais financiers/EBE.</t>
        </r>
        <r>
          <rPr>
            <sz val="9"/>
            <color indexed="12"/>
            <rFont val="Tahoma"/>
            <family val="2"/>
          </rPr>
          <t xml:space="preserve">
</t>
        </r>
        <r>
          <rPr>
            <b/>
            <sz val="9"/>
            <color indexed="12"/>
            <rFont val="Tahoma"/>
            <family val="2"/>
          </rPr>
          <t xml:space="preserve">
Norme Banque de France : 
&lt; 30% =&gt; Excellent ; entre 30% et 50%=&gt; Neutre ; &gt; 50% =&gt; Danger
</t>
        </r>
        <r>
          <rPr>
            <sz val="9"/>
            <color indexed="12"/>
            <rFont val="Tahoma"/>
            <family val="2"/>
          </rPr>
          <t>Ce ratio permet d'apprécier la capacité de l'entreprise à payer ses frais financiers à partir de la trésorerie potentielle générée par son exploitation</t>
        </r>
        <r>
          <rPr>
            <b/>
            <sz val="9"/>
            <color indexed="12"/>
            <rFont val="Tahoma"/>
            <family val="2"/>
          </rPr>
          <t xml:space="preserve">
</t>
        </r>
        <r>
          <rPr>
            <sz val="9"/>
            <color indexed="12"/>
            <rFont val="Tahoma"/>
            <family val="2"/>
          </rPr>
          <t xml:space="preserve">Ce ratio constitue :
- un indicateur de défaillance à l'horizon de 2 ou 3 ans. Les études statistiques réalisées par la centrale des bilans de la Banque de France ont permis en effet de déterminer que ce ratio commençait à se dégrader 2 à 3 ans avant la défaillance de l'entreprise.
- le </t>
        </r>
        <r>
          <rPr>
            <b/>
            <sz val="9"/>
            <color indexed="12"/>
            <rFont val="Tahoma"/>
            <family val="2"/>
          </rPr>
          <t>principal signal d'alarme</t>
        </r>
        <r>
          <rPr>
            <sz val="9"/>
            <color indexed="12"/>
            <rFont val="Tahoma"/>
            <family val="2"/>
          </rPr>
          <t xml:space="preserve"> pour les prêteurs de capitaux.
</t>
        </r>
        <r>
          <rPr>
            <b/>
            <sz val="9"/>
            <color indexed="12"/>
            <rFont val="Tahoma"/>
            <family val="2"/>
          </rPr>
          <t xml:space="preserve">Ce ratio tire sa pertinence de son caractère composite :
</t>
        </r>
        <r>
          <rPr>
            <sz val="9"/>
            <color indexed="12"/>
            <rFont val="Tahoma"/>
            <family val="2"/>
          </rPr>
          <t xml:space="preserve">- il est le reflet de l'évolution de l'exploitation, mesurée à travers l'EBE, principale source de trésorerie pour l'entreprise,
- il mesure à travers les frais financiers la relation entre la situation de trésorerie et le coût du crédit : plus l'entreprise est endettée, plus elle doit payer à ses banquiers une prime de risque élevée,
- il est enfin directement fonction de l'évolution des taux d'intérêt.
</t>
        </r>
        <r>
          <rPr>
            <b/>
            <u/>
            <sz val="9"/>
            <color indexed="12"/>
            <rFont val="Tahoma"/>
            <family val="2"/>
          </rPr>
          <t>Rappel</t>
        </r>
        <r>
          <rPr>
            <sz val="9"/>
            <color indexed="12"/>
            <rFont val="Tahoma"/>
            <family val="2"/>
          </rPr>
          <t xml:space="preserve"> : l'appréciation de la trésorerie réelle apportée à l'entreprise par l'EBE peut être faussée par une augmentation de la production stockée. Se reporter à l'excédent de trésorerie d'exploitation.</t>
        </r>
        <r>
          <rPr>
            <sz val="9"/>
            <color indexed="12"/>
            <rFont val="Calibri"/>
            <family val="2"/>
            <scheme val="minor"/>
          </rPr>
          <t xml:space="preserve">
</t>
        </r>
        <r>
          <rPr>
            <sz val="8"/>
            <color indexed="12"/>
            <rFont val="Tahoma"/>
            <family val="2"/>
          </rPr>
          <t xml:space="preserve">
</t>
        </r>
      </text>
    </comment>
    <comment ref="C52" authorId="2" shapeId="0" xr:uid="{00000000-0006-0000-0A00-000003000000}">
      <text>
        <r>
          <rPr>
            <b/>
            <sz val="9"/>
            <color indexed="12"/>
            <rFont val="Tahoma"/>
            <family val="2"/>
          </rPr>
          <t>Norme &gt;50%</t>
        </r>
        <r>
          <rPr>
            <sz val="9"/>
            <color indexed="12"/>
            <rFont val="Tahoma"/>
            <family val="2"/>
          </rPr>
          <t xml:space="preserve">
La dégradation de ce ratio indique qu'une partie croissante du besoin en fonds de roulement n'est plus financé par des ressources stables (FR). Lentreprise devient alors vulnérable car plus dépendante des crédits de trésorerie que la banque peut demander de rembourser à tout moment, </t>
        </r>
        <r>
          <rPr>
            <u/>
            <sz val="9"/>
            <color indexed="12"/>
            <rFont val="Tahoma"/>
            <family val="2"/>
          </rPr>
          <t xml:space="preserve">sous respect d'un préavis.
</t>
        </r>
        <r>
          <rPr>
            <sz val="9"/>
            <color indexed="12"/>
            <rFont val="Tahoma"/>
            <family val="2"/>
          </rPr>
          <t xml:space="preserve">La dégradation de ce ratio peut être du à une crise de croissance ou à une mauvaise gestion des actifs d'exploitation :
- gonflement injustifié des stocks. Cela est non seulement coûteux en terme de frais financiers et d'ulilisation de surface de stockage. Il est également source de pertes pour stocks périmés, obsolètes ou démodés
- Allongement du délai d'encaissement des créances clients pour cause de manque de rigueur dans la négociation des délais de paiement et dans le suivi des recouvrements des créances. </t>
        </r>
      </text>
    </comment>
    <comment ref="C58" authorId="1" shapeId="0" xr:uid="{00000000-0006-0000-0A00-000004000000}">
      <text>
        <r>
          <rPr>
            <sz val="9"/>
            <color indexed="12"/>
            <rFont val="Tahoma"/>
            <family val="2"/>
          </rPr>
          <t>un Flux de Trésorerie d'Exploitation négatif est un signe de forte vulnérabilité et de difficultés de l'entreprise. L'analyse de sa formation permet de situer les actions que doit engager l'entreprise : réduction du BFRE ou/et redressement des performances économiques.</t>
        </r>
        <r>
          <rPr>
            <sz val="8"/>
            <color indexed="81"/>
            <rFont val="Tahoma"/>
            <family val="2"/>
          </rPr>
          <t xml:space="preserve">
</t>
        </r>
      </text>
    </comment>
    <comment ref="C64" authorId="2" shapeId="0" xr:uid="{00000000-0006-0000-0A00-000005000000}">
      <text>
        <r>
          <rPr>
            <b/>
            <u/>
            <sz val="9"/>
            <color indexed="12"/>
            <rFont val="Tahoma"/>
            <family val="2"/>
          </rPr>
          <t>Attention à l'effet ciseaux</t>
        </r>
        <r>
          <rPr>
            <sz val="9"/>
            <color indexed="12"/>
            <rFont val="Tahoma"/>
            <family val="2"/>
          </rPr>
          <t xml:space="preserve">
La situation de l'entreprise devient fragile lorsque les crédits bancaires à court terme financent les 2/3 ou plus de ses besoins d'exploitation.
Ressources </t>
        </r>
        <r>
          <rPr>
            <b/>
            <sz val="9"/>
            <color indexed="12"/>
            <rFont val="Tahoma"/>
            <family val="2"/>
          </rPr>
          <t>aléatoires</t>
        </r>
        <r>
          <rPr>
            <sz val="9"/>
            <color indexed="12"/>
            <rFont val="Tahoma"/>
            <family val="2"/>
          </rPr>
          <t>, les concours bancaires à court terme peuvent rapidement devenir exigibles. C'est le cas du découvert non autorisé.
Plus le solde de trésorerie nécessaire est important, plus grand est le risque que l'entreprise n'obtienne pas le renouvellement de ses concours bancaires et ainsi se trouve en rupture de liquidité, entraînant la cessation de paiements et le dépôt de bilan. Car le risque majeur pour la banque est de ne pas pouvoir "se désengager", de se retrouver seul à "porter" l'entreprise en mal de trésorerie et de se voir attribuer en prime par les tribunaux la responsabilité de la défaillance. Ce soutien devenant isupportable, la banque décidera alors d'arrêter son appui.</t>
        </r>
      </text>
    </comment>
    <comment ref="B83" authorId="3" shapeId="0" xr:uid="{00000000-0006-0000-0A00-000006000000}">
      <text>
        <r>
          <rPr>
            <sz val="8"/>
            <color indexed="12"/>
            <rFont val="Tahoma"/>
            <family val="2"/>
          </rPr>
          <t>L'endettement élargi est égal à la somme :
+ Dettes financières
+ Crédit-bail
+ Prêt personnel inclus dans le capital et/ou en compte courant</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inf</author>
  </authors>
  <commentList>
    <comment ref="M5" authorId="0" shapeId="0" xr:uid="{00000000-0006-0000-0C00-000001000000}">
      <text>
        <r>
          <rPr>
            <sz val="9"/>
            <color indexed="28"/>
            <rFont val="Calibri"/>
            <family val="2"/>
            <scheme val="minor"/>
          </rPr>
          <t>Si remboursement in fine, 
différé = nombre de mois précédant la dernière échéance, compte tenu de la périodicité</t>
        </r>
        <r>
          <rPr>
            <sz val="9"/>
            <color indexed="81"/>
            <rFont val="Tahoma"/>
            <family val="2"/>
          </rPr>
          <t xml:space="preserve">
</t>
        </r>
      </text>
    </comment>
    <comment ref="S5" authorId="0" shapeId="0" xr:uid="{00000000-0006-0000-0C00-000002000000}">
      <text>
        <r>
          <rPr>
            <sz val="9"/>
            <color indexed="28"/>
            <rFont val="Calibri"/>
            <family val="2"/>
            <scheme val="minor"/>
          </rPr>
          <t>Si remboursement in fine, 
différé = nombre de mois précédant la dernière échéance, compte tenu de la périodicité</t>
        </r>
        <r>
          <rPr>
            <sz val="9"/>
            <color indexed="81"/>
            <rFont val="Tahoma"/>
            <family val="2"/>
          </rPr>
          <t xml:space="preserve">
</t>
        </r>
      </text>
    </comment>
    <comment ref="Y5" authorId="0" shapeId="0" xr:uid="{00000000-0006-0000-0C00-000003000000}">
      <text>
        <r>
          <rPr>
            <sz val="9"/>
            <color indexed="28"/>
            <rFont val="Calibri"/>
            <family val="2"/>
            <scheme val="minor"/>
          </rPr>
          <t>Si remboursement in fine, 
différé = nombre de mois précédant la dernière échéance, compte tenu de la périodicité</t>
        </r>
        <r>
          <rPr>
            <sz val="9"/>
            <color indexed="81"/>
            <rFont val="Tahoma"/>
            <family val="2"/>
          </rPr>
          <t xml:space="preserve">
</t>
        </r>
      </text>
    </comment>
    <comment ref="AE5" authorId="0" shapeId="0" xr:uid="{00000000-0006-0000-0C00-000004000000}">
      <text>
        <r>
          <rPr>
            <sz val="9"/>
            <color indexed="28"/>
            <rFont val="Calibri"/>
            <family val="2"/>
            <scheme val="minor"/>
          </rPr>
          <t>Si remboursement in fine, 
différé = nombre de mois précédant la dernière échéance, compte tenu de la périodicité</t>
        </r>
        <r>
          <rPr>
            <sz val="9"/>
            <color indexed="81"/>
            <rFont val="Tahoma"/>
            <family val="2"/>
          </rPr>
          <t xml:space="preserve">
</t>
        </r>
      </text>
    </comment>
    <comment ref="AK5" authorId="0" shapeId="0" xr:uid="{00000000-0006-0000-0C00-000005000000}">
      <text>
        <r>
          <rPr>
            <sz val="9"/>
            <color indexed="28"/>
            <rFont val="Calibri"/>
            <family val="2"/>
            <scheme val="minor"/>
          </rPr>
          <t>Si remboursement in fine, 
différé = nombre de mois précédant la dernière échéance, compte tenu de la périodicité</t>
        </r>
        <r>
          <rPr>
            <sz val="9"/>
            <color indexed="81"/>
            <rFont val="Tahoma"/>
            <family val="2"/>
          </rPr>
          <t xml:space="preserve">
</t>
        </r>
      </text>
    </comment>
  </commentList>
</comments>
</file>

<file path=xl/sharedStrings.xml><?xml version="1.0" encoding="utf-8"?>
<sst xmlns="http://schemas.openxmlformats.org/spreadsheetml/2006/main" count="1697" uniqueCount="1087">
  <si>
    <t>Activité du conjoint</t>
  </si>
  <si>
    <t>C'est la technique la plus couramment utilisée : le montant payé à chaque échéance,  généralement mensuelle ou trimestrielle, qui inclut les intérêts et le remboursement du capital, est constant sur toute la durée du prêt.</t>
  </si>
  <si>
    <t>Dégagement de fonds de roulement</t>
  </si>
  <si>
    <t>Type de concours</t>
  </si>
  <si>
    <t>Nature</t>
  </si>
  <si>
    <r>
      <t xml:space="preserve">- les investissements </t>
    </r>
    <r>
      <rPr>
        <b/>
        <sz val="10"/>
        <color indexed="32"/>
        <rFont val="Calibri"/>
        <family val="2"/>
      </rPr>
      <t>financiers</t>
    </r>
    <r>
      <rPr>
        <sz val="10"/>
        <color indexed="32"/>
        <rFont val="Calibri"/>
        <family val="2"/>
      </rPr>
      <t xml:space="preserve"> qui sont essentiellement les dépôts et cautionnements, les prises de participation et les prêts accordés par l'entreprise.</t>
    </r>
  </si>
  <si>
    <t>Désignation</t>
  </si>
  <si>
    <t>Composants</t>
  </si>
  <si>
    <t>Crédit clients</t>
  </si>
  <si>
    <t>Vous devez renseigner les deux premières colonnes, la troisième fait apparaître automatiquement le résultat obtenu</t>
  </si>
  <si>
    <r>
      <t xml:space="preserve">Par contre, les entreprises dont l'activité est saisonnière et dont les besoins financiers d'exploitation connaissent de fortes variations au cours de l'année, peuvent obtenir un </t>
    </r>
    <r>
      <rPr>
        <b/>
        <sz val="10"/>
        <color indexed="32"/>
        <rFont val="Calibri"/>
        <family val="2"/>
      </rPr>
      <t>crédit de campagne</t>
    </r>
    <r>
      <rPr>
        <sz val="10"/>
        <color indexed="32"/>
        <rFont val="Calibri"/>
        <family val="2"/>
      </rPr>
      <t>, dont la particularité est qu'il doit impérativement être remboursé au moins un mois dans l'année, une fois encaissées les ventes de la saison.</t>
    </r>
  </si>
  <si>
    <t>Les inconvénients majeurs sont : d'une part on ne peut que très difficilement revenir en arrière une fois l'investissement réalisé, ce qui réduit la flexibilité de l'entreprise; d'autre part, il faut rassembler les capitaux nécessaires à leur financement.</t>
  </si>
  <si>
    <t>L'achat permet à l'entreprise d'être pleinement propriétaire du bien. C'est la solution à priori la plus simple  et s'avère souvent, mais pas toujours, la plus avantageuse. C'est d'ailleurs la solution favorite des entreprises .</t>
  </si>
  <si>
    <t>Enfin, si vous souhaitez de plus amples informations sur la création d'entreprise, vous pouvez consulter les sites de l'Agence Pour la Création d'Entreprise (APCE) et de la Chambre de Commerce et d'Industrie de Bayonne Pays-Basque.</t>
  </si>
  <si>
    <t>Site CCI</t>
  </si>
  <si>
    <t>- les véhicules de tourisme et les camionnettes de moins de 2 tonnes</t>
  </si>
  <si>
    <t>Sous traitance de production</t>
  </si>
  <si>
    <t>Sous-traitance générale</t>
  </si>
  <si>
    <t>Les apports en capital se matérialisent par des parts sociales dans les SARL ou des actions dans le SA et SAS au nom des associés. Les apports en compte courant constituent pour l'entreprise une dette à rembourser aux associés.</t>
  </si>
  <si>
    <t>Dans cette technique, le montant du prêt est remboursé par fractions égales sur la durée du prêt. Les intérêts sont calculés sur le capital restant dû, qui est égal au prêt initial diminué des remboursements effectués. Il diminuent donc parallèlement au principal de l'emprunt. Il en résulte que le montant total payé par échéance n'est pas constant, il ira en diminuant sur la durée  du prêt.</t>
  </si>
  <si>
    <t>Compte de résultat</t>
  </si>
  <si>
    <t>Plan de financement de départ</t>
  </si>
  <si>
    <t>Fonctions</t>
  </si>
  <si>
    <t>Bâtiments                                                                            20 à 50 ans                        2 à 5%</t>
  </si>
  <si>
    <t>Particuliers</t>
  </si>
  <si>
    <r>
      <t>Quantifier son activité n'est pas un luxe mais une</t>
    </r>
    <r>
      <rPr>
        <b/>
        <sz val="9"/>
        <color indexed="32"/>
        <rFont val="Calibri"/>
        <family val="2"/>
      </rPr>
      <t xml:space="preserve"> nécessité absolue</t>
    </r>
    <r>
      <rPr>
        <sz val="9"/>
        <color indexed="32"/>
        <rFont val="Calibri"/>
        <family val="2"/>
      </rPr>
      <t xml:space="preserve">, souvent difficile. </t>
    </r>
    <r>
      <rPr>
        <b/>
        <sz val="9"/>
        <color indexed="32"/>
        <rFont val="Calibri"/>
        <family val="2"/>
      </rPr>
      <t>Soyez réaliste</t>
    </r>
    <r>
      <rPr>
        <sz val="9"/>
        <color indexed="32"/>
        <rFont val="Calibri"/>
        <family val="2"/>
      </rPr>
      <t xml:space="preserve"> : ne présentez pas de chiffres que vous ne puissiez expliquer.</t>
    </r>
  </si>
  <si>
    <t>* de 2,25 pour une durée d'amortissement de plus de 6 ans.</t>
  </si>
  <si>
    <t>Le taux d'amortissement dégressif obtenu est appliqué à la valeur résiduelle du bien, amortissements précédents déduits. A noter que l'amortissement linéaire sur la durée restante reprend dès qu'il est plus favorable que le dégressif.</t>
  </si>
  <si>
    <t>- les biens amortissables en moins de 3 ans,</t>
  </si>
  <si>
    <t>totale</t>
  </si>
  <si>
    <t>différé</t>
  </si>
  <si>
    <t>Et maintenant, à vous de jouer !</t>
  </si>
  <si>
    <t>* savoir qui est le promoteur du projet,</t>
  </si>
  <si>
    <t>Moyens d'exploitation</t>
  </si>
  <si>
    <t>Activité</t>
  </si>
  <si>
    <t>* Prévisions trop optimistes du chiffre d'affaires, entraînant une surcapacité en investissement et en personnel,</t>
  </si>
  <si>
    <t>* Déséquilibre du plan de financement,</t>
  </si>
  <si>
    <t>Matériel et outillage                                                            5 à 10 ans                        10 à 20%</t>
  </si>
  <si>
    <t>Brevets, marques, modèles                                               5 ans au moins                =&lt;20%</t>
  </si>
  <si>
    <t>Les terrains ne sont pas amortissables, sauf exception, et les biens acquis d'occasion le sont sur leur durée de vie résiduelle prévisible.</t>
  </si>
  <si>
    <t>Dépôt de garantie</t>
  </si>
  <si>
    <r>
      <t xml:space="preserve">C'est le </t>
    </r>
    <r>
      <rPr>
        <b/>
        <sz val="10"/>
        <color indexed="32"/>
        <rFont val="Calibri"/>
        <family val="2"/>
      </rPr>
      <t>point d'entrée</t>
    </r>
    <r>
      <rPr>
        <sz val="10"/>
        <color indexed="32"/>
        <rFont val="Calibri"/>
        <family val="2"/>
      </rPr>
      <t xml:space="preserve"> de votre étude financière. Les études de marché ont vérifié la pertinence de votre projet, vous avez confronté vos produits, votre activité, avec l'offre de la concurrence, et toutes ces études vous ont éclairé sur les hypothèses de chiffre d'affaires que vous pourriez réaliser.</t>
    </r>
  </si>
  <si>
    <r>
      <t xml:space="preserve">Apportez beaucoup d'attention à la prévision de votre chiffre d'affaires, </t>
    </r>
    <r>
      <rPr>
        <b/>
        <sz val="10"/>
        <color indexed="32"/>
        <rFont val="Calibri"/>
        <family val="2"/>
      </rPr>
      <t>formulez plusieurs hypothèses : pessimiste, moyenne, optimiste</t>
    </r>
    <r>
      <rPr>
        <sz val="10"/>
        <color indexed="32"/>
        <rFont val="Calibri"/>
        <family val="2"/>
      </rPr>
      <t xml:space="preserve"> car l'activité conditionne tous les autres paramètres de votre étude financière.</t>
    </r>
  </si>
  <si>
    <t>G a r a n t i e s</t>
  </si>
  <si>
    <t>Crédits à court terme -  concours de trésorerie</t>
  </si>
  <si>
    <t>Cette formule  est intermédiaire entre les deux précédentes, puisqu'elle combine une période de location, pendant laquelle l'entreprise n'est pas propriétaire du bien mais l'utilise comme bon lui semble, et une possibilité d'acquisition en fin de contrat, pour une valeur résiduelle le plus souvent minime.</t>
  </si>
  <si>
    <t>Le choix va donc dépendre des perspectives de résultat et de la situation de l'entreprise vis-à-vis de l'impôt sur les bénéfices.</t>
  </si>
  <si>
    <r>
      <t xml:space="preserve">* des fonds propres suffisants </t>
    </r>
    <r>
      <rPr>
        <b/>
        <sz val="10"/>
        <color indexed="32"/>
        <rFont val="Calibri"/>
        <family val="2"/>
      </rPr>
      <t>dès le départ</t>
    </r>
    <r>
      <rPr>
        <sz val="10"/>
        <color indexed="32"/>
        <rFont val="Calibri"/>
        <family val="2"/>
      </rPr>
      <t xml:space="preserve"> permettent de faire face aux éventuelles impasses de trésorerie dues aux aléas du démarrage et aux à-coups d'activité qui touchent la plupart des créations. Ils doivent financer les pertes de démarrage qu'il n'est pas rare de constater,</t>
    </r>
  </si>
  <si>
    <t>La location élimine le problème du financement . L'avantage est donc évident au plan de la trésorerie. Il peut être aussi important en terme de souplesse, si toutes les précautions sont prises dans le choix des termes du contrat de location.</t>
  </si>
  <si>
    <t>An 1</t>
  </si>
  <si>
    <t>An 2</t>
  </si>
  <si>
    <t>An 3</t>
  </si>
  <si>
    <t>2 - Les crédits de mobilisation de créances commerciales</t>
  </si>
  <si>
    <t>Si les besoins de crédits bancaires à court terme sont trop importants, le projet doit être remanié et sa structure financière adaptée en conséquence.</t>
  </si>
  <si>
    <t>La troisième question  qui se pose est de savoir si l'entreprise doit détenir la pleine propriété du bien ou au contraire ne s'en assurer que l'usage.</t>
  </si>
  <si>
    <t>Le délai de franchise va généralement de trois mois à deux ans.</t>
  </si>
  <si>
    <t>Consulter le site de l'ANVAR</t>
  </si>
  <si>
    <t>C'est la comparaison de ce qui est produit et vendu avec le coût des moyens nécessaires pour y parvenir qui permettra d'apprécier la viabilité de votre projet.</t>
  </si>
  <si>
    <t xml:space="preserve">Apports en nature dans le capital </t>
  </si>
  <si>
    <t>Matériel  de transport                                                         4 à 5 ans                          20 à 25%</t>
  </si>
  <si>
    <t>Ajoutons que, lorsque les délais de stockage et les conditions de règlement des fournisseurs et des clients ne varient pas d'une année sur l'autre, ce besoin financier (BFR) évolue parallélement au chiffre d'affaires.</t>
  </si>
  <si>
    <t>Le terme Apports regroupe l'ensemble des financements apportés par les associés (créateurs + autres associés dont Herrikoa)</t>
  </si>
  <si>
    <r>
      <t xml:space="preserve">Cette constatation s'opère chaque année sous forme de dotations, enregistrées dans les </t>
    </r>
    <r>
      <rPr>
        <b/>
        <sz val="10"/>
        <color indexed="32"/>
        <rFont val="Calibri"/>
        <family val="2"/>
      </rPr>
      <t>charges</t>
    </r>
    <r>
      <rPr>
        <sz val="10"/>
        <color indexed="32"/>
        <rFont val="Calibri"/>
        <family val="2"/>
      </rPr>
      <t xml:space="preserve"> dans le compte de résultat. Par ailleurs, leur accumulation dans le bilan, en réduction de la valeur d'acquisition des immobilisations, permet de traduire la dépréciation progressive de ces immobilisations du fait de l'usure ou de l'obsolescence</t>
    </r>
  </si>
  <si>
    <r>
      <t xml:space="preserve">- les charges qui augmentent ou diminuent avec le volume d'activité (achats de marchandises, de matières, frais de transports, commissions sur ventes,etc) qualifiées de </t>
    </r>
    <r>
      <rPr>
        <b/>
        <sz val="10"/>
        <color indexed="12"/>
        <rFont val="Calibri"/>
        <family val="2"/>
      </rPr>
      <t>charges variables (V)</t>
    </r>
    <r>
      <rPr>
        <sz val="10"/>
        <color indexed="32"/>
        <rFont val="Calibri"/>
        <family val="2"/>
      </rPr>
      <t>.</t>
    </r>
  </si>
  <si>
    <r>
      <t xml:space="preserve">Pour quantifier l'activité, le premier travail consiste à  mesurer avec </t>
    </r>
    <r>
      <rPr>
        <b/>
        <sz val="10"/>
        <color indexed="32"/>
        <rFont val="Calibri"/>
        <family val="2"/>
      </rPr>
      <t>le maximum de réalisme</t>
    </r>
    <r>
      <rPr>
        <sz val="10"/>
        <color indexed="32"/>
        <rFont val="Calibri"/>
        <family val="2"/>
      </rPr>
      <t xml:space="preserve"> le nombre d'unités qui pourra effectivement être vendu et donc se traduire en chiffre d'affaires. Dans un deuxième temps, une étude complète des charges permettra d'avoir une idée du prix de revient qui n'est cependant pas le prix de vente.</t>
    </r>
  </si>
  <si>
    <t>Chiffre d'affaires net</t>
  </si>
  <si>
    <t xml:space="preserve">Bénéfice net ou perte nette   </t>
  </si>
  <si>
    <t>Excédent brut d'exploitation</t>
  </si>
  <si>
    <t xml:space="preserve"> Résultat d'exploitation   </t>
  </si>
  <si>
    <t xml:space="preserve">Résultat courant avant impôts   </t>
  </si>
  <si>
    <t>Banque(s)</t>
  </si>
  <si>
    <t>Garanties données</t>
  </si>
  <si>
    <t>Energie  (eau-gaz-électricité)</t>
  </si>
  <si>
    <t>Assurances</t>
  </si>
  <si>
    <t>Fournitures et petit équipement</t>
  </si>
  <si>
    <t>Loyer et charges locatives</t>
  </si>
  <si>
    <t>Commissions sur ventes</t>
  </si>
  <si>
    <t>Transports sur ventes</t>
  </si>
  <si>
    <t>Frais postaux et télécommunication</t>
  </si>
  <si>
    <t>Commissions bancaires</t>
  </si>
  <si>
    <t>Par ailleurs, pour pouvoir escompter, il faut avoir les effets en portefeuille. Or, il s'écoule un délai assez long - plusieurs semaines en général - entre l'envoi d'une traite au client et son retour d'acceptation, ou entre l'émission de la facture et la réception du billet à ordre émis par le client. Cela rend parfois illusoire l'autorisation d'escompte obtenue du banquier, lorsque toutes les traites sont "dehors".</t>
  </si>
  <si>
    <t>Tous ces crédits "en blanc" présentent pour le banquier un risque certain, puisqu'ils n'apportent aucune garantie par leur fonctionnement propre. La seule garantie du banquier c'est que l'entreprise se développe. Il faut donc que le projet soit très crédible et très bien "vendu" au banquier pour qu'il accorde ce type de concours.</t>
  </si>
  <si>
    <r>
      <t xml:space="preserve">Le plus connu, et le plus utilisé par les entreprises en création, est le </t>
    </r>
    <r>
      <rPr>
        <b/>
        <sz val="10"/>
        <color indexed="32"/>
        <rFont val="Calibri"/>
        <family val="2"/>
      </rPr>
      <t>découvert,</t>
    </r>
    <r>
      <rPr>
        <sz val="10"/>
        <color indexed="32"/>
        <rFont val="Calibri"/>
        <family val="2"/>
      </rPr>
      <t xml:space="preserve"> technique de financement à court terme qui consiste à laisser passer le compte bancaire de l'entreprise en dessous de zéro (compte "débiteur"). C'est le crédit le plus souple que l'on puisse utiliser, puisque l'on paye les agios exactement en fonction de l'utilisation que l'on en fait.</t>
    </r>
  </si>
  <si>
    <t>Conditions</t>
  </si>
  <si>
    <t>Durée</t>
  </si>
  <si>
    <t>€</t>
  </si>
  <si>
    <t>Impôts et taxes</t>
  </si>
  <si>
    <t>Intérimaires</t>
  </si>
  <si>
    <t>Provisions</t>
  </si>
  <si>
    <t>Compte courant d'associés</t>
  </si>
  <si>
    <t>Fonction(s) prévue(s) dans la nouvelle entreprise</t>
  </si>
  <si>
    <t>Marié(e)</t>
  </si>
  <si>
    <t>Pacsé(e)</t>
  </si>
  <si>
    <t>Description sommaire</t>
  </si>
  <si>
    <t>Locataire</t>
  </si>
  <si>
    <t>Propriétaire</t>
  </si>
  <si>
    <t>De la prévision de votre activité dépendront en effet les moyens à mettre en œuvre : les charges d'exploitation, le personnel, les investissements en matériel, en bâtiments et les moyens financiers.</t>
  </si>
  <si>
    <t>1er exercice</t>
  </si>
  <si>
    <t>2ème exercice</t>
  </si>
  <si>
    <t>3ème exercice</t>
  </si>
  <si>
    <t>Besoin en fonds de roulement</t>
  </si>
  <si>
    <t>Fonds de roulement</t>
  </si>
  <si>
    <t>Collectivités locales</t>
  </si>
  <si>
    <t>Mobilier divers                                                                    10 ans                              10%</t>
  </si>
  <si>
    <t xml:space="preserve">A partir de cette même prévision d'activité, détermination de la ressource interne de l'entreprise, à savoir sa capacité d'autofinancement prévisionnelle ou éventuellement des pertes de démarrage qui constitueront dans ce cas un besoin de financement. </t>
  </si>
  <si>
    <t>Ouvrir son capital n'équivaut pas forcément à la perte du pouvoir. Pour la plupart des créateurs, être maître chez soi est synonyme de 99% du capital. C'est une erreur car il y a différents seuils de pouvoir dans l'entreprise. Pour une société anonyme, la majorité absolue se situe à 66,67%, la majorité relative à 50, 01% et la minorité de blocage à 33,34%. Pour une SARL, les chiffres sont un peu différents : 50,01% pour la majorité relative et 25,01% pour la minorité de blocage.</t>
  </si>
  <si>
    <t>Pic de BFR prévisible</t>
  </si>
  <si>
    <t>Tous les éléments qui suivent sont calculés automatiquement à partir des données que vous avez précédemment renseignées.</t>
  </si>
  <si>
    <t>Les fonds propres sont "l'assurance-vie" de l'entreprise, gage de pérennité et d'indépendance par rapport aux établissements financiers.</t>
  </si>
  <si>
    <t>mail Herrikoa</t>
  </si>
  <si>
    <t>Régime matrimonial</t>
  </si>
  <si>
    <t>Communauté légale</t>
  </si>
  <si>
    <t>Centrales d'achats</t>
  </si>
  <si>
    <r>
      <t>Il faut tout d'abord savoir que l'entreprise doit pratiquer au minimum l'amortissement linéaire sur les durées d'usage, sur tous les biens amortissables,</t>
    </r>
    <r>
      <rPr>
        <b/>
        <sz val="10"/>
        <color indexed="32"/>
        <rFont val="Calibri"/>
        <family val="2"/>
      </rPr>
      <t xml:space="preserve"> même si cela conduit à constater une perte.</t>
    </r>
  </si>
  <si>
    <t>Durée du contrat</t>
  </si>
  <si>
    <t>Date de naissance</t>
  </si>
  <si>
    <t>Subventions d'exploitation</t>
  </si>
  <si>
    <t>Achat de marchandises</t>
  </si>
  <si>
    <t>Achat des matières 1° et consommables</t>
  </si>
  <si>
    <t>Variation de stock de matières 1°  et consommables</t>
  </si>
  <si>
    <t>Transport et frais accessoires d'achats</t>
  </si>
  <si>
    <t>Variation de stock de  marchandises</t>
  </si>
  <si>
    <t xml:space="preserve">Crédit bail </t>
  </si>
  <si>
    <t>C'est sur la base du plan de financement que le créateur va déterminer le niveau de capital nécessaire et le recours à l'emprunt indispensable au développement de l'entreprise.</t>
  </si>
  <si>
    <t>Comment établir ce document ?</t>
  </si>
  <si>
    <t>1ère étape</t>
  </si>
  <si>
    <t>2ème étape</t>
  </si>
  <si>
    <t>3ème étape</t>
  </si>
  <si>
    <t>Choix des moyens de financement correspondants pour assurer l'équilibre global : augmentation des apports des associés (capital - compte courants), recours à l'emprunt, recours au crédit-bail en tenant compte des incidences sur les emplois - remboursements en capital des comptes  courants et des emprunts, dividendes à verser aux associés - ou sur les diminutions de ressources prévisionnelles (intérêts sur comptes courants et sur emprunts, redevances de crédit-bail. Il restera après à déterminer les besoins de crédit bancaire à court terme.</t>
  </si>
  <si>
    <t>Lors de l'établissement des prévisions financières, le versement de l'emprunt sera porté dans les ressources du plan de financement et les remboursements en capital dans les besoins. Seuls les intérêts dûs devront figurer dans les charges financières du compte de résultat prévisionnel.</t>
  </si>
  <si>
    <t>Lieu de naissance</t>
  </si>
  <si>
    <t>Situation de famille</t>
  </si>
  <si>
    <t>Cela amène trois questions suivantes : que choisir, quand investir et comment les financer.</t>
  </si>
  <si>
    <t xml:space="preserve">  Coût d'acquisition :</t>
  </si>
  <si>
    <t>Création d'entreprise</t>
  </si>
  <si>
    <t>F I C H E   D E   S Y N T H E S E</t>
  </si>
  <si>
    <t>dossier :</t>
  </si>
  <si>
    <t xml:space="preserve">Durée </t>
  </si>
  <si>
    <t>Taux</t>
  </si>
  <si>
    <t>Avances remboursables</t>
  </si>
  <si>
    <t>Pour le calcul de l'amortissement dégressif, on majore le taux d'amortissement linéaire en le multipliant par un coefficient :</t>
  </si>
  <si>
    <t>* de 1,25 pour une durée d'amortissement de 3 à 4 ans,</t>
  </si>
  <si>
    <t>C'est aussi le crédit le plus cher !  (attention à la subtilité de la commission du plus fort découvert qui s'ajoute aux intérêts proprement dits appelés "intérêts débiteurs")</t>
  </si>
  <si>
    <t xml:space="preserve">Pour limiter son risque, le banquier peut éventuellement demander une caution personnelle du ou des créateurs, surtout si ceux-ci ont un patrimoine en dehors de l'entreprise. </t>
  </si>
  <si>
    <t>H</t>
  </si>
  <si>
    <t>CDI</t>
  </si>
  <si>
    <t>CDD</t>
  </si>
  <si>
    <t>Total des locations annuelles</t>
  </si>
  <si>
    <t xml:space="preserve">Les prêts accordés par les banques sont en principe limités à 70-80% du montant HT des biens à financer. Le reste doit obligatoirement être financé par des fonds propres. </t>
  </si>
  <si>
    <t xml:space="preserve">Capacité d'autofinancement   -   CAF   </t>
  </si>
  <si>
    <t>* de 1,75 pour une durée d'amortissement de 5 à 6 ans,</t>
  </si>
  <si>
    <t>Les apports en compte courant sont portés dans les ressources du plan de financement alors que les remboursements en capital figureront dans les besoins. Les intérêts constituent quant à eux des charges financières inscrites dans le compte de résultat.</t>
  </si>
  <si>
    <t>Les comptes courants sont normalement rémunérés, mais les intérêts correspondants ne sont déductibles du résultat imposable de l'entreprise que sous certaines conditions.</t>
  </si>
  <si>
    <t>Dans ce cas là, la part de l'annuité consacrée au remboursement du capital est croissante avec le temps et la part des intérêts décroissante.</t>
  </si>
  <si>
    <t>Acompte</t>
  </si>
  <si>
    <t>Si vous éprouvez quelques difficultés ou si certains points ne vous paraissent pas suffisamment clairs, n'hésitez surtout pas à nous contacter.</t>
  </si>
  <si>
    <t>Total charges de personnel</t>
  </si>
  <si>
    <t>1/ La durée d'amortissement</t>
  </si>
  <si>
    <t>2/ Amortissement linéaire ou dégressif ?</t>
  </si>
  <si>
    <t>- Quelle solution assure la plus grande souplesse à l'entreprise ?</t>
  </si>
  <si>
    <t>- la solution retenue protège-t-elle correctement notre patrimoine ?</t>
  </si>
  <si>
    <t>Une fois analysés les avantages et les inconvénients de chaque formule, comment faire le choix  ?</t>
  </si>
  <si>
    <t>Herrikoa</t>
  </si>
  <si>
    <t>Logiciels dissociés</t>
  </si>
  <si>
    <t xml:space="preserve">Nom </t>
  </si>
  <si>
    <t>Prénom</t>
  </si>
  <si>
    <t>Entreprises industrielles</t>
  </si>
  <si>
    <t>Associations</t>
  </si>
  <si>
    <t>BAC</t>
  </si>
  <si>
    <t>BEPC</t>
  </si>
  <si>
    <t>DEUG</t>
  </si>
  <si>
    <t>DESS-DEA</t>
  </si>
  <si>
    <t>Commerce de gros</t>
  </si>
  <si>
    <t>Forme juridique prévue</t>
  </si>
  <si>
    <t>Bâtiment - travaux publiques</t>
  </si>
  <si>
    <t>Si oui : coordonnées</t>
  </si>
  <si>
    <t>Expert-comptable prévu ?</t>
  </si>
  <si>
    <t>- le montant des stocks de marchandises, matières, en-cours, produits finis dont l'entreprise devra disposer à tout moment en tenant compte des cadences d'approvisionnement, des contraintes de fabrication et du niveau d'activité</t>
  </si>
  <si>
    <t>- le montant des créances clients en attente de règlement évaluées TTC. Ce montant est bien sûr fonction de l'importance du chiffre d'affaires et des délais de paiement consentis aux clients.</t>
  </si>
  <si>
    <t xml:space="preserve">2- En ressources : </t>
  </si>
  <si>
    <t>L'entreprise  va-t-elle souscrire une assurance pour les risques clients</t>
  </si>
  <si>
    <t>Retour au compte de résultat prévisionnel</t>
  </si>
  <si>
    <t>voir définition du plan de financement de départ</t>
  </si>
  <si>
    <t>voir définition du compte courant d'associé</t>
  </si>
  <si>
    <t>Voir définition des crédits bancaires à court terme</t>
  </si>
  <si>
    <t>voir définition des amortissements</t>
  </si>
  <si>
    <t>découvert</t>
  </si>
  <si>
    <t>Complèment indispensable du plan de financement de départ, le plan de financement à 3 ans permet de vérifier si la structure financière de la nouvelle entreprise se maintient et même s'améliore, malgré de nouveaux besoins durables de financement apparaissant dans le temps. Il permet d'anticiper l'évolution de sa trésorerie en fin de chacune des trois années.</t>
  </si>
  <si>
    <t>Intérêts sur court terme</t>
  </si>
  <si>
    <t>Quote-part des subventions d'investissement virée au résultat</t>
  </si>
  <si>
    <t>Divers (...............................................................................................)</t>
  </si>
  <si>
    <t>Divers (....................................................................................................)</t>
  </si>
  <si>
    <t>Appelés aussi concours de trésorerie, les crédits à court terme sont utilisés pour couvrir des besoins de trésorerie provisoires, résultant d'une insuffisance de fonds de roulement.</t>
  </si>
  <si>
    <t>Ces dépréciations sont constatées comptablement au moyen de l'amortissement, qui consiste à répartir la valeur d'origine de l'immobilisation sur le nombre d'années de son utilisation.</t>
  </si>
  <si>
    <t>N° de département</t>
  </si>
  <si>
    <t>Etudes primaires</t>
  </si>
  <si>
    <t>Licence</t>
  </si>
  <si>
    <t>Maîtrise</t>
  </si>
  <si>
    <t>Master I</t>
  </si>
  <si>
    <t>Master II</t>
  </si>
  <si>
    <t>Diplôme d'ingénieur</t>
  </si>
  <si>
    <t>Technicien</t>
  </si>
  <si>
    <t>Situation immobilière</t>
  </si>
  <si>
    <t>Agent de maîtrise</t>
  </si>
  <si>
    <t>complément</t>
  </si>
  <si>
    <t>Total</t>
  </si>
  <si>
    <t>F</t>
  </si>
  <si>
    <t>V</t>
  </si>
  <si>
    <t>Un fois incorporé tous ces éléments, le plan de financement permet d'anticiper l'évolution de la trésorerie de l'entreprise en fin d'exercice, sur les trois années et, éventuellement, d'évaluer les crédits bancaires à court terme à solliciter sans oublier de tenir compte de leur coût dans le compte de résultat qui viendra diminuer la capacité d'autofinancement.</t>
  </si>
  <si>
    <t xml:space="preserve">Titres de participation </t>
  </si>
  <si>
    <t>En effet, la location permet plus facilement de changer de matériel, lorsque celui-ci devient obsolète, l'entreprise n'ayant pas à se soucier d'une revente éventuelle.</t>
  </si>
  <si>
    <t>pour en savoir plus</t>
  </si>
  <si>
    <t>Besoin en fonds de roulement  ( B F R )</t>
  </si>
  <si>
    <t>La première règle, pour des raisons de coût évidentes, est d'aller vers l'utile et l'indispensable en n'oubliant pas que les matériels d'occasion existent.</t>
  </si>
  <si>
    <t>Choisir juste nécessite donc anticipation et réflexion. Cela renforce encore la nécessité d'une prévision précise et justifiée de l'activité.</t>
  </si>
  <si>
    <t>Conseil</t>
  </si>
  <si>
    <t>Retour aux moyens d'exploitation</t>
  </si>
  <si>
    <t>- quel sera son poids par rapport au chiffre d'affaires,</t>
  </si>
  <si>
    <t>- avec quel délai il sera encaissé ou payé</t>
  </si>
  <si>
    <t xml:space="preserve">1- En emplois : </t>
  </si>
  <si>
    <t>En contrepartie, comme la location est un service, elle a son prix. Sur la durée d'utilisation du bien, il est vraisemblable que le coût total de la location sera supérieur au coût d'acquisition.</t>
  </si>
  <si>
    <t>Fin</t>
  </si>
  <si>
    <t>Un apport en compte courant consiste pour l'associé à  prêter des fonds à l'entreprise qu'il laissera temporairement à sa disposition et qui seront comptablisés en dettes.</t>
  </si>
  <si>
    <r>
      <t xml:space="preserve">Parmi les différents indicateurs que met en évidence le compte de résultat, accordez une attention particulière à l'évolution de la </t>
    </r>
    <r>
      <rPr>
        <b/>
        <sz val="10"/>
        <color indexed="32"/>
        <rFont val="Calibri"/>
        <family val="2"/>
      </rPr>
      <t>valeur ajoutée</t>
    </r>
    <r>
      <rPr>
        <sz val="10"/>
        <color indexed="32"/>
        <rFont val="Calibri"/>
        <family val="2"/>
      </rPr>
      <t xml:space="preserve"> qui mesure la productivité, à </t>
    </r>
    <r>
      <rPr>
        <b/>
        <sz val="10"/>
        <color indexed="32"/>
        <rFont val="Calibri"/>
        <family val="2"/>
      </rPr>
      <t>l'excédent brut d'exploitation</t>
    </r>
    <r>
      <rPr>
        <sz val="10"/>
        <color indexed="32"/>
        <rFont val="Calibri"/>
        <family val="2"/>
      </rPr>
      <t xml:space="preserve"> qui mesure la rentabilité d'exploitation et à </t>
    </r>
    <r>
      <rPr>
        <b/>
        <sz val="10"/>
        <color indexed="32"/>
        <rFont val="Calibri"/>
        <family val="2"/>
      </rPr>
      <t xml:space="preserve">la </t>
    </r>
    <r>
      <rPr>
        <b/>
        <u/>
        <sz val="11"/>
        <color indexed="32"/>
        <rFont val="Calibri"/>
        <family val="2"/>
      </rPr>
      <t>capacité d'autofinancemen</t>
    </r>
    <r>
      <rPr>
        <b/>
        <u/>
        <sz val="10"/>
        <color indexed="32"/>
        <rFont val="Calibri"/>
        <family val="2"/>
      </rPr>
      <t>t</t>
    </r>
    <r>
      <rPr>
        <sz val="10"/>
        <color indexed="32"/>
        <rFont val="Calibri"/>
        <family val="2"/>
      </rPr>
      <t xml:space="preserve"> qui indique l'épargne dégagée en interne par l'entreprise et donc sa </t>
    </r>
    <r>
      <rPr>
        <b/>
        <sz val="10"/>
        <color indexed="32"/>
        <rFont val="Calibri"/>
        <family val="2"/>
      </rPr>
      <t>capacité à se créer ses propres ressources financières, c'est à dire à se financer et se développer</t>
    </r>
    <r>
      <rPr>
        <sz val="10"/>
        <color indexed="32"/>
        <rFont val="Calibri"/>
        <family val="2"/>
      </rPr>
      <t>.</t>
    </r>
  </si>
  <si>
    <t>- évaluer la dotation aux amortissements pour les investissements achetés</t>
  </si>
  <si>
    <t>- calculer également les charges financières induites par le "financement externe".</t>
  </si>
  <si>
    <t>Il faut donc s'interroger sur chacun de ces éléments et prévoir, de façon réaliste :</t>
  </si>
  <si>
    <r>
      <t xml:space="preserve">On ne saurait trop souligner l'importance que revêt cette notion de </t>
    </r>
    <r>
      <rPr>
        <b/>
        <sz val="11"/>
        <color indexed="32"/>
        <rFont val="Calibri"/>
        <family val="2"/>
      </rPr>
      <t>capacité d'autofinancement</t>
    </r>
    <r>
      <rPr>
        <sz val="10"/>
        <color indexed="32"/>
        <rFont val="Calibri"/>
        <family val="2"/>
      </rPr>
      <t xml:space="preserve">. Par simplification on la calcule de la façon suivante : </t>
    </r>
    <r>
      <rPr>
        <b/>
        <sz val="10"/>
        <color indexed="32"/>
        <rFont val="Calibri"/>
        <family val="2"/>
      </rPr>
      <t>CAF = Résultat net + Dotation aux amortissements et provisions.</t>
    </r>
  </si>
  <si>
    <r>
      <t>Le</t>
    </r>
    <r>
      <rPr>
        <b/>
        <sz val="10"/>
        <color indexed="32"/>
        <rFont val="Calibri"/>
        <family val="2"/>
      </rPr>
      <t xml:space="preserve"> crédit-bail </t>
    </r>
    <r>
      <rPr>
        <sz val="10"/>
        <color indexed="32"/>
        <rFont val="Calibri"/>
        <family val="2"/>
      </rPr>
      <t>est un mode de financement spécifique. L'organisme de crédit-bail achète le matériel et le loue à l'entreprise. Le contrat signé fixe la durée et le montant des loyers, et à son terme, offre au locataire la possibilité d'acquérir le matériel pour un prix convenu.</t>
    </r>
  </si>
  <si>
    <t>Il est impératif de bien mesurer l'ensemble des moyens en équipements, en personnel et des autres moyens notamment incorporels et financiers qu'il faut rassembler pour pouvoir lancer et mener son activité. Trois types d'investissement sont possibles :</t>
  </si>
  <si>
    <t>- le crédit-bail permet un financement à 100% du montant de l'investissement, ce qui n'est pas le cas des prêts, en règle générale.</t>
  </si>
  <si>
    <t>- si les conditions du contrat sont bien négociés, l'entreprise peut en sortir par anticipation, en achetant le bien.</t>
  </si>
  <si>
    <t>- enfin, les biens acquis en crédit-bail ne sont pas inclus dans le bilan de l'entreprise, puisqu'elle n'en est pas propriétaire, ce qui limite l'endettement apparent.</t>
  </si>
  <si>
    <t>3/ Quelle politique d'amortissement ?</t>
  </si>
  <si>
    <t>L'entreprise, pour s'assurer la disposition d'un immeuble ou d'un équipement a le choix entre trois solutions, qui présentent chacune des avantages et des inconvénients :</t>
  </si>
  <si>
    <t>Le  tableau Compte de résultat qui vous est proposé dans ce dossier identifie :</t>
  </si>
  <si>
    <t>Pour connaître les modalités d'intervention d'Herrikoa , reportez-vous à :</t>
  </si>
  <si>
    <t>modalités d'intervention d'Herrikoa</t>
  </si>
  <si>
    <t xml:space="preserve">Depuis le  </t>
  </si>
  <si>
    <t>Situation professionnelle actuelle</t>
  </si>
  <si>
    <t xml:space="preserve">3 - Quel financement ? </t>
  </si>
  <si>
    <t xml:space="preserve">2 - Quand investir ? </t>
  </si>
  <si>
    <t xml:space="preserve">1 - Que choisir ? </t>
  </si>
  <si>
    <t>Amortissements</t>
  </si>
  <si>
    <t>Si le non respect de cette règle fait obstacle, le recours au crédit-bail peut être une solution.</t>
  </si>
  <si>
    <t>Si non, pourquoi ?</t>
  </si>
  <si>
    <t>Production immobilisée</t>
  </si>
  <si>
    <t>Formations et qualifications</t>
  </si>
  <si>
    <t>A I D E S   &amp;   S U B V E N T I O N S</t>
  </si>
  <si>
    <t>Effectif  concerné</t>
  </si>
  <si>
    <t>- les investissements complémentaires calculés à partir des données relatives aux moyens d'exploitation préalablement renseignées,</t>
  </si>
  <si>
    <t>- le besoin en fonds de roulement ou éventuellement le dégagement de fonds de roulement et leur évolution,</t>
  </si>
  <si>
    <t>Le plan de financement de départ indique le montant des capitaux à réunir pour pouvoir lancer le projet dans de bonnes conditions. Il a pour objet d'évaluer :</t>
  </si>
  <si>
    <t>Pour chacune des trois années, Il ne vous restera plus qu'à y incorporer, au niveau des besoins, les remboursements du capital des avances remboursables, des comptes courants et des emprunts ainsi que les éventuels versements de dividendes prévus, et les nouvelles ressources complémentaires prévues, sans oublier les incidences que ces financements peuvent entraîner au niveau des charges financières du compte de résultat avec, pour conséquence, une diminution de la capacité d'autofinancement.</t>
  </si>
  <si>
    <t>* dans toutes entreprises implantées en Pays Basque, ayant adopté la forme juridique de SARL, SA, SAS (classiques ou en SCOP), qu'elles aient une activité artisanale, commerciale, de services ou industrielle.</t>
  </si>
  <si>
    <t>Coût d'achat des matières et marchandises consommées</t>
  </si>
  <si>
    <t>Total charges externes</t>
  </si>
  <si>
    <t>Total charges financières</t>
  </si>
  <si>
    <t xml:space="preserve">concerné </t>
  </si>
  <si>
    <t xml:space="preserve">Effectif </t>
  </si>
  <si>
    <t>concerné</t>
  </si>
  <si>
    <t>La durée d'amortissement est fixée en fonction de la durée probable d'utilisation du bien.</t>
  </si>
  <si>
    <r>
      <t>Le tableau qui vous est proposé dans ce dossier reprend automatiquement, pour l</t>
    </r>
    <r>
      <rPr>
        <b/>
        <sz val="9"/>
        <color indexed="32"/>
        <rFont val="Calibri"/>
        <family val="2"/>
      </rPr>
      <t>a première année</t>
    </r>
    <r>
      <rPr>
        <sz val="9"/>
        <color indexed="32"/>
        <rFont val="Calibri"/>
        <family val="2"/>
      </rPr>
      <t xml:space="preserve">, le contenu du plan de financement de départ et calcule, automatiquement aussi, pour </t>
    </r>
    <r>
      <rPr>
        <b/>
        <sz val="9"/>
        <color indexed="32"/>
        <rFont val="Calibri"/>
        <family val="2"/>
      </rPr>
      <t>les 3 années</t>
    </r>
    <r>
      <rPr>
        <sz val="9"/>
        <color indexed="32"/>
        <rFont val="Calibri"/>
        <family val="2"/>
      </rPr>
      <t xml:space="preserve"> :</t>
    </r>
  </si>
  <si>
    <r>
      <t xml:space="preserve">Toutefois, lorsqu'ils ont décidé de retenir une valeur différente de celle proposée par le commissaire aux apports - une valeur supérieure en pratique - ou de renoncer à son intervention, les futurs associés sont, pendant 5 ans, </t>
    </r>
    <r>
      <rPr>
        <b/>
        <sz val="10"/>
        <color indexed="32"/>
        <rFont val="Calibri"/>
        <family val="2"/>
      </rPr>
      <t>solidairement responsables</t>
    </r>
    <r>
      <rPr>
        <sz val="10"/>
        <color indexed="32"/>
        <rFont val="Calibri"/>
        <family val="2"/>
      </rPr>
      <t xml:space="preserve"> à l'égard des tiers de la valeur attribuée aux apports en nature.</t>
    </r>
  </si>
  <si>
    <r>
      <t xml:space="preserve">Ces financements peuvent être apportés en </t>
    </r>
    <r>
      <rPr>
        <b/>
        <sz val="10"/>
        <color indexed="32"/>
        <rFont val="Calibri"/>
        <family val="2"/>
      </rPr>
      <t xml:space="preserve">numéraire </t>
    </r>
    <r>
      <rPr>
        <sz val="10"/>
        <color indexed="32"/>
        <rFont val="Calibri"/>
        <family val="2"/>
      </rPr>
      <t xml:space="preserve">(somme d'argent) ou en </t>
    </r>
    <r>
      <rPr>
        <b/>
        <sz val="10"/>
        <color indexed="32"/>
        <rFont val="Calibri"/>
        <family val="2"/>
      </rPr>
      <t>nature.</t>
    </r>
  </si>
  <si>
    <r>
      <t xml:space="preserve">Ces apports peuvent être en </t>
    </r>
    <r>
      <rPr>
        <b/>
        <sz val="10"/>
        <color indexed="32"/>
        <rFont val="Calibri"/>
        <family val="2"/>
      </rPr>
      <t>capital</t>
    </r>
    <r>
      <rPr>
        <sz val="10"/>
        <color indexed="32"/>
        <rFont val="Calibri"/>
        <family val="2"/>
      </rPr>
      <t xml:space="preserve"> ou en </t>
    </r>
    <r>
      <rPr>
        <b/>
        <sz val="10"/>
        <color indexed="32"/>
        <rFont val="Calibri"/>
        <family val="2"/>
      </rPr>
      <t>compte courant</t>
    </r>
    <r>
      <rPr>
        <sz val="10"/>
        <color indexed="32"/>
        <rFont val="Calibri"/>
        <family val="2"/>
      </rPr>
      <t>.</t>
    </r>
  </si>
  <si>
    <r>
      <t xml:space="preserve">Le </t>
    </r>
    <r>
      <rPr>
        <b/>
        <sz val="10"/>
        <color indexed="32"/>
        <rFont val="Calibri"/>
        <family val="2"/>
      </rPr>
      <t>capital social</t>
    </r>
    <r>
      <rPr>
        <sz val="10"/>
        <color indexed="32"/>
        <rFont val="Calibri"/>
        <family val="2"/>
      </rPr>
      <t xml:space="preserve"> d'une société est le montant mis définitivement à la disposition de l'entreprise, à sa constitution ou ensuite, au cours du temps, par les associés qui reçoivent en échange des parts sociales ou des actions. </t>
    </r>
  </si>
  <si>
    <t>Personne(s) à charge</t>
  </si>
  <si>
    <t>Ecole supérieure de commerce</t>
  </si>
  <si>
    <t>Cadre commercial</t>
  </si>
  <si>
    <t>Cadre de gestion</t>
  </si>
  <si>
    <t>Cadre technique</t>
  </si>
  <si>
    <r>
      <t xml:space="preserve">Attention </t>
    </r>
    <r>
      <rPr>
        <sz val="10"/>
        <color indexed="32"/>
        <rFont val="Calibri"/>
        <family val="2"/>
      </rPr>
      <t>: tous les biens ne peuvent pas être amortis en dégressif. Sont notamment exclus :</t>
    </r>
  </si>
  <si>
    <t>Détermination de l'impasse ou de l'excédent en résultant.</t>
  </si>
  <si>
    <t>Le plan de financement ne peut être construit que par tâtonnement. La démarche générale de son élaboration, qui est une démarche itérative, peut se schématiser de la manière suivante :</t>
  </si>
  <si>
    <t>4ème étape</t>
  </si>
  <si>
    <r>
      <t>Amortir rapidement -</t>
    </r>
    <r>
      <rPr>
        <sz val="10"/>
        <color indexed="32"/>
        <rFont val="Calibri"/>
        <family val="2"/>
      </rPr>
      <t>durée courte et dégressif si possible- cela diminue le résultat et, si celui-ci reste néanmoins positif et est imposable, cela se traduit par une diminution de l'impôt sur les bénéfices à payer.</t>
    </r>
  </si>
  <si>
    <t>Pour cela, il faut avoir préalablement établir son compte de résultat prévisionnel, déterminé la durée du cycle d'exploitation et estimé les délais de paiement à consentir aux clients et ceux qu'il sera possible d'obtenir des fournisseurs. Cela implique de bien connaître son "métier" et la situation de l'entreprise sur son marché. Il faut donc se référer aux normes de la profession en ce qui concerne les stocks comme en ce qui concerne les pratiques en matière de réglement des clients et des fournisseurs. Ensuite, le chiffrage n'est qu'une question de méthode.</t>
  </si>
  <si>
    <r>
      <t>La méthode de calcul retenue consiste à traduire toutes ses composantes en une unité commune, le "</t>
    </r>
    <r>
      <rPr>
        <u/>
        <sz val="10"/>
        <color indexed="32"/>
        <rFont val="Calibri"/>
        <family val="2"/>
      </rPr>
      <t>jour de chiffre d'affaires hors taxes</t>
    </r>
    <r>
      <rPr>
        <sz val="10"/>
        <color indexed="32"/>
        <rFont val="Calibri"/>
        <family val="2"/>
      </rPr>
      <t>". L'intérêt de cette approche, outre la facilité des calculs ultérieurs, c'est que, grâce à cette unité commune, on prend conscience du fait que les différentes composantes du BFR ne pésent pas du tout le même "</t>
    </r>
    <r>
      <rPr>
        <b/>
        <sz val="10"/>
        <color indexed="32"/>
        <rFont val="Calibri"/>
        <family val="2"/>
      </rPr>
      <t>poids financier</t>
    </r>
    <r>
      <rPr>
        <sz val="10"/>
        <color indexed="32"/>
        <rFont val="Calibri"/>
        <family val="2"/>
      </rPr>
      <t>".</t>
    </r>
  </si>
  <si>
    <t>Il constitue une garantie de la liquidité de l'entreprise, une sorte de coussin de sécurité financière. Plus il est important, plus grande est cette garantie.</t>
  </si>
  <si>
    <t>30 jours nets</t>
  </si>
  <si>
    <t>30 jours fin de mois</t>
  </si>
  <si>
    <t>60 jours nets</t>
  </si>
  <si>
    <t>60 jours fin de mois</t>
  </si>
  <si>
    <r>
      <t xml:space="preserve">1 - D'une part, le montant des </t>
    </r>
    <r>
      <rPr>
        <b/>
        <sz val="10"/>
        <color indexed="32"/>
        <rFont val="Calibri"/>
        <family val="2"/>
      </rPr>
      <t xml:space="preserve">besoins de financement durables </t>
    </r>
    <r>
      <rPr>
        <sz val="10"/>
        <color indexed="32"/>
        <rFont val="Calibri"/>
        <family val="2"/>
      </rPr>
      <t>qu'engendre le projet et qui comprennent les frais d'établissement, les investissements matériels et immatériels, les versements de dépôts  et cautionnements ainsi que le</t>
    </r>
    <r>
      <rPr>
        <b/>
        <sz val="10"/>
        <color indexed="32"/>
        <rFont val="Calibri"/>
        <family val="2"/>
      </rPr>
      <t xml:space="preserve"> fonds de roulement de départ </t>
    </r>
    <r>
      <rPr>
        <sz val="10"/>
        <color indexed="32"/>
        <rFont val="Calibri"/>
        <family val="2"/>
      </rPr>
      <t xml:space="preserve"> permettant de faire face aux à-coups d'activité et aux décalages de trésorerie liés aux aléas du démarrage.</t>
    </r>
  </si>
  <si>
    <r>
      <t>Herrikoa</t>
    </r>
    <r>
      <rPr>
        <sz val="10"/>
        <color indexed="32"/>
        <rFont val="Calibri"/>
        <family val="2"/>
      </rPr>
      <t xml:space="preserve"> contribue à leur renforcement :</t>
    </r>
  </si>
  <si>
    <r>
      <t xml:space="preserve">- ensuite les ressources externes, en principe de nature bancaire, qu'il faudra </t>
    </r>
    <r>
      <rPr>
        <b/>
        <sz val="10"/>
        <color indexed="32"/>
        <rFont val="Calibri"/>
        <family val="2"/>
      </rPr>
      <t>emprunter.</t>
    </r>
  </si>
  <si>
    <r>
      <t xml:space="preserve">- les investissements </t>
    </r>
    <r>
      <rPr>
        <b/>
        <sz val="10"/>
        <color indexed="32"/>
        <rFont val="Calibri"/>
        <family val="2"/>
      </rPr>
      <t>corporels</t>
    </r>
    <r>
      <rPr>
        <sz val="10"/>
        <color indexed="32"/>
        <rFont val="Calibri"/>
        <family val="2"/>
      </rPr>
      <t>. Il concernent tous les matériels et équipements, les terrains, bâtiments, mobiliers, véhicules … Ce sont souvent les principaux ;</t>
    </r>
  </si>
  <si>
    <t>Dirigeant(s)</t>
  </si>
  <si>
    <t>Durée en années</t>
  </si>
  <si>
    <t>Obtenu ?</t>
  </si>
  <si>
    <t>Titres participatifs</t>
  </si>
  <si>
    <t>Les avances remboursables sont des aides publiques qui prennent la forme de prêts remboursables sans intérêt et avec un franchise de remboursement. Formule utilisée notamment par l'ANVAR (Agence Nationale pour la Valorisation de la Recherche) pour le financement de l'innovation dont l'avance n'est remboursable qu'en cas de succès commercial du produit qui en a bénéficié, ainsi que par le Conseil Régional d'Aquitaine pour l'aide au financement d'investissement.</t>
  </si>
  <si>
    <t>Consulter le site du Conseil Régional d'Aquitaine</t>
  </si>
  <si>
    <t>SCOP-SARL</t>
  </si>
  <si>
    <t>Intitulé du dossier :</t>
  </si>
  <si>
    <t xml:space="preserve">Raison sociale prévue </t>
  </si>
  <si>
    <t>Capital social prévu</t>
  </si>
  <si>
    <t>Réussir sa création, c'est d'abord facturer au prix du marché et ensuite couvrir ses charges. Ces deux conditions sont complémentaires et indissociables.</t>
  </si>
  <si>
    <t>Retour</t>
  </si>
  <si>
    <t>HERRIKOA, qui se propose d'être l'un de vos  partenaires privilégiés, a conçu ce dossier dans le but de vous permettre de juger de la faisabilité et de la viabilité du projet</t>
  </si>
  <si>
    <t>1/ le remboursement par annuités constantes</t>
  </si>
  <si>
    <t>Ce dossier ne constitue pas un cadre rigide, certaines questions peuvent ne pas vous concerner. Bien entendu vous l'adapterez à votre projet. Par contre, nous vous conseillons de respecter l'ordonnancement des differentes étapes que nous vous proposons dans ce dossier.</t>
  </si>
  <si>
    <t>Délai moyen de votre secteur d'activité</t>
  </si>
  <si>
    <t>Pourquoi cet équilibre ?</t>
  </si>
  <si>
    <t>Est-ce que mon projet est viable ou non ?</t>
  </si>
  <si>
    <t>Il faudra donc pour chacune des trois années :</t>
  </si>
  <si>
    <t>Agencements, aménagements et installations              10 à 20 ans                        5 à 10%</t>
  </si>
  <si>
    <t>MCV</t>
  </si>
  <si>
    <t>* à différents stades de la vie de l'entreprise : création, développement, restructuration, transmission</t>
  </si>
  <si>
    <r>
      <t xml:space="preserve">L'octroi de prêts est également conditionné par la </t>
    </r>
    <r>
      <rPr>
        <b/>
        <sz val="10"/>
        <color indexed="32"/>
        <rFont val="Calibri"/>
        <family val="2"/>
      </rPr>
      <t>capacité de remboursement de l'entreprise</t>
    </r>
    <r>
      <rPr>
        <sz val="10"/>
        <color indexed="32"/>
        <rFont val="Calibri"/>
        <family val="2"/>
      </rPr>
      <t>. On ne saurait trop insister sur l'importance de cette notion. Il faut se souvenir que tout remboursement d'emprunt comporte des intérêts, en plus du capital emprunté.</t>
    </r>
  </si>
  <si>
    <t>- soit du capital, seuls les intérêts étant payés pendant le délai de la franchise ;</t>
  </si>
  <si>
    <t>- soit des intérêts et du capital (plus difficile à obtenir), les intérêts de la période de franchise venant alors s'ajouter au capital nominal emprunté.</t>
  </si>
  <si>
    <r>
      <t>Le troisième équilibre à respecter c'est que l</t>
    </r>
    <r>
      <rPr>
        <b/>
        <sz val="10"/>
        <color indexed="32"/>
        <rFont val="Calibri"/>
        <family val="2"/>
      </rPr>
      <t>es fonds propres doivent être suffisants</t>
    </r>
    <r>
      <rPr>
        <sz val="10"/>
        <color indexed="32"/>
        <rFont val="Calibri"/>
        <family val="2"/>
      </rPr>
      <t>. A l'idéal, leur montant doit être au moins égal au montant des capitaux empruntés.</t>
    </r>
  </si>
  <si>
    <r>
      <t xml:space="preserve">Le deuxième équilibre à respecter c'est que </t>
    </r>
    <r>
      <rPr>
        <b/>
        <sz val="10"/>
        <color indexed="32"/>
        <rFont val="Calibri"/>
        <family val="2"/>
      </rPr>
      <t>tout investissement doit être financé par une ressource d'une durée équivalente à son utilisation</t>
    </r>
    <r>
      <rPr>
        <sz val="10"/>
        <color indexed="32"/>
        <rFont val="Calibri"/>
        <family val="2"/>
      </rPr>
      <t>. Il ne faut donc pas financer un besoin à long terme par une ressourcet à court terme. L e financement que vous allez solliciter devra donc correspondre à la durée de vie du bien à financer.</t>
    </r>
  </si>
  <si>
    <t>Avant de solliciter un prêt, assurez-vous au préalable que l'activité de votre entreprise permettra de le rembourser</t>
  </si>
  <si>
    <r>
      <t xml:space="preserve">L'amortissement </t>
    </r>
    <r>
      <rPr>
        <b/>
        <sz val="10"/>
        <color indexed="32"/>
        <rFont val="Calibri"/>
        <family val="2"/>
      </rPr>
      <t xml:space="preserve">dégressif </t>
    </r>
    <r>
      <rPr>
        <sz val="10"/>
        <color indexed="32"/>
        <rFont val="Calibri"/>
        <family val="2"/>
      </rPr>
      <t>permet d'amortir davantage les premières années de détention du bien mais entraîne des dotations inférieures à celles obtenues par un calcul en linéaire, les dernières années. L'intérêt de cette formule est de diminuer l'impôt sur les bénéfices des premières années car elle permet un accroissement des charges déductibles. Il démarre à compter du 1er jour du mois d'acquisition ou de la fabrication du bien.</t>
    </r>
  </si>
  <si>
    <t>Comptant</t>
  </si>
  <si>
    <t>Matériel  de bureau                                                             5 à 10 ans                        10 à 20%</t>
  </si>
  <si>
    <t xml:space="preserve"> différé</t>
  </si>
  <si>
    <t>Capital</t>
  </si>
  <si>
    <t xml:space="preserve">Coefficient : </t>
  </si>
  <si>
    <t>Cotation Herrikoa :</t>
  </si>
  <si>
    <t>Utilité territoriale</t>
  </si>
  <si>
    <t>Economie</t>
  </si>
  <si>
    <t>crédit export</t>
  </si>
  <si>
    <t>Type de clientèle</t>
  </si>
  <si>
    <t>Administrations</t>
  </si>
  <si>
    <t>Grossistes</t>
  </si>
  <si>
    <t>Détaillants</t>
  </si>
  <si>
    <t>Trésorerie nette</t>
  </si>
  <si>
    <t>Les emprunts sont les moyens de financement bancaires à moyen et long terme destinés à financer l'achat d'immobilisations (bâtiments, matériel, outillage, installations, mobilier) pour leur prix hors taxe. Ils constituent pour l'entreprise des dettes remboursables selon un échéancier déterminé. Leur montant dépendra du niveau des fonds propres de l'entreprise et de sa capacité de remboursement.</t>
  </si>
  <si>
    <t>Plan de financement à 3 ans</t>
  </si>
  <si>
    <t>Une bonne structure financière est une des conditions de longue vie pour les nouvelles entreprises.</t>
  </si>
  <si>
    <t>A titre indicatif, voici les fourchettes de durées et taux d'amortissements  les plus couramment retenues pour une utilisation normale :</t>
  </si>
  <si>
    <t>Déterminer le montant du besoin financier d'exploitation (appelé communément Besoin en Fonds de Roulement) et en maîtriser l'évolution suppose de bien connaître chacune de ses composantes qui sont, pour l'essentiel :</t>
  </si>
  <si>
    <t>Marge sur coûts variables</t>
  </si>
  <si>
    <t>Intérêts sur emprunts et compte-courants</t>
  </si>
  <si>
    <t>Effectif total</t>
  </si>
  <si>
    <t>Montant</t>
  </si>
  <si>
    <t>Les emprunts peuvent être remboursés de différentes façons. Les deux plus fréquentes sont :</t>
  </si>
  <si>
    <t>En règle générale, le montant des emprunts ne peut pas excéder le montant des fonds propres. Mais cette règle varie en fonction des garanties que vous pouvez fournir. Celles-ci peuvent être liées à l'objet du financement - matériel revendable en cas d'échec - ou à l'appui d'un organisme de garantie comme la Sofaris par exemple ou d'une garantie personnelle (caution). Si ces garanties sont bonnes vous pouvez espérer obtenir jusqu'à deux fois le montant des fonds propres. Ce ratio endettement/fonds propres est appelé capacité d'emprunt.</t>
  </si>
  <si>
    <t>Dans les deux cas, il est possible d'obtenir une franchise, qui est un différé ou un report de remboursement :</t>
  </si>
  <si>
    <t>Emprunts</t>
  </si>
  <si>
    <t>Des fonds propres suffisants sont à la fois un gage de pérennité pour une entreprise et le meilleur levier pour obtenir des crédits bancaires</t>
  </si>
  <si>
    <t>2/ le remboursement en capital  constant</t>
  </si>
  <si>
    <t>tél Herrikoa : 05-59.25.37.30       Fax : 05-59.25.30.34</t>
  </si>
  <si>
    <t>Pour une entreprise qui paie l'impôt sur les sociétés, compte tenu de l'avantage fiscal évoqué plus haut, le coût du crédi-bail est comparable au coût d'un financement par emprunt.</t>
  </si>
  <si>
    <t>Deux critères doivent principalement vous guider dans votre réflexion :</t>
  </si>
  <si>
    <t>Frais d'établissement                                                          1 à 5 ans                          20 à 100%</t>
  </si>
  <si>
    <t>D</t>
  </si>
  <si>
    <t>Employé(e)</t>
  </si>
  <si>
    <t>Terrains</t>
  </si>
  <si>
    <t>Bâtiments</t>
  </si>
  <si>
    <t>La dotation aux amortissements n'est qu'une écriture comptable, elle ne se traduit pas par une sortie d'argent. Dans le compte de résultat, elle constitue une charge déductible du résultat imposable. Le fisc contrôle donc de près les conditions dans lesquelles les entreprises amortissent leurs immobilisations</t>
  </si>
  <si>
    <t>Adresse</t>
  </si>
  <si>
    <t>la deuxième règle est de bien dimensionner son investissement en ayant à l'esprit qu'il n'est pas fait pour une courte période. IL doit correspondre aux besoins immédiats mais aussi futurs.</t>
  </si>
  <si>
    <r>
      <t xml:space="preserve">En effet, une fois ces deux éléments connus, la tentation est grande de diviser les uns par les autres et d'établir ainsi son prix de vente, en augmentant un peu le chiffre obtenu pour aboutir à un résultat positif. Mais le prix ainsi obtenu peut s'avérer trop fort et inacceptable pour la clientèle ou trop faible, privant ainsi l'entreprise de marges supplémentaires possibles. Le prix de vente n'est donc pas fixé par un simple calcul mais surtout par le </t>
    </r>
    <r>
      <rPr>
        <b/>
        <sz val="10"/>
        <color indexed="32"/>
        <rFont val="Calibri"/>
        <family val="2"/>
      </rPr>
      <t>marché</t>
    </r>
    <r>
      <rPr>
        <sz val="10"/>
        <color indexed="32"/>
        <rFont val="Calibri"/>
        <family val="2"/>
      </rPr>
      <t>.</t>
    </r>
  </si>
  <si>
    <r>
      <t xml:space="preserve">L'amortissement </t>
    </r>
    <r>
      <rPr>
        <b/>
        <sz val="10"/>
        <color indexed="32"/>
        <rFont val="Calibri"/>
        <family val="2"/>
      </rPr>
      <t>linéaire,</t>
    </r>
    <r>
      <rPr>
        <sz val="10"/>
        <color indexed="32"/>
        <rFont val="Calibri"/>
        <family val="2"/>
      </rPr>
      <t xml:space="preserve"> comme son nom l'indique, est constant dans le temps. La dotation annuelle s'obtient en divisant le coût d'acquisition hors taxe du bien par le nombre d'années d'utilisation. Pour la première année, la dotation est réduite prorata temporis à compter du jour de la mise en service du bien.</t>
    </r>
  </si>
  <si>
    <t xml:space="preserve">         Acheter</t>
  </si>
  <si>
    <t xml:space="preserve">         Louer</t>
  </si>
  <si>
    <t xml:space="preserve">         Prendre le bien en crédit-bail</t>
  </si>
  <si>
    <r>
      <t xml:space="preserve">* par une participation directe, </t>
    </r>
    <r>
      <rPr>
        <b/>
        <sz val="10"/>
        <color indexed="32"/>
        <rFont val="Calibri"/>
        <family val="2"/>
      </rPr>
      <t xml:space="preserve">minoritaire </t>
    </r>
    <r>
      <rPr>
        <sz val="10"/>
        <color indexed="32"/>
        <rFont val="Calibri"/>
        <family val="2"/>
      </rPr>
      <t>(maxi 40% des droits de vote) et</t>
    </r>
    <r>
      <rPr>
        <b/>
        <sz val="10"/>
        <color indexed="32"/>
        <rFont val="Calibri"/>
        <family val="2"/>
      </rPr>
      <t xml:space="preserve"> temporaire</t>
    </r>
    <r>
      <rPr>
        <sz val="10"/>
        <color indexed="32"/>
        <rFont val="Calibri"/>
        <family val="2"/>
      </rPr>
      <t xml:space="preserve"> (maxi 7 ans) au capital de l'entreprise</t>
    </r>
  </si>
  <si>
    <r>
      <t xml:space="preserve">* par un apport </t>
    </r>
    <r>
      <rPr>
        <b/>
        <sz val="10"/>
        <color indexed="32"/>
        <rFont val="Calibri"/>
        <family val="2"/>
      </rPr>
      <t>complémentaire</t>
    </r>
    <r>
      <rPr>
        <sz val="10"/>
        <color indexed="32"/>
        <rFont val="Calibri"/>
        <family val="2"/>
      </rPr>
      <t xml:space="preserve"> en compte courant d'associé rémunéré et remboursable entre 3 et 5 ans</t>
    </r>
  </si>
  <si>
    <t>Dans le cadre de son exploitation courante en effet, l'entreprise est amenée à faire des avances de fonds (stockage matières, marchandises, en-cours de production, produits finis ….) avant de vendre ses produits. La durée du cycle d'exploitation  (fabrication-commercialisation) est plus ou moins longue et pendant ce temps il faudra payer  les salaires et autres charges diverses avant de commencer à vendre. Il va sans dire que plus ce cycle est long et plus les besoins financiers augmentent. De plus, il est souvent d'usage d'accorder des délais de paiement aux clients, ce qui génère aussi des besoins financiers. Ceux-ci pourront être atténués par des ressources provenant  principalement, des délais de paiement qu'elle obtiendra elle-même de ses fournisseurs.</t>
  </si>
  <si>
    <t>Séparation de biens</t>
  </si>
  <si>
    <t>Sans contrat</t>
  </si>
  <si>
    <t>Diplôme</t>
  </si>
  <si>
    <t>Qualification</t>
  </si>
  <si>
    <t>CAP-BEP</t>
  </si>
  <si>
    <t>BTS-DUT</t>
  </si>
  <si>
    <t>Ouvrier non qualifié</t>
  </si>
  <si>
    <t>Ouvrier qualifié</t>
  </si>
  <si>
    <t>Stages suivis dans la perpective de créer une entreprise</t>
  </si>
  <si>
    <t>Industrie</t>
  </si>
  <si>
    <t>SCOP-SA</t>
  </si>
  <si>
    <t>Début</t>
  </si>
  <si>
    <t>Plan d'embauche</t>
  </si>
  <si>
    <t>Effectif</t>
  </si>
  <si>
    <t>Frais de constitution</t>
  </si>
  <si>
    <t>%</t>
  </si>
  <si>
    <t>clients</t>
  </si>
  <si>
    <t>* le montant de ce qu'il sera possible de demander aux banquiers dépendra directement du montant des fonds propres. C'est le levier de l'endettement. Et de plus, un rapport endettement/fonds propres faible vous permettra de limiter vos garanties financières personnelles (caution, etc),</t>
  </si>
  <si>
    <r>
      <t xml:space="preserve">Il en résulte un premier équilibre à respecter : </t>
    </r>
    <r>
      <rPr>
        <b/>
        <sz val="10"/>
        <color indexed="32"/>
        <rFont val="Calibri"/>
        <family val="2"/>
      </rPr>
      <t>le total des ressources doit être égal au total des besoins.</t>
    </r>
  </si>
  <si>
    <r>
      <t xml:space="preserve">Quelque soit son mode d'intervention, </t>
    </r>
    <r>
      <rPr>
        <b/>
        <i/>
        <sz val="10"/>
        <color indexed="32"/>
        <rFont val="Calibri"/>
        <family val="2"/>
      </rPr>
      <t>Herrikoa</t>
    </r>
    <r>
      <rPr>
        <sz val="10"/>
        <color indexed="32"/>
        <rFont val="Calibri"/>
        <family val="2"/>
      </rPr>
      <t xml:space="preserve"> limite sa contribution financière globale, qui ne peut excéder la somme de 75 000 euros par dossier et 150 000  euros par entreprise, au montant total des apports des associés autres que les partenaires financiers.</t>
    </r>
  </si>
  <si>
    <t>Les loyers de crédit-bail comprennent à la fois l'amortissement du bien et les frais financiers correspondant à son financement.</t>
  </si>
  <si>
    <t>Les avantages de cette formule sont multiples :</t>
  </si>
  <si>
    <t>que vous aurez modifiées pour tenir compte des nouveaux éléments tels que les intérêts des financements externes ou les redevances de crédit-bail</t>
  </si>
  <si>
    <r>
      <t xml:space="preserve">Dans la mesure du possible, </t>
    </r>
    <r>
      <rPr>
        <b/>
        <i/>
        <sz val="10"/>
        <color indexed="32"/>
        <rFont val="Calibri"/>
        <family val="2"/>
      </rPr>
      <t>Herrikoa</t>
    </r>
    <r>
      <rPr>
        <sz val="10"/>
        <color indexed="32"/>
        <rFont val="Calibri"/>
        <family val="2"/>
      </rPr>
      <t xml:space="preserve"> peut également intervenir par souscription d'obligations convertibles en actions et titres participatifs (ces derniers étant légalement réservés au secteur coopératif)</t>
    </r>
  </si>
  <si>
    <t>fournisseurs</t>
  </si>
  <si>
    <t>Attention : il se peut que le banquier prévienne directement le client de l'entreprise que la créance lui a été cédée, en lui demandant de la lui régler directement. Cette procédure de notification est tout à fait normale, même si elle n'est pas toujours du meilleur effet d'un point de vue commercial.</t>
  </si>
  <si>
    <t>voir définition du besoin en fonds de roulement</t>
  </si>
  <si>
    <t>Attention !  La majorité des échecs des jeunes entreprises est due au manque de fonds propres.</t>
  </si>
  <si>
    <t>Ils peuvent revêtir de très nombreuses modalités, mais on peut les regrouper en deux grandes catégories : les crédits "en blanc" et les crédits de mobilisation de créances commerciales.</t>
  </si>
  <si>
    <t xml:space="preserve"> Les deux principales causes du non respect des objectifs sont :</t>
  </si>
  <si>
    <t>Matériel  informatique                                                        3 à 5 ans                          20 à 33,33%</t>
  </si>
  <si>
    <t>Type de financements</t>
  </si>
  <si>
    <t xml:space="preserve">Origine </t>
  </si>
  <si>
    <t>Nature du bien neuf                                           Durée d'amortissement                Taux</t>
  </si>
  <si>
    <t xml:space="preserve">- La solidité financière de l'entreprise prévue grâce au plan de financement initial se poursuivra-t-elle au fur et à mesure du développement de l'affaire ?  </t>
  </si>
  <si>
    <t>* une trop grande dépendance à l'égard des banques est dangereuse sur bien des points. Outre le fait que trop de dettes entraîne trop de frais financiers, un endettement excessif peut avoir pour conséquence de diminuer votre marge de manœuvre et donc votre pouvoir de décision dans l'entreprise.</t>
  </si>
  <si>
    <t>Veuf(ve)</t>
  </si>
  <si>
    <r>
      <t>Amortir lentement,</t>
    </r>
    <r>
      <rPr>
        <sz val="10"/>
        <color indexed="32"/>
        <rFont val="Calibri"/>
        <family val="2"/>
      </rPr>
      <t xml:space="preserve"> et en linéaire, cela majore le résultat, et donc éventuellement le résultat imposable, au départ.</t>
    </r>
  </si>
  <si>
    <t>A noter qu'il est difficile d'obtenir plus de l'équivalent d'un mois de chiffre d'affaires TTC de concours bancaires à court terme.</t>
  </si>
  <si>
    <t>A partir de votre prévision d'activité, détermination des besoins à financer qui comprennent  les investissement projetés et le Besoin en Fonds de Roulement.</t>
  </si>
  <si>
    <t>Production totale</t>
  </si>
  <si>
    <t>Production stockée</t>
  </si>
  <si>
    <t>II - E N  C R E D I T   B A I L</t>
  </si>
  <si>
    <t>Etat</t>
  </si>
  <si>
    <t>La durée de l'emprunt doit être équivalente à la durée d'utilisation du bien à financer. Selon la nature des besoins à financer, cette durée varie de 5 à 20 ans.</t>
  </si>
  <si>
    <t>Début d'activité</t>
  </si>
  <si>
    <t>* comprendre rapidement de quoi il s'agit,</t>
  </si>
  <si>
    <t>* évaluer la valeur de la préparation du projet,</t>
  </si>
  <si>
    <t>* prendre position sur le projet</t>
  </si>
  <si>
    <t>Il devra donc être clair, complet, concis, soigné et rédigé dans un style simple et facilement compréhensible pour susciter un intérêt favorable chez le lecteur.</t>
  </si>
  <si>
    <t>voir définition du  fonds de roulement</t>
  </si>
  <si>
    <t>L'expérience prouve que beaucoup d'échecs auraient pu être évités avec un minimum de réflexion.</t>
  </si>
  <si>
    <t>Les principales causes de défaillances sont :</t>
  </si>
  <si>
    <t>- ne rien oublier et valoriser correctement toutes les charges de fonctionnement</t>
  </si>
  <si>
    <t>- Quels sont les capitaux nécessaires pour lancer le projet et pourrais-je les réunir ?</t>
  </si>
  <si>
    <t>- L'activité prévue va-t-elle sécréter suffisamment de produits pour couvrir les charges ?</t>
  </si>
  <si>
    <r>
      <t xml:space="preserve">Pour pallier cet inconvénient, et autoriser en plus la mobilisation auprès du banquier des ventes payables par chèque ou par virement, d'autres formes de crédit de mobilisation des créances commerciales ont été mises au point. Parmi elles, la plus utilisée, est le crédit </t>
    </r>
    <r>
      <rPr>
        <b/>
        <sz val="10"/>
        <color indexed="32"/>
        <rFont val="Calibri"/>
        <family val="2"/>
      </rPr>
      <t>Dailly</t>
    </r>
    <r>
      <rPr>
        <sz val="10"/>
        <color indexed="32"/>
        <rFont val="Calibri"/>
        <family val="2"/>
      </rPr>
      <t xml:space="preserve"> (du nom du sénateur qui a proposé la loi qui lui sert de support juridique).</t>
    </r>
  </si>
  <si>
    <r>
      <t xml:space="preserve">Le </t>
    </r>
    <r>
      <rPr>
        <b/>
        <sz val="10"/>
        <color indexed="32"/>
        <rFont val="Calibri"/>
        <family val="2"/>
      </rPr>
      <t>Dailly</t>
    </r>
    <r>
      <rPr>
        <sz val="10"/>
        <color indexed="32"/>
        <rFont val="Calibri"/>
        <family val="2"/>
      </rPr>
      <t xml:space="preserve"> fonctionne comme un découvert qui serait garanti par le transfert à la banque d'un ensemble de créances commerciales que détient l'entreprise sur ses clients. Concrétement, dès que les factures sont émises, l'entreprise peut établir un bordereau récapitulant ces factures et le céder à sa banque. Celle-ci permettra alors, dans la limite de l'autorisation consentie préalablement, que le compte en banque de l'entreprise passe "débiteur".</t>
    </r>
  </si>
  <si>
    <r>
      <t xml:space="preserve">Tous ces crédits à court terme font, en général, l'objet d'une </t>
    </r>
    <r>
      <rPr>
        <b/>
        <sz val="10"/>
        <color indexed="32"/>
        <rFont val="Calibri"/>
        <family val="2"/>
      </rPr>
      <t>autorisation annuelle</t>
    </r>
    <r>
      <rPr>
        <sz val="10"/>
        <color indexed="32"/>
        <rFont val="Calibri"/>
        <family val="2"/>
      </rPr>
      <t>, qui est reconsidérée à réception des bilans de l'entreprise. Il est donc impératif de prévoir ses besoins pour une année au moins, ce qui impose la nécessité d'</t>
    </r>
    <r>
      <rPr>
        <b/>
        <sz val="10"/>
        <color indexed="32"/>
        <rFont val="Calibri"/>
        <family val="2"/>
      </rPr>
      <t>établir régulièrement un plan de trésorerie.</t>
    </r>
  </si>
  <si>
    <r>
      <t>Agio</t>
    </r>
    <r>
      <rPr>
        <sz val="10"/>
        <color indexed="32"/>
        <rFont val="Calibri"/>
        <family val="2"/>
      </rPr>
      <t xml:space="preserve"> : terme bancaire pour désigner les frais financiers que supporte l'entreprise lors d'un crédit à court terme : agios d'escompte, agios de découvert. Ils devront figurer dans les charges financières du compte de résultat.</t>
    </r>
  </si>
  <si>
    <r>
      <t>Caution</t>
    </r>
    <r>
      <rPr>
        <sz val="10"/>
        <color indexed="32"/>
        <rFont val="Calibri"/>
        <family val="2"/>
      </rPr>
      <t xml:space="preserve"> : acte juridique par lequel une personne - particulier ou société - garantit le respect des engagements pris par une autre personne. Un banquier peut par exemple demander la caution personnelle du dirigeant de l'entreprise, en garantie du remboursement d'un crédit qu'il accorde. Si l'entreprise ne peut assurer ce remboursement, le dirigeant devra le faire à sa place, sur ses biens personnels.</t>
    </r>
  </si>
  <si>
    <t>- la capacité d'autofinancement ou les pertes de démarrage prévues à partir des données figurant dans le compte de résultat prévisionnel</t>
  </si>
  <si>
    <t>d'activité</t>
  </si>
  <si>
    <t>L'opération d'escompte consiste pour un banquier à avancer à l'entreprise la somme que lui doit un de ses clients dans quelques semaines, sous déduction d'agios. En contrepartie, l'entreprise lui remet la traite qui matérialise sa créance sur le client. A l'échéance de la traite, le banquier se fait payer directement par le client et obtient ainsi de lui le remboursement de son avance. A noter qu'en cas d'impayé à l'échéance, le banquier réclame le remboursement à l'entreprise : c'est donc l'entreprise qui conserve le risque d'impayé.</t>
  </si>
  <si>
    <t>C'est ce mécanisme de remboursement direct par le client de l'entreprise, renforcé par un support juridique efficace, qui diminue très sensiblement le risque du banquier. En effet, sauf incident à l'échéance, celui-ci est sûr d'être payé, si le client est solvable.</t>
  </si>
  <si>
    <t>Il serait anormal de faire supporter le coût d'acquisition d'une usine par le résultat d'un seul exercice comptable, alors que cette usine va servir pendant vingt ans ! Si tel était le cas, on imagine aisément les conséquences  sur les comptes de l'entreprise qui comptabiliserait dans ses charges l'acquisition d'un bâtiment de plusieurs millions d'euros ! Les amortissements sont utilisés pour répartir ce coût d'acquisition sur les vingt années d'utilisation. Ils sont la constatation forfaitaire et comptable de sa dépréciation dans le temps.</t>
  </si>
  <si>
    <t>- les biens achetés d'occasion</t>
  </si>
  <si>
    <t xml:space="preserve">Les logiciels peuvent faire l'objet d'un amortissement accéléré sur 12 mois. Cet amortissement exceptionnel est facultatif. </t>
  </si>
  <si>
    <t xml:space="preserve">Apports des associés </t>
  </si>
  <si>
    <t xml:space="preserve">En résumé, le plan de financement, c'est un peu la charpente du projet. Il faut donc toujours se préserver une marge de sécurité  car dans la majorité des cas, en raison des décalages de trésorerie dues au besoin en fonds de roulement et aux aléas du démarrage, l'entreprise est contrainte, souvent dans de très mauvaises conditions, à aller à la quête de capitaux complémentaires non prévus à l'origine (mais les banquiers-pompiers sont rares !). </t>
  </si>
  <si>
    <t>Le plus gros problème du non respect des hypothèses n'est pas tellement la non réalisation du chiffre d'affaires mais bien plutôt le coût du surdimensionnement de l'affaire qui en découle. En effet, beaucoup de charges fixes accompagent une création et celles-ci tomberont régulièrement, quoi qu'il arrive et une baisse du chiffre d'affaires ne pourra que très difficilement s'accompagner d'une action pour les réduire. Dès lors, deux cas se présentent. Celui de l'entreprise qui a prévu large et s'est dotée de financements suffisants pour tenir le coup et l'autre, plus fréquent, où rien n'était prévu pour supporter un "décollage" plus lent que prévu. Alors commence la course aux banques, amis .... Autant de temps qui n'est pas consacré au développement des ventes qui justement en aurait bien besoin. La plupart de ces scénarios se terminent mal, avec beaucoup de rancune et d'incompréhension de la part des créateurs, pourtant seuls responsables des erreurs de prévisions.</t>
  </si>
  <si>
    <t>voir détail</t>
  </si>
  <si>
    <r>
      <t xml:space="preserve">- mauvaise appréciation du temps nécessaire au véritable démarrage commercial de l'entreprise. Il est fréquent qu'aucune vente ne soit réalisée pendant le ou les tous premiers mois </t>
    </r>
    <r>
      <rPr>
        <b/>
        <sz val="10"/>
        <color indexed="10"/>
        <rFont val="Calibri"/>
        <family val="2"/>
      </rPr>
      <t>et il n'est pas rare que 70 à 80% du chiffre d'affaires de la première année soit réalisé les six derniers mois et que le total ne représente que 40 à 50% de ce qui était prévu.</t>
    </r>
  </si>
  <si>
    <t>% des achats</t>
  </si>
  <si>
    <t>Localisation</t>
  </si>
  <si>
    <t>- le montant des dettes fournisseurs en attente de règlement évaluées TTC, qui est fonction du volume des achats et des  délais de paiement obtenus des fournisseurs</t>
  </si>
  <si>
    <t>- mauvaise gestion du temps qui pousse le créateur à s'occuper, de façon beaucoup plus importante que prévu, de problèmes administratifs ou de gestion courante (recrutement, recherche de financement …).</t>
  </si>
  <si>
    <t>Démarrer avec le nécessaire, établir un calendrier de l'évolution de l'activité et programmer ses investissements en conséquence est la bonne solution. Des investissements prématurés peuvent coûter très cher.</t>
  </si>
  <si>
    <t>Droit au bail, fonds de commerce</t>
  </si>
  <si>
    <t>Franchise, licence</t>
  </si>
  <si>
    <t>Plus limitée dans le temps, la facilité de caisse ne dépasse pas un mois et n'est accordée que dans l'attente d'une rentrée d'argent identifiée.Techniquement, elle fonctionne comme le découvert par la possibilité de laisser votre compte en banque passer débiteur (négatif) jusqu'au montant autorisé. Son coût est similaire. Il est cependant plus facile d'obtenir une facilité de caisse, pour un motif précis, qu'un découvert, qui, lui, est accordé sans objet spécifique et pour une durée plus longue.</t>
  </si>
  <si>
    <t>Les  crédits de trésorerie par billets ne sont en général pas à la portée de l'entreprise en création ni les crédits spots.</t>
  </si>
  <si>
    <r>
      <t xml:space="preserve">Ce besoin  doit être financé par des capitaux permanents : s'il paraît naturel de financer un investissement par des fonds propres ou des dettes à long terme, il doit en être de même du besoin en fonds de roulement qui représente une "masse d'argent " immobilisée qu'il faut considérer comme un </t>
    </r>
    <r>
      <rPr>
        <b/>
        <sz val="10"/>
        <color indexed="32"/>
        <rFont val="Calibri"/>
        <family val="2"/>
      </rPr>
      <t>"investissement financier</t>
    </r>
    <r>
      <rPr>
        <sz val="10"/>
        <color indexed="32"/>
        <rFont val="Calibri"/>
        <family val="2"/>
      </rPr>
      <t>" nécessaire au fonctionnement de l'entreprise.</t>
    </r>
  </si>
  <si>
    <t>- les loyers de crédit-bail, qui s'inscrient en charges dans le compte de résultat, permettent un amortissement plus rapide des biens achetés de cette façon. Pour une entreprise qui paie l'impôt sur les sociétés, cela en retarde le paiement.</t>
  </si>
  <si>
    <r>
      <t xml:space="preserve">- En premier lieu, les </t>
    </r>
    <r>
      <rPr>
        <b/>
        <sz val="10"/>
        <color indexed="32"/>
        <rFont val="Calibri"/>
        <family val="2"/>
      </rPr>
      <t>fonds propres</t>
    </r>
    <r>
      <rPr>
        <sz val="10"/>
        <color indexed="32"/>
        <rFont val="Calibri"/>
        <family val="2"/>
      </rPr>
      <t xml:space="preserve">, c'est-à-dire les sommes apportées par les associés sous forme d'apports en capital et en compte courant, s'ils font l'objet d'un blocage, auxquelles s'ajoutent les primes et subventions d'investissements éventuels ; </t>
    </r>
  </si>
  <si>
    <r>
      <t xml:space="preserve">2 - D'autre part, le montant des </t>
    </r>
    <r>
      <rPr>
        <b/>
        <sz val="10"/>
        <color indexed="32"/>
        <rFont val="Calibri"/>
        <family val="2"/>
      </rPr>
      <t>ressources financières durables</t>
    </r>
    <r>
      <rPr>
        <sz val="10"/>
        <color indexed="32"/>
        <rFont val="Calibri"/>
        <family val="2"/>
      </rPr>
      <t xml:space="preserve"> qu'il faut apporter à l'entreprise </t>
    </r>
    <r>
      <rPr>
        <b/>
        <sz val="10"/>
        <color indexed="32"/>
        <rFont val="Calibri"/>
        <family val="2"/>
      </rPr>
      <t>pour financer la totalité de ces besoins</t>
    </r>
    <r>
      <rPr>
        <sz val="10"/>
        <color indexed="32"/>
        <rFont val="Calibri"/>
        <family val="2"/>
      </rPr>
      <t xml:space="preserve">. Elles se regroupent en deux catégories : </t>
    </r>
  </si>
  <si>
    <t>Revenus financiers attendus</t>
  </si>
  <si>
    <t>Type de garantie</t>
  </si>
  <si>
    <t>Année 1</t>
  </si>
  <si>
    <t>Année 2</t>
  </si>
  <si>
    <t>Année 3</t>
  </si>
  <si>
    <t>Permanente</t>
  </si>
  <si>
    <t>Saisonnière</t>
  </si>
  <si>
    <t>SCIC-SARL</t>
  </si>
  <si>
    <t>SCIC-SA</t>
  </si>
  <si>
    <t>SCA</t>
  </si>
  <si>
    <t>Le seuil au delà duquel l'amortissement des véhicules de tourisme n'est pas fiscalement déductible est de 18 300 euros.</t>
  </si>
  <si>
    <t>Il accordera donc beaucoup plus facilement une autorisation d'escompte qu'une autorisation de découvert, surtout lorsque les clients de l'entreprise en création sont de bonne qualité.</t>
  </si>
  <si>
    <t>escompte</t>
  </si>
  <si>
    <r>
      <t xml:space="preserve">- les investissements </t>
    </r>
    <r>
      <rPr>
        <b/>
        <sz val="10"/>
        <color indexed="32"/>
        <rFont val="Calibri"/>
        <family val="2"/>
      </rPr>
      <t>incorporels</t>
    </r>
    <r>
      <rPr>
        <sz val="10"/>
        <color indexed="32"/>
        <rFont val="Calibri"/>
        <family val="2"/>
      </rPr>
      <t>, représentés par les brevets, les fonds de commerce, les logiciels, les frais d'établissement, etc …;</t>
    </r>
  </si>
  <si>
    <t>La limite d'utilisation du crédit-bail, c'est que les organismes spécialisés dans ce type de financement sont réticents pour financer des investissements très spécifiques. Car cette formule repose en grande partie sur la garantie réelle que représente pour le crédit-bailleur la possibilité de revendre ou de louer à une autre entreprise le bien qui fait l'objet du contrat.</t>
  </si>
  <si>
    <t>Il en résulte deux règles importantes :</t>
  </si>
  <si>
    <t>* l'endettement à long et moyen terme ne doit pas excéder le total de la capacité d'autofinancement des 3 premières années,</t>
  </si>
  <si>
    <t>* les remboursements annuels du capital emprunté ne doivent pas dépasser 50% de la capacité d'autofinacement prévue pour l'année.</t>
  </si>
  <si>
    <r>
      <t xml:space="preserve">En principe, l'évaluation des apports en nature fait l'objet d'une procédure spéciale qui nécessite l'intervention d'un </t>
    </r>
    <r>
      <rPr>
        <b/>
        <sz val="10"/>
        <color indexed="32"/>
        <rFont val="Calibri"/>
        <family val="2"/>
      </rPr>
      <t>commissaire aux apports</t>
    </r>
    <r>
      <rPr>
        <sz val="10"/>
        <color indexed="32"/>
        <rFont val="Calibri"/>
        <family val="2"/>
      </rPr>
      <t xml:space="preserve"> chargé d'apprécier la valeur de ces apports. Mais les futurs associés ne sont pas tenus de retenir l'évaluation faite par le commissaire aux apports. Dans les SARL, ils peuvent, en outre, décider à l'unanimité de ne pas recourir à son intervention lorsqu'aucun apport en nature n'a une valeur supérieure à 7 500 euros et que la valeur totale de l'ensemble des apports en nature n'excède pas la moitié du capital social.</t>
    </r>
  </si>
  <si>
    <r>
      <t xml:space="preserve">Les comptables utilisent un terme générique pour les investissements dont l'entreprise est propriétaire : les </t>
    </r>
    <r>
      <rPr>
        <b/>
        <sz val="10"/>
        <color indexed="32"/>
        <rFont val="Calibri"/>
        <family val="2"/>
      </rPr>
      <t>immobilisations</t>
    </r>
    <r>
      <rPr>
        <sz val="10"/>
        <color indexed="32"/>
        <rFont val="Calibri"/>
        <family val="2"/>
      </rPr>
      <t>. On peut définir les immobilisations comme des biens destinés à rester durablement dans l'entreprise. Il faut donc pour chaque immobilisation estimer la durée d'utilisation dans l'entreprise compte tenu des dépréciations dues à l'usure, à l'évolution des techniques.</t>
    </r>
  </si>
  <si>
    <r>
      <t xml:space="preserve">C'est le </t>
    </r>
    <r>
      <rPr>
        <b/>
        <sz val="10"/>
        <color indexed="32"/>
        <rFont val="Calibri"/>
        <family val="2"/>
      </rPr>
      <t>compte de résultat</t>
    </r>
    <r>
      <rPr>
        <sz val="10"/>
        <color indexed="32"/>
        <rFont val="Calibri"/>
        <family val="2"/>
      </rPr>
      <t xml:space="preserve"> qui permet de répondre à cette question. Cette viabilité s'appréciera en opposant ce qui est produit et vendu, qu'il s'agisse de biens ou de services, avec les charges qu'engendrera l'activité. La différence, appelée résultat, devra bien sûr être positive, sinon tout de suite, du moins dans un délai acceptable car la finalité de l'activité d'une entreprise est de générer du profit, </t>
    </r>
    <r>
      <rPr>
        <b/>
        <u/>
        <sz val="10"/>
        <color indexed="32"/>
        <rFont val="Calibri"/>
        <family val="2"/>
      </rPr>
      <t>condition indispensable</t>
    </r>
    <r>
      <rPr>
        <sz val="10"/>
        <color indexed="32"/>
        <rFont val="Calibri"/>
        <family val="2"/>
      </rPr>
      <t xml:space="preserve"> à sa survie et à son développement. Un créateur ne saurait se lancer dans l'aventure sans avoir évalué la capacité de son entreprise à dégager du profit.</t>
    </r>
  </si>
  <si>
    <r>
      <t xml:space="preserve">Le compte de résultat récapitule l'ensemble des produits et des charges de l'exercice d'une entreprise. </t>
    </r>
    <r>
      <rPr>
        <sz val="10"/>
        <color indexed="32"/>
        <rFont val="Calibri"/>
        <family val="2"/>
      </rPr>
      <t>A côté des produits encaissables et des charges décaissables appelées communément recettes et dépenses, il existe également des produits et des charges qui n'entraînent pas de rentrées ou de sorties d'argent, comme, par exemple, les dotations aux amortissements.</t>
    </r>
  </si>
  <si>
    <r>
      <t>Tous les montants sont à porter</t>
    </r>
    <r>
      <rPr>
        <u/>
        <sz val="10"/>
        <color indexed="32"/>
        <rFont val="Calibri"/>
        <family val="2"/>
      </rPr>
      <t xml:space="preserve"> hors taxes.</t>
    </r>
  </si>
  <si>
    <r>
      <t xml:space="preserve">Construisez un compte de résultat </t>
    </r>
    <r>
      <rPr>
        <b/>
        <u/>
        <sz val="10"/>
        <color indexed="32"/>
        <rFont val="Calibri"/>
        <family val="2"/>
      </rPr>
      <t>cohérent</t>
    </r>
    <r>
      <rPr>
        <sz val="10"/>
        <color indexed="32"/>
        <rFont val="Calibri"/>
        <family val="2"/>
      </rPr>
      <t>. Commencez par le bâtir hors charges financières. En fonction des financements définis dans le plan de financement, vous y incoporerez ultérieurement les intérêts sur comptes courants et emprunts ainsi que les agios sur les crédits bancaires à court terme.</t>
    </r>
  </si>
  <si>
    <r>
      <t xml:space="preserve">- et les charges indépendantes du volume d'activité. Il en va ainsi des loyers, assurances, charges de personnel, amortissements, etc, et plus généralement des charges liées à la structure de l'entreprise, qualifiées de </t>
    </r>
    <r>
      <rPr>
        <b/>
        <sz val="10"/>
        <color indexed="53"/>
        <rFont val="Calibri"/>
        <family val="2"/>
      </rPr>
      <t>charges fixes (F)</t>
    </r>
    <r>
      <rPr>
        <sz val="10"/>
        <color indexed="32"/>
        <rFont val="Calibri"/>
        <family val="2"/>
      </rPr>
      <t>.</t>
    </r>
  </si>
  <si>
    <r>
      <t>Le plus connu est</t>
    </r>
    <r>
      <rPr>
        <b/>
        <sz val="10"/>
        <color indexed="32"/>
        <rFont val="Calibri"/>
        <family val="2"/>
      </rPr>
      <t xml:space="preserve"> l'escompte</t>
    </r>
    <r>
      <rPr>
        <sz val="10"/>
        <color indexed="32"/>
        <rFont val="Calibri"/>
        <family val="2"/>
      </rPr>
      <t xml:space="preserve"> (il s'agit de l'escompte des effets de commerce, à ne pas confondre avec l'escompte de règlement dont il est question dans les conditions de paiement).</t>
    </r>
  </si>
  <si>
    <t>Fin de</t>
  </si>
  <si>
    <t xml:space="preserve">Fin de </t>
  </si>
  <si>
    <r>
      <t xml:space="preserve">Cette notion de besoin en fonds de roulement est </t>
    </r>
    <r>
      <rPr>
        <b/>
        <u/>
        <sz val="10"/>
        <color indexed="32"/>
        <rFont val="Calibri"/>
        <family val="2"/>
      </rPr>
      <t>fondamentale</t>
    </r>
    <r>
      <rPr>
        <sz val="10"/>
        <color indexed="32"/>
        <rFont val="Calibri"/>
        <family val="2"/>
      </rPr>
      <t xml:space="preserve"> car elle correspond au besoin de capitaux permanents qui sont nécessaires pour financer l'exploitation courante.</t>
    </r>
  </si>
  <si>
    <r>
      <t xml:space="preserve">Le besoin en fonds de roulement est la différence entre les besoins et les ressources liés au cycle d'activité. Cette grandeur s'analyse comme étant le </t>
    </r>
    <r>
      <rPr>
        <b/>
        <u/>
        <sz val="10"/>
        <color indexed="32"/>
        <rFont val="Calibri"/>
        <family val="2"/>
      </rPr>
      <t>besoin de financement permanent</t>
    </r>
    <r>
      <rPr>
        <sz val="10"/>
        <color indexed="32"/>
        <rFont val="Calibri"/>
        <family val="2"/>
      </rPr>
      <t xml:space="preserve"> lié à l'exploitation auquel l'entreprise devra faire face pour assurer la couverture du décalage de trésorerie qui existera </t>
    </r>
    <r>
      <rPr>
        <b/>
        <u/>
        <sz val="10"/>
        <color indexed="32"/>
        <rFont val="Calibri"/>
        <family val="2"/>
      </rPr>
      <t>constamment</t>
    </r>
    <r>
      <rPr>
        <sz val="10"/>
        <color indexed="32"/>
        <rFont val="Calibri"/>
        <family val="2"/>
      </rPr>
      <t xml:space="preserve"> entre les dépenses et les recettes d'exploitation. Il gonflera avec la croissance du chiffre d'affaires.</t>
    </r>
  </si>
  <si>
    <r>
      <t xml:space="preserve">L'inconvénient de l'escompte, c'est sa relative rigidité : l'entreprise ne peut utiliser ce crédit que pour des montants et des durées correspondant exactement aux effets qu'elle remet en banque, traites émises par elle et acceptées par le client ou billets à ordre émis par le client. </t>
    </r>
    <r>
      <rPr>
        <b/>
        <sz val="10"/>
        <color indexed="32"/>
        <rFont val="Calibri"/>
        <family val="2"/>
      </rPr>
      <t>Lorsqu'on escompte un effet, c'est pour son montant total et jusqu'à son échéance. De plus la durée minimum du crédit par escompte est de 10 jours.</t>
    </r>
  </si>
  <si>
    <t>1 - les crédits en blanc</t>
  </si>
  <si>
    <t>?</t>
  </si>
  <si>
    <t>Obtenu</t>
  </si>
  <si>
    <t>Total € HT</t>
  </si>
  <si>
    <t>€ - HT</t>
  </si>
  <si>
    <t>Charges de personnel hors intérim</t>
  </si>
  <si>
    <t>Autres charges</t>
  </si>
  <si>
    <t xml:space="preserve">Total produits d'exploitation  </t>
  </si>
  <si>
    <t xml:space="preserve">Total charges d'exploitation  </t>
  </si>
  <si>
    <r>
      <t xml:space="preserve">Cette distinction permet de faire ressortir  le </t>
    </r>
    <r>
      <rPr>
        <b/>
        <u/>
        <sz val="10"/>
        <color indexed="32"/>
        <rFont val="Calibri"/>
        <family val="2"/>
      </rPr>
      <t>point mort</t>
    </r>
    <r>
      <rPr>
        <sz val="10"/>
        <color indexed="32"/>
        <rFont val="Calibri"/>
        <family val="2"/>
      </rPr>
      <t xml:space="preserve"> appelé également </t>
    </r>
    <r>
      <rPr>
        <b/>
        <sz val="10"/>
        <color indexed="32"/>
        <rFont val="Calibri"/>
        <family val="2"/>
      </rPr>
      <t>seuil de</t>
    </r>
    <r>
      <rPr>
        <sz val="10"/>
        <color indexed="32"/>
        <rFont val="Calibri"/>
        <family val="2"/>
      </rPr>
      <t xml:space="preserve"> </t>
    </r>
    <r>
      <rPr>
        <b/>
        <sz val="10"/>
        <color indexed="32"/>
        <rFont val="Calibri"/>
        <family val="2"/>
      </rPr>
      <t xml:space="preserve">rentabilité </t>
    </r>
    <r>
      <rPr>
        <sz val="10"/>
        <color indexed="32"/>
        <rFont val="Calibri"/>
        <family val="2"/>
      </rPr>
      <t xml:space="preserve">ou </t>
    </r>
    <r>
      <rPr>
        <b/>
        <sz val="10"/>
        <color indexed="32"/>
        <rFont val="Calibri"/>
        <family val="2"/>
      </rPr>
      <t>chiffre d'affaires critique</t>
    </r>
    <r>
      <rPr>
        <sz val="10"/>
        <color indexed="32"/>
        <rFont val="Calibri"/>
        <family val="2"/>
      </rPr>
      <t>, à savoir le minimum de chiffre d'affaires que l'entreprise devra impérativement réaliser pour a</t>
    </r>
    <r>
      <rPr>
        <b/>
        <sz val="10"/>
        <color indexed="32"/>
        <rFont val="Calibri"/>
        <family val="2"/>
      </rPr>
      <t>tteindre l'équilibre</t>
    </r>
    <r>
      <rPr>
        <sz val="10"/>
        <color indexed="32"/>
        <rFont val="Calibri"/>
        <family val="2"/>
      </rPr>
      <t xml:space="preserve">, c'est-à-dire couvrir au moins l'ensemble de ses charges sans faire de perte. </t>
    </r>
    <r>
      <rPr>
        <b/>
        <sz val="10"/>
        <color indexed="10"/>
        <rFont val="Calibri"/>
        <family val="2"/>
      </rPr>
      <t>Au-dessous</t>
    </r>
    <r>
      <rPr>
        <sz val="10"/>
        <color indexed="32"/>
        <rFont val="Calibri"/>
        <family val="2"/>
      </rPr>
      <t xml:space="preserve"> de ce niveau d'activité, l'entreprise sera </t>
    </r>
    <r>
      <rPr>
        <b/>
        <sz val="10"/>
        <color indexed="10"/>
        <rFont val="Calibri"/>
        <family val="2"/>
      </rPr>
      <t>déficitaire</t>
    </r>
    <r>
      <rPr>
        <sz val="10"/>
        <color indexed="32"/>
        <rFont val="Calibri"/>
        <family val="2"/>
      </rPr>
      <t xml:space="preserve">, </t>
    </r>
    <r>
      <rPr>
        <b/>
        <sz val="10"/>
        <color indexed="12"/>
        <rFont val="Calibri"/>
        <family val="2"/>
      </rPr>
      <t>au-delà</t>
    </r>
    <r>
      <rPr>
        <sz val="10"/>
        <color indexed="32"/>
        <rFont val="Calibri"/>
        <family val="2"/>
      </rPr>
      <t>, elle générera des</t>
    </r>
    <r>
      <rPr>
        <b/>
        <sz val="10"/>
        <color indexed="12"/>
        <rFont val="Calibri"/>
        <family val="2"/>
      </rPr>
      <t xml:space="preserve"> profits</t>
    </r>
    <r>
      <rPr>
        <sz val="10"/>
        <color indexed="32"/>
        <rFont val="Calibri"/>
        <family val="2"/>
      </rPr>
      <t>.</t>
    </r>
  </si>
  <si>
    <r>
      <t>Par souci de symétrie, on appelle cette ressource nette : "</t>
    </r>
    <r>
      <rPr>
        <b/>
        <sz val="10"/>
        <color indexed="32"/>
        <rFont val="Calibri"/>
        <family val="2"/>
      </rPr>
      <t>fonds de roulement</t>
    </r>
    <r>
      <rPr>
        <sz val="10"/>
        <color indexed="32"/>
        <rFont val="Calibri"/>
        <family val="2"/>
      </rPr>
      <t>"</t>
    </r>
  </si>
  <si>
    <r>
      <t xml:space="preserve">C'est l'excédent des capitaux permanents (fonds propres + capitaux empruntés) sur les immobilisations nettes de l'entreprise. Cet excédent constitue la ressource </t>
    </r>
    <r>
      <rPr>
        <b/>
        <sz val="10"/>
        <color indexed="32"/>
        <rFont val="Calibri"/>
        <family val="2"/>
      </rPr>
      <t>permanente</t>
    </r>
    <r>
      <rPr>
        <sz val="10"/>
        <color indexed="32"/>
        <rFont val="Calibri"/>
        <family val="2"/>
      </rPr>
      <t xml:space="preserve"> et</t>
    </r>
    <r>
      <rPr>
        <b/>
        <sz val="10"/>
        <color indexed="32"/>
        <rFont val="Calibri"/>
        <family val="2"/>
      </rPr>
      <t xml:space="preserve"> disponible</t>
    </r>
    <r>
      <rPr>
        <sz val="10"/>
        <color indexed="32"/>
        <rFont val="Calibri"/>
        <family val="2"/>
      </rPr>
      <t xml:space="preserve"> qui sera consacré au financement du besoin financier d'exploitation, appelé "</t>
    </r>
    <r>
      <rPr>
        <b/>
        <sz val="10"/>
        <color indexed="32"/>
        <rFont val="Calibri"/>
        <family val="2"/>
      </rPr>
      <t>besoin en fonds de roulement</t>
    </r>
    <r>
      <rPr>
        <sz val="10"/>
        <color indexed="32"/>
        <rFont val="Calibri"/>
        <family val="2"/>
      </rPr>
      <t>".</t>
    </r>
  </si>
  <si>
    <r>
      <t xml:space="preserve">En toute hypothèse, le fonds de roulement nécessaire au démarrage doit être compris, selon le type d'activité, entre 1 et 2 mois de chiffre d'affaires prévisionnel de la 1ère année. </t>
    </r>
    <r>
      <rPr>
        <u/>
        <sz val="10"/>
        <color indexed="32"/>
        <rFont val="Calibri"/>
        <family val="2"/>
      </rPr>
      <t>Le montant imposé par Herrikoa s'élève à 10% du chiffre d'affaires annuel hors taxe prévu pour la première année</t>
    </r>
    <r>
      <rPr>
        <sz val="10"/>
        <color indexed="32"/>
        <rFont val="Calibri"/>
        <family val="2"/>
      </rPr>
      <t>.</t>
    </r>
  </si>
  <si>
    <t>Commentaire</t>
  </si>
  <si>
    <t>Apport 
en
 nature</t>
  </si>
  <si>
    <t>nécessaires 
au démarrage</t>
  </si>
  <si>
    <t>Répartition 
selon sexe</t>
  </si>
  <si>
    <t>Répartition 
selon contrat</t>
  </si>
  <si>
    <t>Simulation emprunt</t>
  </si>
  <si>
    <t>Détail des aides à l'emploi et / ou des subventions 
d'exploitation obtenues ou prévues</t>
  </si>
  <si>
    <t>Délai moyen de 
réglement clients</t>
  </si>
  <si>
    <t>Nombre 
de jours</t>
  </si>
  <si>
    <t xml:space="preserve">Délai 
moyen </t>
  </si>
  <si>
    <t>Durée de 
stockage</t>
  </si>
  <si>
    <t>Délai de réglement 
fournisseurs</t>
  </si>
  <si>
    <t>Chiffre d'affaires</t>
  </si>
  <si>
    <t>Résultat d'exploitation</t>
  </si>
  <si>
    <t>Résultat net</t>
  </si>
  <si>
    <t>Capacité d'autofinancement</t>
  </si>
  <si>
    <t>Dettes financières</t>
  </si>
  <si>
    <t>Chiffres clés</t>
  </si>
  <si>
    <t>Investissements 
HERRIKOA prévus</t>
  </si>
  <si>
    <t>Résultat courant avant impôts</t>
  </si>
  <si>
    <t>Insee - ODIL - Outil d'Aide au Diagnostic d'Implantation Locale - Création d'entreprise</t>
  </si>
  <si>
    <t>Marketing pour PME, La boite à outils Marketing</t>
  </si>
  <si>
    <t>Identité des associés</t>
  </si>
  <si>
    <t>Commune :</t>
  </si>
  <si>
    <t>Fournisseurs 
de matières premières 
et de marchandises</t>
  </si>
  <si>
    <t>Montant 
des achats HT</t>
  </si>
  <si>
    <t>% des 
achats</t>
  </si>
  <si>
    <t>Délais 
de 
paiement</t>
  </si>
  <si>
    <t>Sous-traitants de produits 
finis et produits semi-finis</t>
  </si>
  <si>
    <t xml:space="preserve">Commune </t>
  </si>
  <si>
    <t>crédit de campagne</t>
  </si>
  <si>
    <t>crédit "loi Dailly"</t>
  </si>
  <si>
    <t>crédit spot</t>
  </si>
  <si>
    <t>Crédit-bail</t>
  </si>
  <si>
    <t xml:space="preserve">Taux 
d'intérêt </t>
  </si>
  <si>
    <t>Apports en capital</t>
  </si>
  <si>
    <t>Investissements hors crédit-bail</t>
  </si>
  <si>
    <t>Investissements en crédit-bail</t>
  </si>
  <si>
    <t>Loyers annuels de crédit-bail</t>
  </si>
  <si>
    <t>Amortissements annuels</t>
  </si>
  <si>
    <t xml:space="preserve">totale </t>
  </si>
  <si>
    <t>Taux de rentabilité :</t>
  </si>
  <si>
    <t>Commentaires</t>
  </si>
  <si>
    <t>Emplois 
générés</t>
  </si>
  <si>
    <t>Valeur ajoutée 
produite</t>
  </si>
  <si>
    <t>Pour le 
Pays Basque</t>
  </si>
  <si>
    <t>Pour la 
zone</t>
  </si>
  <si>
    <t>VALEUR DU PROJET (de 0 à ***)</t>
  </si>
  <si>
    <t>Points forts 
Principaux atouts</t>
  </si>
  <si>
    <t>Points faibles 
Principales faiblesses</t>
  </si>
  <si>
    <t>nature</t>
  </si>
  <si>
    <t xml:space="preserve"> Chiffre d'affaires critique - Point mort</t>
  </si>
  <si>
    <t>Produits en cours</t>
  </si>
  <si>
    <t xml:space="preserve">Marchandises </t>
  </si>
  <si>
    <t>Matières premières</t>
  </si>
  <si>
    <t>Produits finis</t>
  </si>
  <si>
    <t>Taux de 
référence</t>
  </si>
  <si>
    <t>crédit de trésorerie</t>
  </si>
  <si>
    <t>facilité de caisse</t>
  </si>
  <si>
    <t>escompte en compte</t>
  </si>
  <si>
    <t>Eonia</t>
  </si>
  <si>
    <t>Euribor</t>
  </si>
  <si>
    <t>Euribor-3M</t>
  </si>
  <si>
    <t>TAM</t>
  </si>
  <si>
    <t>T4M</t>
  </si>
  <si>
    <t>TBB</t>
  </si>
  <si>
    <t>Les différents taux de référence</t>
  </si>
  <si>
    <t>Entretien, maintenance et réparations</t>
  </si>
  <si>
    <t>Honoraires, conseil</t>
  </si>
  <si>
    <t>Voyages et déplacements</t>
  </si>
  <si>
    <t>Missions et réceptions</t>
  </si>
  <si>
    <t>Publicité (communication, catalogues, promotions, etc.)</t>
  </si>
  <si>
    <t>Etudes et documentation</t>
  </si>
  <si>
    <t>Frais de recrutement et de formation</t>
  </si>
  <si>
    <t xml:space="preserve">Le capital social minimum exigé par la loi est de 37 000 euros dans les SA ne faisant pas appel public à l'épargne. Par contre, aucun capital social minimal n'est exigé dans les SARL et SAS, il est fixé librement par les statuts. </t>
  </si>
  <si>
    <t>Taux d'amortissement cumulé</t>
  </si>
  <si>
    <t>Préambule</t>
  </si>
  <si>
    <t>Le(s) porteur(s) de projet</t>
  </si>
  <si>
    <t>Le produit et son marché</t>
  </si>
  <si>
    <t>Nature du projet</t>
  </si>
  <si>
    <t>Politique commerciale</t>
  </si>
  <si>
    <t>Politique d'achat</t>
  </si>
  <si>
    <t>Compte de résultat prévisionnel</t>
  </si>
  <si>
    <t>Plan de financement</t>
  </si>
  <si>
    <t>Comprendre</t>
  </si>
  <si>
    <t>Avance remboursable</t>
  </si>
  <si>
    <t>Compte courant bloqué</t>
  </si>
  <si>
    <t>Compte courant ordinaire</t>
  </si>
  <si>
    <t>Emprunt</t>
  </si>
  <si>
    <t>Prêt participatif</t>
  </si>
  <si>
    <t>Besoin en fonds de roulement - BFR</t>
  </si>
  <si>
    <t>En savoir plus sur le compte de résultat</t>
  </si>
  <si>
    <t>Pour en savoir plus sur le B F R</t>
  </si>
  <si>
    <t>Eligibilité</t>
  </si>
  <si>
    <t>Fonds propres élargis</t>
  </si>
  <si>
    <t>Endettement élargi</t>
  </si>
  <si>
    <t>Endettement financier</t>
  </si>
  <si>
    <t>Capitaux permanents</t>
  </si>
  <si>
    <t>juridique</t>
  </si>
  <si>
    <t>Commerce</t>
  </si>
  <si>
    <t>Comptabilité</t>
  </si>
  <si>
    <t>Gestion</t>
  </si>
  <si>
    <t>Technique</t>
  </si>
  <si>
    <t>Autre</t>
  </si>
  <si>
    <t>Préciser</t>
  </si>
  <si>
    <t>Commissaire aux comptes ?</t>
  </si>
  <si>
    <t>Local</t>
  </si>
  <si>
    <t>Régional</t>
  </si>
  <si>
    <t>National</t>
  </si>
  <si>
    <r>
      <rPr>
        <b/>
        <sz val="14"/>
        <color indexed="32"/>
        <rFont val="Calibri"/>
        <family val="2"/>
      </rPr>
      <t>=&gt;</t>
    </r>
    <r>
      <rPr>
        <sz val="11"/>
        <color indexed="32"/>
        <rFont val="Calibri"/>
        <family val="2"/>
      </rPr>
      <t xml:space="preserve"> plus de 20%</t>
    </r>
  </si>
  <si>
    <r>
      <rPr>
        <b/>
        <sz val="14"/>
        <color indexed="32"/>
        <rFont val="Calibri"/>
        <family val="2"/>
      </rPr>
      <t>=&gt;</t>
    </r>
    <r>
      <rPr>
        <sz val="11"/>
        <color indexed="32"/>
        <rFont val="Calibri"/>
        <family val="2"/>
      </rPr>
      <t xml:space="preserve"> plus de 50% de son Chiffre d'affaires</t>
    </r>
  </si>
  <si>
    <t>Société Anonyme (SA)</t>
  </si>
  <si>
    <t>Société à Responsabilité Limitée (SARL)</t>
  </si>
  <si>
    <t>Société par Actions Simplifiée (SAS)</t>
  </si>
  <si>
    <t>Ressources permanentes</t>
  </si>
  <si>
    <t>fonds de roulement</t>
  </si>
  <si>
    <t>Remboursement d'emprunts</t>
  </si>
  <si>
    <t>Dividendes versés</t>
  </si>
  <si>
    <t>Fonds empruntés</t>
  </si>
  <si>
    <t>Ensemble, contribuons au développement économique du Pays Basque</t>
  </si>
  <si>
    <t>I - E N   A C Q U I S I T I O N    P R O P R E</t>
  </si>
  <si>
    <t>M O Y E N S   H U M A I N S</t>
  </si>
  <si>
    <t>jours de 
C.A. H.T.</t>
  </si>
  <si>
    <t>Avec le niveau des charges  de structure que vous avez défini, c'est-à-dire le montant des charges fixes, vous pouvez mesurer
l'incidence d'un chiffre d'affaires inférieur aux prévisions sur le niveau de votre résultat et de la capacité d'autofinancement.</t>
  </si>
  <si>
    <t>(exemple : si je ne réalise que 50% des ventes prévues, quel sera le résultat final ? Le niveau de la trésorerie)</t>
  </si>
  <si>
    <t>HERRIKOA SCA à capital variable - RCS BAYONNE B 320 432 222 - résidence l'Alliance - centre Jorlis - 64600 ANGLET</t>
  </si>
  <si>
    <t>Norme &lt;=</t>
  </si>
  <si>
    <r>
      <t xml:space="preserve">Caution </t>
    </r>
    <r>
      <rPr>
        <sz val="10"/>
        <color indexed="32"/>
        <rFont val="Calibri"/>
        <family val="2"/>
      </rPr>
      <t>: acte juridique par lequel une personne - particulier ou société - garantit le respect des engagements pris par une autre personne. Un banquier peut par exemple demander la caution personnelle du dirigeant 
de l'entreprise, en garantie du remboursement d'un crédit qu'il accorde. Si l'entreprise ne peut assurer ce remboursement, le dirigeant devra le faire à sa place, sur ses biens personnels.</t>
    </r>
  </si>
  <si>
    <r>
      <t>Ne sous-capitalisez pas votre société</t>
    </r>
    <r>
      <rPr>
        <sz val="11"/>
        <color rgb="FFFF0000"/>
        <rFont val="Calibri"/>
        <family val="2"/>
      </rPr>
      <t xml:space="preserve"> - Ne confondez pas le capital minimum légal (capital minimal fixé par la loi) avec le capital nécessaire au démarrage correct de votre société et à son développement (</t>
    </r>
    <r>
      <rPr>
        <b/>
        <sz val="11"/>
        <color rgb="FFFF0000"/>
        <rFont val="Calibri"/>
        <family val="2"/>
      </rPr>
      <t>capital "économique")</t>
    </r>
    <r>
      <rPr>
        <sz val="11"/>
        <color rgb="FFFF0000"/>
        <rFont val="Calibri"/>
        <family val="2"/>
      </rPr>
      <t>. Si la législation vous permet de créer une SARL ou une SAS avec un capital très faible, celui-ci doit être en adéquation avec les besoins de votre entreprise. A défaut, votre responsabilité de chef d'entreprise pourrait être ultérieurement engagée pour faute de gestion</t>
    </r>
  </si>
  <si>
    <r>
      <t xml:space="preserve">Pour que ce seuil de rentablité soit le plus bas possible, </t>
    </r>
    <r>
      <rPr>
        <b/>
        <u/>
        <sz val="12"/>
        <color indexed="10"/>
        <rFont val="Calibri"/>
        <family val="2"/>
      </rPr>
      <t>limitez au maximum les charges fixes</t>
    </r>
    <r>
      <rPr>
        <b/>
        <sz val="12"/>
        <color indexed="10"/>
        <rFont val="Calibri"/>
        <family val="2"/>
      </rPr>
      <t>.</t>
    </r>
  </si>
  <si>
    <r>
      <t>Attention !</t>
    </r>
    <r>
      <rPr>
        <b/>
        <sz val="12"/>
        <color indexed="10"/>
        <rFont val="Calibri"/>
        <family val="2"/>
      </rPr>
      <t xml:space="preserve">   Ne sous estimez pas vos charges courantes. On constate régulièrement un écart de plus de 20% entre les prévisions et la réalité pour un même niveau d'activité.</t>
    </r>
  </si>
  <si>
    <r>
      <t>Un constat</t>
    </r>
    <r>
      <rPr>
        <sz val="12"/>
        <color indexed="10"/>
        <rFont val="Calibri"/>
        <family val="2"/>
      </rPr>
      <t xml:space="preserve"> : </t>
    </r>
    <r>
      <rPr>
        <b/>
        <sz val="12"/>
        <color indexed="10"/>
        <rFont val="Calibri"/>
        <family val="2"/>
      </rPr>
      <t xml:space="preserve">90% des créateurs d'entreprises ne réalisent pas leurs prévisions la première année. </t>
    </r>
  </si>
  <si>
    <t>Retour au plan de financement</t>
  </si>
  <si>
    <t>Retour au détail des concours bancaires du plan de financement</t>
  </si>
  <si>
    <t>Norme
 du secteur</t>
  </si>
  <si>
    <t>Frais de personnel / VA</t>
  </si>
  <si>
    <t>&lt;</t>
  </si>
  <si>
    <t>Point mort - P.M.</t>
  </si>
  <si>
    <t>Marge brute</t>
  </si>
  <si>
    <t xml:space="preserve">Capacité d'autofinancement </t>
  </si>
  <si>
    <r>
      <t>1</t>
    </r>
    <r>
      <rPr>
        <b/>
        <vertAlign val="superscript"/>
        <sz val="10"/>
        <color theme="0"/>
        <rFont val="Calibri"/>
        <family val="2"/>
        <scheme val="minor"/>
      </rPr>
      <t>er</t>
    </r>
    <r>
      <rPr>
        <b/>
        <sz val="10"/>
        <color theme="0"/>
        <rFont val="Calibri"/>
        <family val="2"/>
        <scheme val="minor"/>
      </rPr>
      <t xml:space="preserve"> exercice</t>
    </r>
  </si>
  <si>
    <t>Fonds propres / endettement élargi</t>
  </si>
  <si>
    <t>Critères à remplir au moment de la création</t>
  </si>
  <si>
    <t>Fonds de roulement / CA HT sur 12 mois</t>
  </si>
  <si>
    <t>Fonds propres /ressources permanentes</t>
  </si>
  <si>
    <t>Principaux indicateurs</t>
  </si>
  <si>
    <t>Vulnérabilité  financière</t>
  </si>
  <si>
    <t>Besoin de trésorerie/J de CA TTC</t>
  </si>
  <si>
    <t>Taux de couverture du BFR par le FR</t>
  </si>
  <si>
    <t xml:space="preserve">&gt; </t>
  </si>
  <si>
    <t>&gt;</t>
  </si>
  <si>
    <t>Flux de trésorerie d'exploitation  (an 2 - an 3)</t>
  </si>
  <si>
    <t>N/A</t>
  </si>
  <si>
    <t>Besoin de trésorerie/créances clients</t>
  </si>
  <si>
    <r>
      <rPr>
        <sz val="10"/>
        <color rgb="FF002060"/>
        <rFont val="Symbol"/>
        <family val="1"/>
        <charset val="2"/>
      </rPr>
      <t>S</t>
    </r>
    <r>
      <rPr>
        <sz val="10"/>
        <color rgb="FF002060"/>
        <rFont val="Calibri"/>
        <family val="2"/>
      </rPr>
      <t xml:space="preserve"> Charges fixes  (charges indépendantes du niveau d'activité)</t>
    </r>
  </si>
  <si>
    <t>Prévu</t>
  </si>
  <si>
    <t>Révisé</t>
  </si>
  <si>
    <t>Ecart</t>
  </si>
  <si>
    <t>Autres charges variables</t>
  </si>
  <si>
    <t>Charges fixes totales</t>
  </si>
  <si>
    <t>Impôt sur bénéfice</t>
  </si>
  <si>
    <t>Besoin ou dégagement en F.R.</t>
  </si>
  <si>
    <t>Taux de couverture FR/BFR</t>
  </si>
  <si>
    <t>CA critique - Point mort</t>
  </si>
  <si>
    <t>Trésorerie</t>
  </si>
  <si>
    <t>Fonds de Roulement</t>
  </si>
  <si>
    <t>Indicateurs</t>
  </si>
  <si>
    <r>
      <rPr>
        <sz val="10"/>
        <color rgb="FF0000FF"/>
        <rFont val="Symbol"/>
        <family val="1"/>
        <charset val="2"/>
      </rPr>
      <t>S</t>
    </r>
    <r>
      <rPr>
        <sz val="10"/>
        <color rgb="FF0000FF"/>
        <rFont val="Calibri"/>
        <family val="2"/>
      </rPr>
      <t xml:space="preserve"> Charges variables (évoluant proportionnellemet au niveau d'activité)</t>
    </r>
  </si>
  <si>
    <t>Démarrage</t>
  </si>
  <si>
    <t>Subv. d'investissement</t>
  </si>
  <si>
    <t xml:space="preserve">Apports </t>
  </si>
  <si>
    <t xml:space="preserve">en 
nature </t>
  </si>
  <si>
    <t>les emprunts</t>
  </si>
  <si>
    <t>en savoir + sur les comptes courants</t>
  </si>
  <si>
    <t xml:space="preserve"> Investissements</t>
  </si>
  <si>
    <t xml:space="preserve"> Fonds de roulement initial</t>
  </si>
  <si>
    <t xml:space="preserve"> Remboursements des avances et emprunts</t>
  </si>
  <si>
    <t xml:space="preserve"> Dividendes</t>
  </si>
  <si>
    <t xml:space="preserve"> Total des besoins de financement</t>
  </si>
  <si>
    <t xml:space="preserve"> Dégagement en fonds de roulement</t>
  </si>
  <si>
    <t xml:space="preserve"> Capacité d'autofinancement (CAF &gt; 0)</t>
  </si>
  <si>
    <t xml:space="preserve"> Apports en capital</t>
  </si>
  <si>
    <t xml:space="preserve"> Apport en compte courant bloqué</t>
  </si>
  <si>
    <t xml:space="preserve"> Fonds empruntés</t>
  </si>
  <si>
    <t xml:space="preserve"> Subvention d'investissement</t>
  </si>
  <si>
    <t xml:space="preserve"> Total des ressources financières</t>
  </si>
  <si>
    <t xml:space="preserve"> Trésorerie nette cumulée</t>
  </si>
  <si>
    <t>I - Compte de résultat</t>
  </si>
  <si>
    <t>II - Structure financière</t>
  </si>
  <si>
    <t xml:space="preserve"> Besoin en fonds de roulement</t>
  </si>
  <si>
    <t xml:space="preserve"> Pertes de démarrage (CAF &lt; 0)</t>
  </si>
  <si>
    <t xml:space="preserve">Activité principale exercée par l'entreprise : </t>
  </si>
  <si>
    <t xml:space="preserve">Valeur ajoutée   </t>
  </si>
  <si>
    <t>Social</t>
  </si>
  <si>
    <t>Taux de rentabilité</t>
  </si>
  <si>
    <t>Financier</t>
  </si>
  <si>
    <t>en 
numéraire</t>
  </si>
  <si>
    <r>
      <t xml:space="preserve">Besoin en fonds de roulement - </t>
    </r>
    <r>
      <rPr>
        <b/>
        <sz val="10"/>
        <color indexed="16"/>
        <rFont val="Calibri"/>
        <family val="2"/>
      </rPr>
      <t>BFR</t>
    </r>
  </si>
  <si>
    <t xml:space="preserve">Pertes de démarrage - autofinancement négatif </t>
  </si>
  <si>
    <t>Remboursement du capital des avances remboursables, comptes courants d'associés, 
emprunts, obligations convertibles et prêts participatifs</t>
  </si>
  <si>
    <t>Distribution de dividendes</t>
  </si>
  <si>
    <t>Quote part de la capacité d'autofinancement consacrée au remboursement des emprunts</t>
  </si>
  <si>
    <t>Stocks de marchandises</t>
  </si>
  <si>
    <t>Stocks de matières</t>
  </si>
  <si>
    <t>Stocks d'encours</t>
  </si>
  <si>
    <t>Stocks de produits</t>
  </si>
  <si>
    <t>Crédit fournisseurs</t>
  </si>
  <si>
    <t>selon le compte de résultat, 
le stock final est de :</t>
  </si>
  <si>
    <t>selon le compte de résultat, 
le stock final est de</t>
  </si>
  <si>
    <t>Total des investissements hors CB</t>
  </si>
  <si>
    <t>Total des amortissements</t>
  </si>
  <si>
    <t>en savoir plus sur les moyens d'exploitation</t>
  </si>
  <si>
    <t>en savoir plus sur les apports en nature</t>
  </si>
  <si>
    <t>en savoir plus sur les amortissements</t>
  </si>
  <si>
    <t xml:space="preserve">superficie : </t>
  </si>
  <si>
    <t xml:space="preserve"> Terrains 
 et bâtiments</t>
  </si>
  <si>
    <t xml:space="preserve"> Agencements  et 
 aménagements</t>
  </si>
  <si>
    <t xml:space="preserve"> Matériel 
 de transport</t>
  </si>
  <si>
    <t xml:space="preserve"> Equipement 
 informatique</t>
  </si>
  <si>
    <t xml:space="preserve"> Matériel-mobilier
 de bureau</t>
  </si>
  <si>
    <t xml:space="preserve"> Total des investissements immobiliers et mobiliers</t>
  </si>
  <si>
    <t xml:space="preserve"> Investissements 
 immatériels</t>
  </si>
  <si>
    <t xml:space="preserve"> Frais 
 d'établissement</t>
  </si>
  <si>
    <t xml:space="preserve"> Total des investissements immatériels et des frais d'établissement</t>
  </si>
  <si>
    <t xml:space="preserve"> Investissements 
 financiers</t>
  </si>
  <si>
    <t xml:space="preserve"> Total des investissements financiers</t>
  </si>
  <si>
    <t xml:space="preserve"> Terrains</t>
  </si>
  <si>
    <t xml:space="preserve"> Bâtiments</t>
  </si>
  <si>
    <t xml:space="preserve"> Matériels et outillages</t>
  </si>
  <si>
    <t xml:space="preserve"> Matériel de transport</t>
  </si>
  <si>
    <t xml:space="preserve"> Equipement informatique (matériel et logiciels)</t>
  </si>
  <si>
    <t xml:space="preserve"> Matériel et mobilier de bureau</t>
  </si>
  <si>
    <t xml:space="preserve"> Matériels et 
 outillages</t>
  </si>
  <si>
    <t xml:space="preserve"> Direction  </t>
  </si>
  <si>
    <t xml:space="preserve"> Commercial  </t>
  </si>
  <si>
    <t xml:space="preserve"> Administratif  </t>
  </si>
  <si>
    <t xml:space="preserve"> Production  </t>
  </si>
  <si>
    <t xml:space="preserve"> Autres  </t>
  </si>
  <si>
    <r>
      <t xml:space="preserve">III - E N   L O C A T I O N   </t>
    </r>
    <r>
      <rPr>
        <b/>
        <sz val="10"/>
        <color indexed="32"/>
        <rFont val="Calibri"/>
        <family val="2"/>
      </rPr>
      <t>(y compris location financière)</t>
    </r>
  </si>
  <si>
    <t>Contrôle trésorerie</t>
  </si>
  <si>
    <t>Durée moyenne 
d'amortissement</t>
  </si>
  <si>
    <t>Biens amortissables</t>
  </si>
  <si>
    <t>Célibataire</t>
  </si>
  <si>
    <t xml:space="preserve">Divorcé(e) </t>
  </si>
  <si>
    <t>Ecart/norme</t>
  </si>
  <si>
    <t>Stocks  de matières &amp; marchandises</t>
  </si>
  <si>
    <t>Stocks d'encours  et de produits finis</t>
  </si>
  <si>
    <t>Délai moyen de paiement des clients</t>
  </si>
  <si>
    <t>Délai moyen de paiement aux fournisseurs</t>
  </si>
  <si>
    <t>Amortissements/invest hors CB</t>
  </si>
  <si>
    <t>Taux de
 rémunération 
ou TRI</t>
  </si>
  <si>
    <t>dividende</t>
  </si>
  <si>
    <t>Cession</t>
  </si>
  <si>
    <t>RECAPITULATIF</t>
  </si>
  <si>
    <t xml:space="preserve"> EMPRUNT n°1</t>
  </si>
  <si>
    <t xml:space="preserve"> EMPRUNT n°2</t>
  </si>
  <si>
    <t xml:space="preserve"> EMPRUNT n°3</t>
  </si>
  <si>
    <t xml:space="preserve"> EMPRUNT n°4</t>
  </si>
  <si>
    <t xml:space="preserve"> EMPRUNT n°5</t>
  </si>
  <si>
    <t>Emprunt 1</t>
  </si>
  <si>
    <t xml:space="preserve">Emprunt 2 </t>
  </si>
  <si>
    <t xml:space="preserve">Emprunt 3 </t>
  </si>
  <si>
    <t>Emprunt 4</t>
  </si>
  <si>
    <t>Emprunt 5</t>
  </si>
  <si>
    <t>Caractéristiques</t>
  </si>
  <si>
    <t xml:space="preserve"> Taux intérêt + assurance</t>
  </si>
  <si>
    <t>Coût</t>
  </si>
  <si>
    <t xml:space="preserve"> Mois de différé d'amort.</t>
  </si>
  <si>
    <t>Périodicité de remboursement</t>
  </si>
  <si>
    <t>année</t>
  </si>
  <si>
    <t>Annuités</t>
  </si>
  <si>
    <t>intérêts</t>
  </si>
  <si>
    <t>capital</t>
  </si>
  <si>
    <t>Restant dû</t>
  </si>
  <si>
    <t>2 - Tableau de remboursement</t>
  </si>
  <si>
    <t>Interêts</t>
  </si>
  <si>
    <t>Voir tableau de remboursement</t>
  </si>
  <si>
    <t>Plan initial</t>
  </si>
  <si>
    <r>
      <t xml:space="preserve">Fonds de roulement initial   
</t>
    </r>
    <r>
      <rPr>
        <i/>
        <sz val="10"/>
        <color indexed="16"/>
        <rFont val="Calibri"/>
        <family val="2"/>
      </rPr>
      <t>(montant imposé par Herrikoa)</t>
    </r>
  </si>
  <si>
    <t xml:space="preserve"> en savoir + sur le fonds de roulement</t>
  </si>
  <si>
    <r>
      <t xml:space="preserve">D O S S I E R  D E  F I N A N C E M E N T   /   </t>
    </r>
    <r>
      <rPr>
        <b/>
        <i/>
        <sz val="18"/>
        <color rgb="FF99CC00"/>
        <rFont val="Calibri"/>
        <family val="2"/>
      </rPr>
      <t xml:space="preserve">D I R U  L A G U N T Z A K O  A Z T E R G A I A K </t>
    </r>
  </si>
  <si>
    <r>
      <t xml:space="preserve">B E S O I N S  D E  F I N A N C E M E N T  /  </t>
    </r>
    <r>
      <rPr>
        <b/>
        <i/>
        <sz val="12"/>
        <color rgb="FF99CC00"/>
        <rFont val="Calibri"/>
        <family val="2"/>
      </rPr>
      <t>F I N A N T Z A K E T A  B E H A R A K</t>
    </r>
  </si>
  <si>
    <r>
      <t xml:space="preserve">R E S S O U R C E S  F I N A N C I E R E S   /  </t>
    </r>
    <r>
      <rPr>
        <b/>
        <i/>
        <sz val="12"/>
        <color rgb="FF99CC00"/>
        <rFont val="Calibri"/>
        <family val="2"/>
      </rPr>
      <t>F I N A N T Z A B I D E A K</t>
    </r>
  </si>
  <si>
    <r>
      <t xml:space="preserve">I - Financement par apports en capital  -  </t>
    </r>
    <r>
      <rPr>
        <b/>
        <i/>
        <sz val="12"/>
        <color theme="6" tint="-0.24994659260841701"/>
        <rFont val="Calibri"/>
        <family val="2"/>
      </rPr>
      <t>Kapital-ekarpenak</t>
    </r>
  </si>
  <si>
    <t>En savoir + sur les apports des associés</t>
  </si>
  <si>
    <t>En savoir + plus sur les concours de trésorerie</t>
  </si>
  <si>
    <r>
      <t xml:space="preserve">M O Y E N S  D ' E X P L O I T A T I O N  /  </t>
    </r>
    <r>
      <rPr>
        <b/>
        <i/>
        <sz val="12"/>
        <color rgb="FF99CC00"/>
        <rFont val="Calibri"/>
        <family val="2"/>
      </rPr>
      <t xml:space="preserve">E K O I Z B I D E A K </t>
    </r>
  </si>
  <si>
    <r>
      <t xml:space="preserve">1er porteur /  </t>
    </r>
    <r>
      <rPr>
        <b/>
        <i/>
        <sz val="12"/>
        <color rgb="FF99CC00"/>
        <rFont val="Calibri"/>
        <family val="2"/>
      </rPr>
      <t>lehena</t>
    </r>
  </si>
  <si>
    <r>
      <t xml:space="preserve">2ème porteur / </t>
    </r>
    <r>
      <rPr>
        <b/>
        <i/>
        <sz val="12"/>
        <color rgb="FF99CC00"/>
        <rFont val="Calibri"/>
        <family val="2"/>
      </rPr>
      <t>Bigarrena</t>
    </r>
  </si>
  <si>
    <r>
      <t xml:space="preserve">3ème porteur / </t>
    </r>
    <r>
      <rPr>
        <b/>
        <i/>
        <sz val="12"/>
        <color rgb="FF99CC00"/>
        <rFont val="Calibri"/>
        <family val="2"/>
      </rPr>
      <t>Hirugarrena</t>
    </r>
  </si>
  <si>
    <t>Eta orain zure gain !</t>
  </si>
  <si>
    <r>
      <rPr>
        <b/>
        <i/>
        <sz val="13"/>
        <color theme="6" tint="-0.24994659260841701"/>
        <rFont val="Calibri"/>
        <family val="2"/>
      </rPr>
      <t>Ongi etorri</t>
    </r>
    <r>
      <rPr>
        <b/>
        <i/>
        <sz val="13"/>
        <color indexed="32"/>
        <rFont val="Calibri"/>
        <family val="2"/>
      </rPr>
      <t xml:space="preserve"> / Bienvenue !</t>
    </r>
  </si>
  <si>
    <r>
      <t>I - Description du projet /</t>
    </r>
    <r>
      <rPr>
        <b/>
        <i/>
        <sz val="12"/>
        <color indexed="32"/>
        <rFont val="Calibri"/>
        <family val="2"/>
      </rPr>
      <t xml:space="preserve"> </t>
    </r>
    <r>
      <rPr>
        <b/>
        <i/>
        <sz val="12"/>
        <color theme="6" tint="-0.24994659260841701"/>
        <rFont val="Calibri"/>
        <family val="2"/>
      </rPr>
      <t>egistasmoaren itxura</t>
    </r>
  </si>
  <si>
    <r>
      <t xml:space="preserve">III - L'entreprise / </t>
    </r>
    <r>
      <rPr>
        <b/>
        <i/>
        <sz val="12"/>
        <color theme="6" tint="-0.24994659260841701"/>
        <rFont val="Calibri"/>
        <family val="2"/>
      </rPr>
      <t xml:space="preserve"> lantegia</t>
    </r>
  </si>
  <si>
    <r>
      <t xml:space="preserve">I - Description du produit ou du service proposé / </t>
    </r>
    <r>
      <rPr>
        <b/>
        <i/>
        <sz val="12"/>
        <color theme="6" tint="-0.24994659260841701"/>
        <rFont val="Calibri"/>
        <family val="2"/>
      </rPr>
      <t>Ekozkinaren aurkezpena</t>
    </r>
  </si>
  <si>
    <r>
      <t xml:space="preserve">III - Localisation du marché / </t>
    </r>
    <r>
      <rPr>
        <b/>
        <i/>
        <sz val="12"/>
        <color theme="6" tint="-0.24994659260841701"/>
        <rFont val="Calibri"/>
        <family val="2"/>
      </rPr>
      <t>merkatuaren kokapena</t>
    </r>
  </si>
  <si>
    <r>
      <t xml:space="preserve">IV - Caractéristiques générales et perspectives d'évolution / </t>
    </r>
    <r>
      <rPr>
        <b/>
        <i/>
        <sz val="12"/>
        <color theme="6" tint="-0.24994659260841701"/>
        <rFont val="Calibri"/>
        <family val="2"/>
      </rPr>
      <t>Ezaugarri orokorrak eta bilakaeraren mentura</t>
    </r>
  </si>
  <si>
    <r>
      <t xml:space="preserve">V - Estimation des ventes par type de clientèle / </t>
    </r>
    <r>
      <rPr>
        <b/>
        <i/>
        <sz val="12"/>
        <color theme="6" tint="-0.24994659260841701"/>
        <rFont val="Calibri"/>
        <family val="2"/>
      </rPr>
      <t>Salmenten neurketak bezero ezberdinen arabera</t>
    </r>
  </si>
  <si>
    <r>
      <t>VI - Lien de dépendance /</t>
    </r>
    <r>
      <rPr>
        <b/>
        <i/>
        <sz val="12"/>
        <color theme="6" tint="-0.24994659260841701"/>
        <rFont val="Calibri"/>
        <family val="2"/>
      </rPr>
      <t xml:space="preserve"> Menpekotasun esteka</t>
    </r>
  </si>
  <si>
    <r>
      <t xml:space="preserve">VII - Caractéristiques de l'offre / </t>
    </r>
    <r>
      <rPr>
        <b/>
        <i/>
        <sz val="12"/>
        <color theme="6" tint="-0.24994659260841701"/>
        <rFont val="Calibri"/>
        <family val="2"/>
      </rPr>
      <t>eskaintzaren ezaugarriak</t>
    </r>
    <r>
      <rPr>
        <b/>
        <sz val="12"/>
        <color indexed="32"/>
        <rFont val="Calibri"/>
        <family val="2"/>
      </rPr>
      <t xml:space="preserve"> </t>
    </r>
  </si>
  <si>
    <r>
      <t>VIII - Principaux concurrents /</t>
    </r>
    <r>
      <rPr>
        <b/>
        <i/>
        <sz val="12"/>
        <color theme="6" tint="-0.24994659260841701"/>
        <rFont val="Calibri"/>
        <family val="2"/>
      </rPr>
      <t xml:space="preserve"> Lantegiaren lehiakari nagusiak</t>
    </r>
  </si>
  <si>
    <r>
      <t xml:space="preserve">I - Politique de produit / </t>
    </r>
    <r>
      <rPr>
        <b/>
        <i/>
        <sz val="12"/>
        <color theme="6" tint="-0.24994659260841701"/>
        <rFont val="Calibri"/>
        <family val="2"/>
      </rPr>
      <t>Ekozkin politika</t>
    </r>
  </si>
  <si>
    <r>
      <t>II - Politique de prix /</t>
    </r>
    <r>
      <rPr>
        <b/>
        <i/>
        <sz val="12"/>
        <color theme="6" tint="-0.24994659260841701"/>
        <rFont val="Calibri"/>
        <family val="2"/>
      </rPr>
      <t xml:space="preserve"> Prezio politika</t>
    </r>
  </si>
  <si>
    <r>
      <t>III - Politique de distribution /</t>
    </r>
    <r>
      <rPr>
        <b/>
        <i/>
        <sz val="12"/>
        <color theme="6" tint="-0.24994659260841701"/>
        <rFont val="Calibri"/>
        <family val="2"/>
      </rPr>
      <t xml:space="preserve"> Banaketa politika</t>
    </r>
  </si>
  <si>
    <r>
      <t xml:space="preserve">IV - Politique de communication / </t>
    </r>
    <r>
      <rPr>
        <b/>
        <i/>
        <sz val="12"/>
        <color theme="6" tint="-0.24994659260841701"/>
        <rFont val="Calibri"/>
        <family val="2"/>
      </rPr>
      <t>Iragarki politika</t>
    </r>
  </si>
  <si>
    <r>
      <t xml:space="preserve">Les principaux fournisseurs et les sous-traitants / </t>
    </r>
    <r>
      <rPr>
        <b/>
        <i/>
        <sz val="12"/>
        <color theme="6" tint="-0.24994659260841701"/>
        <rFont val="Calibri"/>
        <family val="2"/>
      </rPr>
      <t>Hornitzaile nagusiak</t>
    </r>
  </si>
  <si>
    <r>
      <t xml:space="preserve">P L A N  D E  F I N A N C E M E N T  /  </t>
    </r>
    <r>
      <rPr>
        <b/>
        <i/>
        <sz val="12"/>
        <color rgb="FF99CC00"/>
        <rFont val="Calibri"/>
        <family val="2"/>
      </rPr>
      <t xml:space="preserve">F I N A N T Z A M E N D U   E G I T A S M O A </t>
    </r>
    <r>
      <rPr>
        <b/>
        <i/>
        <sz val="12"/>
        <color rgb="FF00FF00"/>
        <rFont val="Calibri"/>
        <family val="2"/>
      </rPr>
      <t xml:space="preserve">  </t>
    </r>
    <r>
      <rPr>
        <b/>
        <i/>
        <sz val="12"/>
        <color indexed="9"/>
        <rFont val="Calibri"/>
        <family val="2"/>
      </rPr>
      <t xml:space="preserve"> </t>
    </r>
  </si>
  <si>
    <t>En savoir + sur le plan initial</t>
  </si>
  <si>
    <t>+ sur le plan à 3ans</t>
  </si>
  <si>
    <t>Affacturage</t>
  </si>
  <si>
    <t>Nombre 
de clients</t>
  </si>
  <si>
    <t xml:space="preserve"> Montant HT  </t>
  </si>
  <si>
    <t xml:space="preserve"> Coefficient</t>
  </si>
  <si>
    <t>Grande distribution</t>
  </si>
  <si>
    <t xml:space="preserve">  % cumulé</t>
  </si>
  <si>
    <t xml:space="preserve"> Nb de clients</t>
  </si>
  <si>
    <t xml:space="preserve"> % du CA total</t>
  </si>
  <si>
    <t>exercice</t>
  </si>
  <si>
    <t>(suite)</t>
  </si>
  <si>
    <t>Embauches en cours d'exercice</t>
  </si>
  <si>
    <t>Montant (€)
à renseigner</t>
  </si>
  <si>
    <t>Mois</t>
  </si>
  <si>
    <t>d'embauche</t>
  </si>
  <si>
    <t>Durée 
d'amortissement
prévue</t>
  </si>
  <si>
    <t xml:space="preserve"> Apport en nature</t>
  </si>
  <si>
    <t>Charges de personnel</t>
  </si>
  <si>
    <t>Salaire 
brut 
mensuel moyen 
de départ 
Equiv. TP</t>
  </si>
  <si>
    <t>charges sociales 
patronales totales</t>
  </si>
  <si>
    <t>Taux normal</t>
  </si>
  <si>
    <t>Taux réduit 1</t>
  </si>
  <si>
    <t>Taux réduit 2</t>
  </si>
  <si>
    <t>Taux particulier</t>
  </si>
  <si>
    <t>TVA appliquée sur les ventes</t>
  </si>
  <si>
    <t>Quotité 
des ventes</t>
  </si>
  <si>
    <t>Quotité totale des ventes</t>
  </si>
  <si>
    <t>TVA appliquée sur les achats</t>
  </si>
  <si>
    <t>Taux de TVA</t>
  </si>
  <si>
    <t>Les renseignements ci-dessous afférant à la TVA sont indispensables pour le calcul du besoin en fonds de roulement</t>
  </si>
  <si>
    <t>Quotité totale des achats</t>
  </si>
  <si>
    <t>Retour au calcul du BFR</t>
  </si>
  <si>
    <t>retour au chiffre d'affaires prévu</t>
  </si>
  <si>
    <r>
      <t>VI - Portefeuille de commandes /</t>
    </r>
    <r>
      <rPr>
        <b/>
        <i/>
        <sz val="12"/>
        <color theme="6" tint="-0.24994659260841701"/>
        <rFont val="Calibri"/>
        <family val="2"/>
      </rPr>
      <t xml:space="preserve"> Eskabide-kartera</t>
    </r>
  </si>
  <si>
    <r>
      <t xml:space="preserve">V - Contacts (clients-prospects) en cours / </t>
    </r>
    <r>
      <rPr>
        <b/>
        <i/>
        <sz val="12"/>
        <color theme="6" tint="-0.24994659260841701"/>
        <rFont val="Calibri"/>
        <family val="2"/>
      </rPr>
      <t>Eroslegaiekin harremanak</t>
    </r>
  </si>
  <si>
    <t>Encaissements clients</t>
  </si>
  <si>
    <t>Apport en capital</t>
  </si>
  <si>
    <t>Apport en compte courant</t>
  </si>
  <si>
    <t>Emprunts contractés</t>
  </si>
  <si>
    <t>Echéances de crédit-bail TTC</t>
  </si>
  <si>
    <t>Loyers TTC</t>
  </si>
  <si>
    <t>Impôts &amp; taxes</t>
  </si>
  <si>
    <t>Salaires nets</t>
  </si>
  <si>
    <t>Règlements fournisseurs d'immobilisations</t>
  </si>
  <si>
    <t>Paiement tva</t>
  </si>
  <si>
    <t>Remboursement compte courants</t>
  </si>
  <si>
    <t>Échéances d'emprunts</t>
  </si>
  <si>
    <t>Réglements</t>
  </si>
  <si>
    <t>Aides &amp; subventions</t>
  </si>
  <si>
    <t>Charges sociales</t>
  </si>
  <si>
    <t>Solde de trésorerie en début de mois</t>
  </si>
  <si>
    <t>Achats mensuels TTC</t>
  </si>
  <si>
    <t>Ventes mensuelles TTC</t>
  </si>
  <si>
    <t>Total  des encaissements</t>
  </si>
  <si>
    <t>Total des décaissements</t>
  </si>
  <si>
    <t>Encaissements</t>
  </si>
  <si>
    <t>Décaissements</t>
  </si>
  <si>
    <t>Elgarrekin, Euskal Herriko ekonomia eta enplegua gara dezagun</t>
  </si>
  <si>
    <t>Budget de trésorerie</t>
  </si>
  <si>
    <t>Synthèse</t>
  </si>
  <si>
    <t>Simulations</t>
  </si>
  <si>
    <t>Tableaux d'emprunt</t>
  </si>
  <si>
    <t>Négoce</t>
  </si>
  <si>
    <t xml:space="preserve">Cotation </t>
  </si>
  <si>
    <t>Partie réservée à Herrikoa</t>
  </si>
  <si>
    <r>
      <t>II - Raisons du choix de cette activité /</t>
    </r>
    <r>
      <rPr>
        <b/>
        <sz val="12"/>
        <color theme="6" tint="-0.24994659260841701"/>
        <rFont val="Calibri"/>
        <family val="2"/>
      </rPr>
      <t xml:space="preserve"> </t>
    </r>
    <r>
      <rPr>
        <b/>
        <i/>
        <sz val="12"/>
        <color theme="6" tint="-0.24994659260841701"/>
        <rFont val="Calibri"/>
        <family val="2"/>
      </rPr>
      <t>jarduera hautuaren zergatiak</t>
    </r>
  </si>
  <si>
    <r>
      <t xml:space="preserve">II - Définition du  marché / </t>
    </r>
    <r>
      <rPr>
        <b/>
        <i/>
        <sz val="12"/>
        <color theme="6" tint="-0.24994659260841701"/>
        <rFont val="Calibri"/>
        <family val="2"/>
      </rPr>
      <t>merkatuaren itxura</t>
    </r>
  </si>
  <si>
    <r>
      <t xml:space="preserve">III - Concours bancaires à court terme  -  </t>
    </r>
    <r>
      <rPr>
        <b/>
        <i/>
        <sz val="12"/>
        <color theme="6" tint="-0.24994659260841701"/>
        <rFont val="Calibri"/>
        <family val="2"/>
      </rPr>
      <t>Epe laburreko kredituak</t>
    </r>
  </si>
  <si>
    <r>
      <t xml:space="preserve">I - Chiffres d'affaires prévus par exercice - </t>
    </r>
    <r>
      <rPr>
        <b/>
        <i/>
        <sz val="12"/>
        <color theme="6" tint="-0.249977111117893"/>
        <rFont val="Calibri"/>
        <family val="2"/>
      </rPr>
      <t>Ekitaldiko salmentak</t>
    </r>
  </si>
  <si>
    <r>
      <t xml:space="preserve">C H I F F R E  D ' A F F A I R E S  P R E V U  /  </t>
    </r>
    <r>
      <rPr>
        <b/>
        <i/>
        <sz val="12"/>
        <color rgb="FF99CC00"/>
        <rFont val="Calibri"/>
        <family val="2"/>
      </rPr>
      <t>S A L M E N T E N  A U R R E I K U S P E N A</t>
    </r>
  </si>
  <si>
    <r>
      <t xml:space="preserve">     R E S U LT A T  P R E V I S I O N N E L  /  </t>
    </r>
    <r>
      <rPr>
        <b/>
        <i/>
        <sz val="12"/>
        <color rgb="FF99CC00"/>
        <rFont val="Calibri"/>
        <family val="2"/>
      </rPr>
      <t xml:space="preserve">E M A I T Z E N  A U R R E I K U S P E N A </t>
    </r>
  </si>
  <si>
    <r>
      <t xml:space="preserve">A - Délais de paiement que vous pensez consentir à vos clients  -  </t>
    </r>
    <r>
      <rPr>
        <b/>
        <i/>
        <sz val="12"/>
        <color theme="6" tint="-0.249977111117893"/>
        <rFont val="Calibri"/>
        <family val="2"/>
      </rPr>
      <t xml:space="preserve">Bezeroeri onartutako ordainketa-epeak </t>
    </r>
  </si>
  <si>
    <r>
      <t xml:space="preserve">C - Délais de paiement que vous pensez obtenir de vos fournisseurs  -  </t>
    </r>
    <r>
      <rPr>
        <b/>
        <i/>
        <sz val="12"/>
        <color theme="6" tint="-0.249977111117893"/>
        <rFont val="Calibri"/>
        <family val="2"/>
      </rPr>
      <t>Hornitzaileek onartutako ordainketa-epeak</t>
    </r>
  </si>
  <si>
    <r>
      <t xml:space="preserve">B - Evaluation des stocks  -  </t>
    </r>
    <r>
      <rPr>
        <b/>
        <i/>
        <sz val="12"/>
        <color theme="6" tint="-0.249977111117893"/>
        <rFont val="Calibri"/>
        <family val="2"/>
      </rPr>
      <t>Salgaien balioztatzea</t>
    </r>
  </si>
  <si>
    <r>
      <t xml:space="preserve">B E S O I N  E N  F O N D S  D E  R O U L E M E N T  /  </t>
    </r>
    <r>
      <rPr>
        <b/>
        <i/>
        <sz val="12"/>
        <color rgb="FF99CC00"/>
        <rFont val="Calibri"/>
        <family val="2"/>
      </rPr>
      <t xml:space="preserve">L A N E K O  K A P I T A L  B E H A R R I Z A N A </t>
    </r>
    <r>
      <rPr>
        <b/>
        <sz val="12"/>
        <color indexed="9"/>
        <rFont val="Calibri"/>
        <family val="2"/>
      </rPr>
      <t xml:space="preserve">  </t>
    </r>
  </si>
  <si>
    <r>
      <t xml:space="preserve">EVALUATION DU BESOIN EN FONDS DE ROULEMENT   -  </t>
    </r>
    <r>
      <rPr>
        <b/>
        <i/>
        <sz val="12"/>
        <color indexed="9"/>
        <rFont val="Calibri"/>
        <family val="2"/>
      </rPr>
      <t xml:space="preserve"> </t>
    </r>
    <r>
      <rPr>
        <b/>
        <i/>
        <sz val="12"/>
        <color rgb="FF99CC00"/>
        <rFont val="Calibri"/>
        <family val="2"/>
      </rPr>
      <t>LANEKO KAPITAL BEHARRIZANAREN BALIOZTATEA</t>
    </r>
  </si>
  <si>
    <r>
      <t>1</t>
    </r>
    <r>
      <rPr>
        <b/>
        <vertAlign val="superscript"/>
        <sz val="12"/>
        <color indexed="9"/>
        <rFont val="Calibri"/>
        <family val="2"/>
      </rPr>
      <t>er</t>
    </r>
    <r>
      <rPr>
        <b/>
        <sz val="12"/>
        <color indexed="9"/>
        <rFont val="Calibri"/>
        <family val="2"/>
      </rPr>
      <t xml:space="preserve"> exercice</t>
    </r>
  </si>
  <si>
    <r>
      <t>2</t>
    </r>
    <r>
      <rPr>
        <b/>
        <vertAlign val="superscript"/>
        <sz val="12"/>
        <color indexed="9"/>
        <rFont val="Calibri"/>
        <family val="2"/>
      </rPr>
      <t>ème</t>
    </r>
    <r>
      <rPr>
        <b/>
        <sz val="12"/>
        <color indexed="9"/>
        <rFont val="Calibri"/>
        <family val="2"/>
      </rPr>
      <t xml:space="preserve"> exercice</t>
    </r>
  </si>
  <si>
    <r>
      <t>3</t>
    </r>
    <r>
      <rPr>
        <b/>
        <vertAlign val="superscript"/>
        <sz val="12"/>
        <color indexed="9"/>
        <rFont val="Calibri"/>
        <family val="2"/>
      </rPr>
      <t>ème</t>
    </r>
    <r>
      <rPr>
        <b/>
        <sz val="12"/>
        <color indexed="9"/>
        <rFont val="Calibri"/>
        <family val="2"/>
      </rPr>
      <t xml:space="preserve"> exercice</t>
    </r>
  </si>
  <si>
    <r>
      <t xml:space="preserve">S Y N T H E S E  /  </t>
    </r>
    <r>
      <rPr>
        <b/>
        <i/>
        <sz val="12"/>
        <color rgb="FF99CC00"/>
        <rFont val="Calibri"/>
        <family val="2"/>
      </rPr>
      <t>L A P U R P E N A</t>
    </r>
    <r>
      <rPr>
        <b/>
        <i/>
        <sz val="12"/>
        <color rgb="FF00FF99"/>
        <rFont val="Calibri"/>
        <family val="2"/>
      </rPr>
      <t xml:space="preserve"> </t>
    </r>
  </si>
  <si>
    <r>
      <t xml:space="preserve">B U D G E T  D E  T R E S O R E R I E  /  </t>
    </r>
    <r>
      <rPr>
        <b/>
        <i/>
        <sz val="12"/>
        <color rgb="FF99CC00"/>
        <rFont val="Calibri"/>
        <family val="2"/>
      </rPr>
      <t>A L T X O R T E G I K O  A U R R E K O N T U A</t>
    </r>
  </si>
  <si>
    <r>
      <t xml:space="preserve">Simulations chiffre d'affaires - résultat - trésorerie   /   </t>
    </r>
    <r>
      <rPr>
        <b/>
        <i/>
        <sz val="12"/>
        <color rgb="FF99CC00"/>
        <rFont val="Calibri"/>
        <family val="2"/>
        <scheme val="minor"/>
      </rPr>
      <t>Aurreikuspen desberdinak</t>
    </r>
  </si>
  <si>
    <t>Brevets, marques, dessins et modèles</t>
  </si>
  <si>
    <t>Autres frais de R&amp;D (part immobilisée)</t>
  </si>
  <si>
    <t>Prototypes</t>
  </si>
  <si>
    <t xml:space="preserve"> Marketing</t>
  </si>
  <si>
    <t xml:space="preserve"> R &amp; D</t>
  </si>
  <si>
    <t>Quotité 
des achats</t>
  </si>
  <si>
    <t>L'entreprise aura-t-elle un ou plusieurs clients qui représentent :</t>
  </si>
  <si>
    <t xml:space="preserve">Combien </t>
  </si>
  <si>
    <t>Code activité NAF</t>
  </si>
  <si>
    <r>
      <rPr>
        <b/>
        <sz val="14"/>
        <color indexed="32"/>
        <rFont val="Calibri"/>
        <family val="2"/>
      </rPr>
      <t>=&gt;</t>
    </r>
    <r>
      <rPr>
        <sz val="11"/>
        <color indexed="32"/>
        <rFont val="Calibri"/>
        <family val="2"/>
      </rPr>
      <t xml:space="preserve"> plus de 10% </t>
    </r>
  </si>
  <si>
    <t>L'entreprise aura-t-elle un ou des fournisseurs principaux difficiles à remplacer ?</t>
  </si>
  <si>
    <t>L'entreprise aura-t-elle un ou plusieurs sous-traitants principaux difficiles à remplacer ?</t>
  </si>
  <si>
    <t>Si oui, combien de fournisseur(s) concerné(s) ?</t>
  </si>
  <si>
    <t>Si oui, combien de sous-traitant(s) concerné(s) ?</t>
  </si>
  <si>
    <t>Exonération</t>
  </si>
  <si>
    <t xml:space="preserve"> Dividendes sur participation</t>
  </si>
  <si>
    <t xml:space="preserve"> Prix de cession</t>
  </si>
  <si>
    <t xml:space="preserve"> Revenus sur obligations </t>
  </si>
  <si>
    <t xml:space="preserve"> Revenus sur titres participatifs</t>
  </si>
  <si>
    <t xml:space="preserve"> Revenus sur </t>
  </si>
  <si>
    <t>Obligations convertibles</t>
  </si>
  <si>
    <t>Int</t>
  </si>
  <si>
    <t>Amort K</t>
  </si>
  <si>
    <t>Solde K</t>
  </si>
  <si>
    <t xml:space="preserve">Faible </t>
  </si>
  <si>
    <t xml:space="preserve">Moyen </t>
  </si>
  <si>
    <t xml:space="preserve">Fort </t>
  </si>
  <si>
    <t>Note 
pondérée</t>
  </si>
  <si>
    <t>Evaluation</t>
  </si>
  <si>
    <t xml:space="preserve"> Degré de connaissance du marche visé</t>
  </si>
  <si>
    <t>III - Données économiques et financières</t>
  </si>
  <si>
    <t xml:space="preserve"> Crédibilité des prévisions de chiffre d'affaires</t>
  </si>
  <si>
    <t xml:space="preserve"> Réalisme des prévisions financières</t>
  </si>
  <si>
    <t>Synthèse III - Données économiques et financières</t>
  </si>
  <si>
    <t>IV - Management et ressources humaines</t>
  </si>
  <si>
    <t xml:space="preserve"> Perspectives de création d'emploi</t>
  </si>
  <si>
    <t xml:space="preserve">Synthèse IV - Management et ressources humaines </t>
  </si>
  <si>
    <t>Note</t>
  </si>
  <si>
    <t>Moyenne :</t>
  </si>
  <si>
    <t xml:space="preserve"> Nombre d'avis favorables</t>
  </si>
  <si>
    <t xml:space="preserve"> Nombre d'avis défavorables</t>
  </si>
  <si>
    <t xml:space="preserve"> Nombre de sans avis</t>
  </si>
  <si>
    <t>L'apport en nature est l'apport d'un bien autre que de l'argent. Ce peut être un bien corporel (immeuble, matériel …) ou incorporel (fonds de commerce, brevet …). Chacun de ces apports doit faire l'objet d'une évaluation.</t>
  </si>
  <si>
    <t>Sans objet 
N/A</t>
  </si>
  <si>
    <t xml:space="preserve"> Potentiel de croissance de ce marché</t>
  </si>
  <si>
    <t>Nombre de participants</t>
  </si>
  <si>
    <r>
      <t xml:space="preserve"> Intensité de la concurrence </t>
    </r>
    <r>
      <rPr>
        <sz val="9"/>
        <color rgb="FF002060"/>
        <rFont val="Calibri"/>
        <family val="2"/>
        <scheme val="minor"/>
      </rPr>
      <t>(faible = point fort ; forte - point faible)</t>
    </r>
  </si>
  <si>
    <r>
      <t xml:space="preserve"> Niveau de connaissance des principaux concurrents </t>
    </r>
    <r>
      <rPr>
        <sz val="9"/>
        <color rgb="FF002060"/>
        <rFont val="Calibri"/>
        <family val="2"/>
        <scheme val="minor"/>
      </rPr>
      <t>(forces-faiblesses)</t>
    </r>
  </si>
  <si>
    <r>
      <t xml:space="preserve"> Possibilité de se différencier des concurrents 
 </t>
    </r>
    <r>
      <rPr>
        <sz val="9"/>
        <color rgb="FF002060"/>
        <rFont val="Calibri"/>
        <family val="2"/>
        <scheme val="minor"/>
      </rPr>
      <t>(produit ou technologie innovants, savoir-faire, emplacement, distribution, etc.)</t>
    </r>
  </si>
  <si>
    <r>
      <t xml:space="preserve"> Accés aux clients 
 </t>
    </r>
    <r>
      <rPr>
        <sz val="9"/>
        <color rgb="FF002060"/>
        <rFont val="Calibri"/>
        <family val="2"/>
        <scheme val="minor"/>
      </rPr>
      <t>(facilement accessibles = point fort; difficilement accessibles = point faible)</t>
    </r>
  </si>
  <si>
    <t>Grille d'évaluation économique et financière du projet par le comité technique</t>
  </si>
  <si>
    <t xml:space="preserve"> Avis du comité technique</t>
  </si>
  <si>
    <t>I - Marché de l'entreprise</t>
  </si>
  <si>
    <t xml:space="preserve">Synthèse I - marché de l'entreprise </t>
  </si>
  <si>
    <t>Synthèse II - Concurrence</t>
  </si>
  <si>
    <t>II - Concurrence</t>
  </si>
  <si>
    <t xml:space="preserve"> Adéquation des moyens d'exploitation (installations, équipements, matériels)</t>
  </si>
  <si>
    <t xml:space="preserve"> Marché de l'entreprise</t>
  </si>
  <si>
    <t xml:space="preserve"> Concurrence</t>
  </si>
  <si>
    <t xml:space="preserve"> Données économiques et financières</t>
  </si>
  <si>
    <t xml:space="preserve"> Management et ressources humaines</t>
  </si>
  <si>
    <t>Coefficient</t>
  </si>
  <si>
    <t>trimestriel</t>
  </si>
  <si>
    <t>Autres pers. physiques</t>
  </si>
  <si>
    <t>Autres associés pers. physiques</t>
  </si>
  <si>
    <t>Tpe-Pme-Pmi</t>
  </si>
  <si>
    <t>Agro alimentaire</t>
  </si>
  <si>
    <t>Automobile</t>
  </si>
  <si>
    <t>Bois/scierie/ameublement</t>
  </si>
  <si>
    <t>Communication</t>
  </si>
  <si>
    <t>Conseil/formation</t>
  </si>
  <si>
    <t>Chaudronnerie/métallurgie/tôlerie</t>
  </si>
  <si>
    <t>Chimie/parachimie</t>
  </si>
  <si>
    <t>Edition/impression/reproduction</t>
  </si>
  <si>
    <t>Electricité/électronique</t>
  </si>
  <si>
    <t>Environnement</t>
  </si>
  <si>
    <t>Equipement industriel</t>
  </si>
  <si>
    <t>Hôtel/café/bar/restautant</t>
  </si>
  <si>
    <t>Informatique-bureautique</t>
  </si>
  <si>
    <t>Mécanique de précision</t>
  </si>
  <si>
    <t>Papier-carton/emballage</t>
  </si>
  <si>
    <t>Plastique/caoutchouc</t>
  </si>
  <si>
    <t>Santé</t>
  </si>
  <si>
    <t>Services aux particuliers</t>
  </si>
  <si>
    <t>Services aux entreprises</t>
  </si>
  <si>
    <t>Tabac-presse/librairie</t>
  </si>
  <si>
    <t>Transports/logistique</t>
  </si>
  <si>
    <t>Aéronautique</t>
  </si>
  <si>
    <t>Commerce de détail alimentaire</t>
  </si>
  <si>
    <t>Textile/habillement</t>
  </si>
  <si>
    <t xml:space="preserve">    Activité soumise à</t>
  </si>
  <si>
    <t>Artisanat</t>
  </si>
  <si>
    <t>Import/export</t>
  </si>
  <si>
    <t>Service</t>
  </si>
  <si>
    <t>Production</t>
  </si>
  <si>
    <t>Fabrication</t>
  </si>
  <si>
    <t>Nature de l'activité</t>
  </si>
  <si>
    <t>Secteur</t>
  </si>
  <si>
    <t>La mise en place d'un système d'intéressement aux résultats au profit du personnel est-il prévu ?</t>
  </si>
  <si>
    <t xml:space="preserve"> Est-il prévu d'associer le personnel au capital de l'entreprise (PEE, autre) ?</t>
  </si>
  <si>
    <t xml:space="preserve"> dépôt de garantie ?</t>
  </si>
  <si>
    <t xml:space="preserve"> Loyer et charges locatives annuels</t>
  </si>
  <si>
    <r>
      <t xml:space="preserve"> Niveau de qualification du personnel pour l'activité prévue 
 </t>
    </r>
    <r>
      <rPr>
        <sz val="9"/>
        <color rgb="FF002060"/>
        <rFont val="Calibri"/>
        <family val="2"/>
        <scheme val="minor"/>
      </rPr>
      <t>(compétence et savoir-faire)</t>
    </r>
  </si>
  <si>
    <t>Site Agence France Entrepreneur</t>
  </si>
  <si>
    <r>
      <t xml:space="preserve">Vous avez décidé de créer une entreprise , </t>
    </r>
    <r>
      <rPr>
        <b/>
        <i/>
        <sz val="10.5"/>
        <color rgb="FF002060"/>
        <rFont val="Calibri"/>
        <family val="2"/>
      </rPr>
      <t>félicitations !</t>
    </r>
  </si>
  <si>
    <r>
      <t xml:space="preserve">Ce dossier doit être compris comme un </t>
    </r>
    <r>
      <rPr>
        <b/>
        <i/>
        <sz val="10.5"/>
        <color rgb="FF002060"/>
        <rFont val="Calibri"/>
        <family val="2"/>
      </rPr>
      <t>outil d'aide</t>
    </r>
    <r>
      <rPr>
        <i/>
        <sz val="10.5"/>
        <color rgb="FF002060"/>
        <rFont val="Calibri"/>
        <family val="2"/>
      </rPr>
      <t xml:space="preserve"> à la réflexion et à la préparation de votre projet. Sa rédaction ne doit pas être considérée comme une corvée mais comme un travail nécessaire et utile car l'effort de rédaction va vous obliger à clarifier vos idées et donc à affiner votre projet.</t>
    </r>
  </si>
  <si>
    <r>
      <t xml:space="preserve">Ce dossier se veut également un </t>
    </r>
    <r>
      <rPr>
        <b/>
        <i/>
        <sz val="10.5"/>
        <color rgb="FF002060"/>
        <rFont val="Calibri"/>
        <family val="2"/>
      </rPr>
      <t>support de communication</t>
    </r>
    <r>
      <rPr>
        <i/>
        <sz val="10.5"/>
        <color rgb="FF002060"/>
        <rFont val="Calibri"/>
        <family val="2"/>
      </rPr>
      <t xml:space="preserve"> qui doit vous permettre de convaincre vos futurs partenaires, en particulier les financeurs potentiels. Il doit permettre au porteur de projet de :</t>
    </r>
  </si>
  <si>
    <r>
      <t xml:space="preserve">La </t>
    </r>
    <r>
      <rPr>
        <b/>
        <i/>
        <sz val="10.5"/>
        <color rgb="FF002060"/>
        <rFont val="Calibri"/>
        <family val="2"/>
      </rPr>
      <t>partie économique</t>
    </r>
    <r>
      <rPr>
        <i/>
        <sz val="10.5"/>
        <color rgb="FF002060"/>
        <rFont val="Calibri"/>
        <family val="2"/>
      </rPr>
      <t xml:space="preserve"> a pour objet de présenter le ou les créateurs, les produits ou services proposés, le marché, le positionnement concurrentiel, la politique commerciale, les moyens à mettre en œuvre.</t>
    </r>
  </si>
  <si>
    <r>
      <t xml:space="preserve">La </t>
    </r>
    <r>
      <rPr>
        <b/>
        <i/>
        <sz val="10.5"/>
        <color rgb="FF002060"/>
        <rFont val="Calibri"/>
        <family val="2"/>
      </rPr>
      <t>partie financière</t>
    </r>
    <r>
      <rPr>
        <i/>
        <sz val="10.5"/>
        <color rgb="FF002060"/>
        <rFont val="Calibri"/>
        <family val="2"/>
      </rPr>
      <t xml:space="preserve"> se propose de répondre aux  questions suivantes :</t>
    </r>
  </si>
  <si>
    <r>
      <t xml:space="preserve">* le </t>
    </r>
    <r>
      <rPr>
        <b/>
        <i/>
        <sz val="10.5"/>
        <color rgb="FF002060"/>
        <rFont val="Calibri"/>
        <family val="2"/>
      </rPr>
      <t>plan de financement initial</t>
    </r>
    <r>
      <rPr>
        <i/>
        <sz val="10.5"/>
        <color rgb="FF002060"/>
        <rFont val="Calibri"/>
        <family val="2"/>
      </rPr>
      <t xml:space="preserve"> vous permettra de répondre à la première question</t>
    </r>
  </si>
  <si>
    <r>
      <t xml:space="preserve">* le </t>
    </r>
    <r>
      <rPr>
        <b/>
        <i/>
        <sz val="10.5"/>
        <color rgb="FF002060"/>
        <rFont val="Calibri"/>
        <family val="2"/>
      </rPr>
      <t>compte de résultat prévisionnel</t>
    </r>
    <r>
      <rPr>
        <i/>
        <sz val="10.5"/>
        <color rgb="FF002060"/>
        <rFont val="Calibri"/>
        <family val="2"/>
      </rPr>
      <t>, de répondre à la deuxième</t>
    </r>
  </si>
  <si>
    <r>
      <t xml:space="preserve">* </t>
    </r>
    <r>
      <rPr>
        <b/>
        <i/>
        <sz val="10.5"/>
        <color rgb="FF002060"/>
        <rFont val="Calibri"/>
        <family val="2"/>
      </rPr>
      <t>le plan de financement à 3 ans</t>
    </r>
    <r>
      <rPr>
        <i/>
        <sz val="10.5"/>
        <color rgb="FF002060"/>
        <rFont val="Calibri"/>
        <family val="2"/>
      </rPr>
      <t>, à la troisième.</t>
    </r>
  </si>
  <si>
    <r>
      <t xml:space="preserve">Pour donner à votre entreprise de bonnes chances de succès, faîtes donc preuve d'un </t>
    </r>
    <r>
      <rPr>
        <b/>
        <i/>
        <sz val="10.5"/>
        <color rgb="FF002060"/>
        <rFont val="Calibri"/>
        <family val="2"/>
      </rPr>
      <t>maximum de réalisme et de bon sens</t>
    </r>
    <r>
      <rPr>
        <i/>
        <sz val="10.5"/>
        <color rgb="FF002060"/>
        <rFont val="Calibri"/>
        <family val="2"/>
      </rPr>
      <t xml:space="preserve"> dans toutes vos prévisions !</t>
    </r>
  </si>
  <si>
    <t xml:space="preserve"> Capacité, complémentarité, expérience et motivation de l'équipe dirigeante</t>
  </si>
  <si>
    <t>Graphiques</t>
  </si>
  <si>
    <t>Besoins de financement</t>
  </si>
  <si>
    <t>Ressources financières</t>
  </si>
  <si>
    <r>
      <t>Endettement /</t>
    </r>
    <r>
      <rPr>
        <sz val="10"/>
        <color rgb="FF002060"/>
        <rFont val="Symbol"/>
        <family val="1"/>
        <charset val="2"/>
      </rPr>
      <t>S</t>
    </r>
    <r>
      <rPr>
        <sz val="10"/>
        <color rgb="FF002060"/>
        <rFont val="Calibri"/>
        <family val="2"/>
      </rPr>
      <t xml:space="preserve"> CAF des 3 années</t>
    </r>
  </si>
  <si>
    <t>= ou &gt;</t>
  </si>
  <si>
    <t>&lt; ou =</t>
  </si>
  <si>
    <t>1° mois</t>
  </si>
  <si>
    <t>2° mois</t>
  </si>
  <si>
    <t>3° mois</t>
  </si>
  <si>
    <t>4° mois</t>
  </si>
  <si>
    <t>12° mois</t>
  </si>
  <si>
    <t>11° mois</t>
  </si>
  <si>
    <t>10° mois</t>
  </si>
  <si>
    <t>9° mois</t>
  </si>
  <si>
    <t>8° mois</t>
  </si>
  <si>
    <t>6° mois</t>
  </si>
  <si>
    <t>7° mois</t>
  </si>
  <si>
    <t>5° mois</t>
  </si>
  <si>
    <t>13° mois</t>
  </si>
  <si>
    <t>14° mois</t>
  </si>
  <si>
    <t>15° mois</t>
  </si>
  <si>
    <t>16° mois</t>
  </si>
  <si>
    <t>17° mois</t>
  </si>
  <si>
    <t>18° mois</t>
  </si>
  <si>
    <t>19° mois</t>
  </si>
  <si>
    <t>20° mois</t>
  </si>
  <si>
    <t>21° mois</t>
  </si>
  <si>
    <t>22° mois</t>
  </si>
  <si>
    <t>23° mois</t>
  </si>
  <si>
    <t>S</t>
  </si>
  <si>
    <r>
      <t xml:space="preserve">II - Montée en charge de l'activité - prévisions mensuelles  -  </t>
    </r>
    <r>
      <rPr>
        <b/>
        <i/>
        <sz val="12"/>
        <color theme="6" tint="-0.249977111117893"/>
        <rFont val="Calibri"/>
        <family val="2"/>
      </rPr>
      <t>Hilabeteko salmentak</t>
    </r>
  </si>
  <si>
    <r>
      <rPr>
        <b/>
        <sz val="10"/>
        <color rgb="FF002060"/>
        <rFont val="Symbol"/>
        <family val="1"/>
        <charset val="2"/>
      </rPr>
      <t>S</t>
    </r>
    <r>
      <rPr>
        <b/>
        <sz val="10"/>
        <color rgb="FF002060"/>
        <rFont val="Calibri"/>
        <family val="2"/>
      </rPr>
      <t xml:space="preserve"> produits finis 
et produits en cours</t>
    </r>
  </si>
  <si>
    <r>
      <rPr>
        <i/>
        <sz val="10"/>
        <color rgb="FF0000FF"/>
        <rFont val="Symbol"/>
        <family val="1"/>
        <charset val="2"/>
      </rPr>
      <t>D</t>
    </r>
    <r>
      <rPr>
        <i/>
        <sz val="10"/>
        <color rgb="FF0000FF"/>
        <rFont val="Calibri"/>
        <family val="2"/>
      </rPr>
      <t xml:space="preserve"> annuelle</t>
    </r>
  </si>
  <si>
    <t>Règlements fournisseurs</t>
  </si>
  <si>
    <t>Solde de trésorerie en fin de mois</t>
  </si>
  <si>
    <t>Remboursement de tva</t>
  </si>
  <si>
    <r>
      <t>Achats HT</t>
    </r>
    <r>
      <rPr>
        <sz val="8"/>
        <color theme="1"/>
        <rFont val="Calibri"/>
        <family val="2"/>
        <scheme val="minor"/>
      </rPr>
      <t xml:space="preserve"> </t>
    </r>
    <r>
      <rPr>
        <sz val="10"/>
        <color theme="1"/>
        <rFont val="Calibri"/>
        <family val="2"/>
        <scheme val="minor"/>
      </rPr>
      <t xml:space="preserve">  -----</t>
    </r>
    <r>
      <rPr>
        <b/>
        <sz val="10"/>
        <color theme="1"/>
        <rFont val="Calibri"/>
        <family val="2"/>
        <scheme val="minor"/>
      </rPr>
      <t>-&gt;</t>
    </r>
    <r>
      <rPr>
        <sz val="10"/>
        <color theme="1"/>
        <rFont val="Calibri"/>
        <family val="2"/>
        <scheme val="minor"/>
      </rPr>
      <t xml:space="preserve"> montants mensuels à renseigner</t>
    </r>
    <r>
      <rPr>
        <sz val="8"/>
        <color theme="1"/>
        <rFont val="Calibri"/>
        <family val="2"/>
        <scheme val="minor"/>
      </rPr>
      <t xml:space="preserve">
</t>
    </r>
    <r>
      <rPr>
        <i/>
        <sz val="8"/>
        <color theme="1"/>
        <rFont val="Calibri"/>
        <family val="2"/>
        <scheme val="minor"/>
      </rPr>
      <t>(hors assurances, crédit-bail, locations financières, loyers)</t>
    </r>
  </si>
  <si>
    <t xml:space="preserve">1er exercice </t>
  </si>
  <si>
    <t>2° exercice</t>
  </si>
  <si>
    <t>3° exercice</t>
  </si>
  <si>
    <t>1° exercice</t>
  </si>
  <si>
    <t>Plan d'embauche sur le 1° exercice</t>
  </si>
  <si>
    <r>
      <rPr>
        <sz val="10"/>
        <color rgb="FF002060"/>
        <rFont val="Symbol"/>
        <family val="1"/>
        <charset val="2"/>
      </rPr>
      <t>S</t>
    </r>
    <r>
      <rPr>
        <sz val="10"/>
        <color rgb="FF002060"/>
        <rFont val="Calibri"/>
        <family val="2"/>
        <scheme val="minor"/>
      </rPr>
      <t xml:space="preserve"> des salaires bruts  </t>
    </r>
    <r>
      <rPr>
        <i/>
        <sz val="10"/>
        <color rgb="FF002060"/>
        <rFont val="Calibri"/>
        <family val="2"/>
        <scheme val="minor"/>
      </rPr>
      <t xml:space="preserve">(hors intérim)  </t>
    </r>
  </si>
  <si>
    <t>Charges de personnel 
hors intérim :</t>
  </si>
  <si>
    <t>1°
exercice</t>
  </si>
  <si>
    <t xml:space="preserve">2° </t>
  </si>
  <si>
    <t xml:space="preserve">3° </t>
  </si>
  <si>
    <t xml:space="preserve">Taux d'intérêt </t>
  </si>
  <si>
    <t>En savoir + sur les apports en nature</t>
  </si>
  <si>
    <t>+ sur les avances remboursables</t>
  </si>
  <si>
    <t>Quote-part 
détenue</t>
  </si>
  <si>
    <t xml:space="preserve"> caution personnelle</t>
  </si>
  <si>
    <t xml:space="preserve"> nantissement fond de com.</t>
  </si>
  <si>
    <t xml:space="preserve"> nantissement de matériel</t>
  </si>
  <si>
    <t>Agios et frais bancaires</t>
  </si>
  <si>
    <t>* Carences de gestion : mauvaise appréciation des besoins de l'entreprise, des coûts de revient …,</t>
  </si>
  <si>
    <t>* Manque de fonds propres</t>
  </si>
  <si>
    <r>
      <t xml:space="preserve">Capacité d'autofinancement   -  </t>
    </r>
    <r>
      <rPr>
        <b/>
        <sz val="10"/>
        <color rgb="FF002060"/>
        <rFont val="Calibri"/>
        <family val="2"/>
      </rPr>
      <t xml:space="preserve"> CAF </t>
    </r>
  </si>
  <si>
    <t>non</t>
  </si>
  <si>
    <r>
      <t xml:space="preserve">L e   p r o d u i t   e t   s o n   m a r c h é   /   </t>
    </r>
    <r>
      <rPr>
        <b/>
        <i/>
        <sz val="13"/>
        <color rgb="FF99CC00"/>
        <rFont val="Calibri"/>
        <family val="2"/>
      </rPr>
      <t xml:space="preserve">E k o i z k i n a   e t a    b e r e   m e r k a t u a </t>
    </r>
  </si>
  <si>
    <r>
      <t xml:space="preserve">P o l i t i q u e   c o m m e r c i a l e    /   </t>
    </r>
    <r>
      <rPr>
        <b/>
        <i/>
        <sz val="13"/>
        <color rgb="FF99CC00"/>
        <rFont val="Calibri"/>
        <family val="2"/>
      </rPr>
      <t xml:space="preserve"> M e r k a t a r i t z a k o   p o l i t i k a</t>
    </r>
  </si>
  <si>
    <r>
      <t xml:space="preserve">P o l i t i q u e   d ' a c h a t s    /   </t>
    </r>
    <r>
      <rPr>
        <b/>
        <i/>
        <sz val="13"/>
        <color rgb="FF99CC00"/>
        <rFont val="Calibri"/>
        <family val="2"/>
      </rPr>
      <t xml:space="preserve"> E r o s k e t e k o   p o l i t i k a</t>
    </r>
  </si>
  <si>
    <r>
      <t>3</t>
    </r>
    <r>
      <rPr>
        <b/>
        <vertAlign val="superscript"/>
        <sz val="12"/>
        <color indexed="9"/>
        <rFont val="Calibri"/>
        <family val="2"/>
        <scheme val="minor"/>
      </rPr>
      <t>°</t>
    </r>
    <r>
      <rPr>
        <b/>
        <sz val="12"/>
        <color indexed="9"/>
        <rFont val="Calibri"/>
        <family val="2"/>
        <scheme val="minor"/>
      </rPr>
      <t xml:space="preserve"> exercice</t>
    </r>
  </si>
  <si>
    <r>
      <t xml:space="preserve">C O M P R E N D R E    /   </t>
    </r>
    <r>
      <rPr>
        <b/>
        <i/>
        <sz val="12"/>
        <color rgb="FF99CC00"/>
        <rFont val="Calibri"/>
        <family val="2"/>
      </rPr>
      <t xml:space="preserve"> U L E R T U</t>
    </r>
  </si>
  <si>
    <t>De ces observations, il en résulte qu'en règle générale, l'entreprise devra  faire face à des remboursements de dettes avant d'avoir encaissé les recettes prévues. Un tel processus peut entraîner 
à terme la rupture de trésorerie et la cessation de paiements. D'où la nécessité d'un "fonds de réserve".</t>
  </si>
  <si>
    <t>Bien comprendre ce mécanisme simple, c'est s'éviter cette trop fréquente et douloureuse interrogation : 
comment se fait-il que j'ai tant de problèmes financiers alors que mon activité est suffisante et rentable ?</t>
  </si>
  <si>
    <t>Une entreprise doit être rentable pour durer !</t>
  </si>
  <si>
    <r>
      <t xml:space="preserve">II - Autres financements durables  -  </t>
    </r>
    <r>
      <rPr>
        <b/>
        <i/>
        <sz val="12"/>
        <color theme="6" tint="-0.24994659260841701"/>
        <rFont val="Calibri"/>
        <family val="2"/>
        <scheme val="minor"/>
      </rPr>
      <t>Bertze baliabide irraunkorrak</t>
    </r>
  </si>
  <si>
    <r>
      <t xml:space="preserve"> L E   P R O J E T   /   </t>
    </r>
    <r>
      <rPr>
        <b/>
        <i/>
        <sz val="12"/>
        <color rgb="FF99CC00"/>
        <rFont val="Calibri"/>
        <family val="2"/>
      </rPr>
      <t>E G I T A S M O A</t>
    </r>
  </si>
  <si>
    <r>
      <t xml:space="preserve"> P R E S E N T A T I O N   D U   O U   D E S   P O R T E U R (S)   D E  P R O J E T   /   </t>
    </r>
    <r>
      <rPr>
        <b/>
        <i/>
        <sz val="12"/>
        <color rgb="FF99CC00"/>
        <rFont val="Calibri"/>
        <family val="2"/>
      </rPr>
      <t>L A N T E G I   B U R U ( e n )   A U R K E Z P E N A</t>
    </r>
  </si>
  <si>
    <r>
      <t xml:space="preserve">P  R  E  A  M  B  U  L  E    /    </t>
    </r>
    <r>
      <rPr>
        <b/>
        <i/>
        <sz val="12"/>
        <color rgb="FF99CC00"/>
        <rFont val="Calibri"/>
        <family val="2"/>
      </rPr>
      <t>A  I  T  Z  I  N  S  O  L  A  S</t>
    </r>
  </si>
  <si>
    <r>
      <t xml:space="preserve">Le plan de financement de début d'activité doit être, au minimum, </t>
    </r>
    <r>
      <rPr>
        <b/>
        <i/>
        <u/>
        <sz val="10.5"/>
        <color rgb="FF002060"/>
        <rFont val="Calibri"/>
        <family val="2"/>
      </rPr>
      <t>équilibré</t>
    </r>
    <r>
      <rPr>
        <i/>
        <sz val="10.5"/>
        <color rgb="FF002060"/>
        <rFont val="Calibri"/>
        <family val="2"/>
      </rPr>
      <t xml:space="preserve">
                 le total des ressources doit être </t>
    </r>
    <r>
      <rPr>
        <b/>
        <i/>
        <u/>
        <sz val="10.5"/>
        <color rgb="FF002060"/>
        <rFont val="Calibri"/>
        <family val="2"/>
      </rPr>
      <t>au moins égal</t>
    </r>
    <r>
      <rPr>
        <i/>
        <sz val="10.5"/>
        <color rgb="FF002060"/>
        <rFont val="Calibri"/>
        <family val="2"/>
      </rPr>
      <t xml:space="preserve"> au total des besoins</t>
    </r>
  </si>
  <si>
    <t>Total 
guztira</t>
  </si>
  <si>
    <t>Total / Guztira</t>
  </si>
  <si>
    <r>
      <t xml:space="preserve">  Solde intermédiaire </t>
    </r>
    <r>
      <rPr>
        <b/>
        <i/>
        <sz val="10"/>
        <rFont val="Calibri"/>
        <family val="2"/>
      </rPr>
      <t>(Besoins  -</t>
    </r>
    <r>
      <rPr>
        <b/>
        <i/>
        <sz val="10"/>
        <color rgb="FF0000FF"/>
        <rFont val="Calibri"/>
        <family val="2"/>
      </rPr>
      <t>Ressources</t>
    </r>
    <r>
      <rPr>
        <b/>
        <i/>
        <sz val="10"/>
        <rFont val="Calibri"/>
        <family val="2"/>
      </rPr>
      <t>)</t>
    </r>
  </si>
  <si>
    <r>
      <t xml:space="preserve">  Solde intermédiaire </t>
    </r>
    <r>
      <rPr>
        <b/>
        <i/>
        <sz val="10"/>
        <rFont val="Calibri"/>
        <family val="2"/>
      </rPr>
      <t xml:space="preserve">(Besoins - </t>
    </r>
    <r>
      <rPr>
        <b/>
        <i/>
        <sz val="10"/>
        <color rgb="FF0000FF"/>
        <rFont val="Calibri"/>
        <family val="2"/>
      </rPr>
      <t>Ressources</t>
    </r>
    <r>
      <rPr>
        <b/>
        <i/>
        <sz val="10"/>
        <rFont val="Calibri"/>
        <family val="2"/>
      </rPr>
      <t>)</t>
    </r>
  </si>
  <si>
    <t xml:space="preserve">  Trésorerie nette cumulée</t>
  </si>
  <si>
    <t xml:space="preserve">  Total des ressources financières</t>
  </si>
  <si>
    <t xml:space="preserve">  Total des financements complémentaires</t>
  </si>
  <si>
    <t xml:space="preserve">  Montant total des apports en capital </t>
  </si>
  <si>
    <t xml:space="preserve">  Total des besoins de financement</t>
  </si>
  <si>
    <t xml:space="preserve">Résultat </t>
  </si>
  <si>
    <t>Ensemble des investissements 
(investissements matériels, immatériels et financiers)</t>
  </si>
  <si>
    <r>
      <t xml:space="preserve"> </t>
    </r>
    <r>
      <rPr>
        <sz val="10"/>
        <color indexed="16"/>
        <rFont val="Calibri"/>
        <family val="2"/>
      </rPr>
      <t xml:space="preserve">▪ </t>
    </r>
    <r>
      <rPr>
        <sz val="10"/>
        <color indexed="16"/>
        <rFont val="Calibri"/>
        <family val="2"/>
        <scheme val="minor"/>
      </rPr>
      <t xml:space="preserve">en crédit-bail </t>
    </r>
  </si>
  <si>
    <r>
      <t xml:space="preserve"> </t>
    </r>
    <r>
      <rPr>
        <sz val="10"/>
        <color indexed="16"/>
        <rFont val="Calibri"/>
        <family val="2"/>
      </rPr>
      <t xml:space="preserve">▪ </t>
    </r>
    <r>
      <rPr>
        <sz val="10"/>
        <color indexed="16"/>
        <rFont val="Calibri"/>
        <family val="2"/>
        <scheme val="minor"/>
      </rPr>
      <t xml:space="preserve">hors crédit-bail </t>
    </r>
  </si>
  <si>
    <t>▪ Constitution exercice 1 
▪ Evolution (+ ou -) exercices 2 et 3</t>
  </si>
  <si>
    <r>
      <t xml:space="preserve"> ▪ Constitution an 1 et </t>
    </r>
    <r>
      <rPr>
        <sz val="10"/>
        <color rgb="FF002060"/>
        <rFont val="Calibri"/>
        <family val="2"/>
        <scheme val="minor"/>
      </rPr>
      <t>évolution</t>
    </r>
    <r>
      <rPr>
        <sz val="10"/>
        <color rgb="FF002060"/>
        <rFont val="Calibri"/>
        <family val="2"/>
      </rPr>
      <t xml:space="preserve"> (+ ou -) ans 2 et 3</t>
    </r>
  </si>
  <si>
    <r>
      <t xml:space="preserve">Dégagement de fonds de roulement  -  </t>
    </r>
    <r>
      <rPr>
        <b/>
        <sz val="10"/>
        <color rgb="FF002060"/>
        <rFont val="Calibri"/>
        <family val="2"/>
      </rPr>
      <t xml:space="preserve">DFR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</si>
</sst>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164" formatCode="#,##0.00\ &quot;F&quot;;[Red]\-#,##0.00\ &quot;F&quot;"/>
    <numFmt numFmtId="165" formatCode="0.0"/>
    <numFmt numFmtId="166" formatCode="#,##0&quot;  &quot;"/>
    <numFmt numFmtId="167" formatCode="#,##0&quot; &quot;"/>
    <numFmt numFmtId="168" formatCode="#,##0&quot; &quot;\ "/>
    <numFmt numFmtId="169" formatCode="0.0%"/>
    <numFmt numFmtId="170" formatCode="0&quot; j&quot;"/>
    <numFmt numFmtId="171" formatCode="0&quot; ans&quot;"/>
    <numFmt numFmtId="172" formatCode="#,##0&quot; euros&quot;"/>
    <numFmt numFmtId="173" formatCode="#,##0\ [$€-1]"/>
    <numFmt numFmtId="174" formatCode="0&quot; mois&quot;"/>
    <numFmt numFmtId="175" formatCode="#,##0\ &quot;€&quot;"/>
    <numFmt numFmtId="176" formatCode="0&quot; an(s)&quot;"/>
    <numFmt numFmtId="177" formatCode="mmmm"/>
    <numFmt numFmtId="178" formatCode="#,##0&quot; € &quot;"/>
    <numFmt numFmtId="179" formatCode="#,##0&quot; m2 &quot;"/>
    <numFmt numFmtId="180" formatCode="0.0%&quot; du Chiffre d'Affaires ht&quot;"/>
    <numFmt numFmtId="181" formatCode="#,##0\ &quot;€&quot;&quot; &quot;"/>
    <numFmt numFmtId="182" formatCode="#,##0&quot; €&quot;"/>
    <numFmt numFmtId="183" formatCode="0.0%\ &quot;du CA ht&quot;"/>
    <numFmt numFmtId="184" formatCode="#,##0.00&quot; &quot;"/>
    <numFmt numFmtId="185" formatCode="0&quot; J&quot;"/>
    <numFmt numFmtId="186" formatCode="0&quot; jour(s)&quot;"/>
    <numFmt numFmtId="187" formatCode="&quot;Année&quot;\ 0"/>
    <numFmt numFmtId="188" formatCode="\+\ #,##0&quot; &quot;;\-\ #,##0&quot; &quot;;0&quot; &quot;"/>
    <numFmt numFmtId="189" formatCode="dd/mm/yy;@"/>
    <numFmt numFmtId="190" formatCode="#,##0&quot; m2   &quot;"/>
    <numFmt numFmtId="191" formatCode="#,##0&quot; ans &quot;"/>
    <numFmt numFmtId="192" formatCode="0%&quot; du BFR&quot;"/>
    <numFmt numFmtId="193" formatCode="0&quot; jours de CA TTC&quot;"/>
    <numFmt numFmtId="194" formatCode="#,##0&quot; K€&quot;"/>
    <numFmt numFmtId="195" formatCode="0&quot; j de CA&quot;"/>
    <numFmt numFmtId="196" formatCode="0&quot; j d'achat&quot;"/>
    <numFmt numFmtId="197" formatCode="&quot;TRI&quot;\ 0.0%"/>
    <numFmt numFmtId="198" formatCode="0&quot; remb.&quot;"/>
    <numFmt numFmtId="199" formatCode="&quot;an&quot;\ 0"/>
    <numFmt numFmtId="200" formatCode="&quot;PNC&quot;\ 0.0%"/>
    <numFmt numFmtId="201" formatCode="0&quot;ème année&quot;"/>
    <numFmt numFmtId="202" formatCode="0&quot; annuités&quot;"/>
    <numFmt numFmtId="203" formatCode="#,##0.00\ &quot;€&quot;"/>
    <numFmt numFmtId="204" formatCode="\+\ #,##0.0%;\-\ #,##0.0%;0&quot; &quot;"/>
    <numFmt numFmtId="205" formatCode="dd/mm"/>
    <numFmt numFmtId="206" formatCode="0&quot; e mois&quot;"/>
    <numFmt numFmtId="207" formatCode="mmm"/>
    <numFmt numFmtId="208" formatCode="0.0&quot;/3&quot;"/>
    <numFmt numFmtId="209" formatCode="0&quot; avis&quot;"/>
    <numFmt numFmtId="210" formatCode="&quot;à&quot;\ 0%"/>
    <numFmt numFmtId="211" formatCode="&quot;à&quot;\ 0&quot; j&quot;"/>
    <numFmt numFmtId="212" formatCode="&quot;à&quot;\ 0"/>
    <numFmt numFmtId="213" formatCode="[$-40C]d\ mmmm\ yyyy;@"/>
    <numFmt numFmtId="214" formatCode="0&quot; pers.&quot;"/>
    <numFmt numFmtId="215" formatCode="\+\ 0.0%;\-\ 0.0%&quot; &quot;;0.0%&quot; &quot;"/>
  </numFmts>
  <fonts count="440" x14ac:knownFonts="1">
    <font>
      <sz val="10"/>
      <name val="Times New Roman"/>
    </font>
    <font>
      <sz val="11"/>
      <color theme="1"/>
      <name val="Calibri"/>
      <family val="2"/>
      <scheme val="minor"/>
    </font>
    <font>
      <sz val="11"/>
      <color theme="1"/>
      <name val="Calibri"/>
      <family val="2"/>
      <scheme val="minor"/>
    </font>
    <font>
      <sz val="10"/>
      <name val="MS Sans Serif"/>
      <family val="2"/>
    </font>
    <font>
      <sz val="8"/>
      <color indexed="81"/>
      <name val="Tahoma"/>
      <family val="2"/>
    </font>
    <font>
      <b/>
      <sz val="8"/>
      <color indexed="81"/>
      <name val="Tahoma"/>
      <family val="2"/>
    </font>
    <font>
      <sz val="8"/>
      <color indexed="12"/>
      <name val="Tahoma"/>
      <family val="2"/>
    </font>
    <font>
      <sz val="8"/>
      <color indexed="56"/>
      <name val="Tahoma"/>
      <family val="2"/>
    </font>
    <font>
      <sz val="9"/>
      <name val="Arial"/>
      <family val="2"/>
    </font>
    <font>
      <sz val="10"/>
      <color indexed="9"/>
      <name val="Times New Roman"/>
      <family val="1"/>
    </font>
    <font>
      <u/>
      <sz val="10"/>
      <color indexed="12"/>
      <name val="Times New Roman"/>
      <family val="1"/>
    </font>
    <font>
      <sz val="12"/>
      <name val="Calibri"/>
      <family val="2"/>
    </font>
    <font>
      <b/>
      <sz val="12"/>
      <name val="Calibri"/>
      <family val="2"/>
    </font>
    <font>
      <sz val="11"/>
      <name val="Calibri"/>
      <family val="2"/>
    </font>
    <font>
      <u/>
      <sz val="10"/>
      <color indexed="12"/>
      <name val="Calibri"/>
      <family val="2"/>
    </font>
    <font>
      <sz val="10"/>
      <name val="Calibri"/>
      <family val="2"/>
    </font>
    <font>
      <b/>
      <sz val="10"/>
      <color indexed="9"/>
      <name val="Calibri"/>
      <family val="2"/>
    </font>
    <font>
      <b/>
      <sz val="10"/>
      <name val="Calibri"/>
      <family val="2"/>
    </font>
    <font>
      <b/>
      <sz val="9"/>
      <name val="Calibri"/>
      <family val="2"/>
    </font>
    <font>
      <sz val="10"/>
      <color indexed="32"/>
      <name val="Calibri"/>
      <family val="2"/>
    </font>
    <font>
      <b/>
      <i/>
      <sz val="10"/>
      <color indexed="32"/>
      <name val="Calibri"/>
      <family val="2"/>
    </font>
    <font>
      <b/>
      <i/>
      <sz val="10"/>
      <color indexed="10"/>
      <name val="Calibri"/>
      <family val="2"/>
    </font>
    <font>
      <b/>
      <sz val="10"/>
      <color indexed="32"/>
      <name val="Calibri"/>
      <family val="2"/>
    </font>
    <font>
      <b/>
      <sz val="11"/>
      <name val="Calibri"/>
      <family val="2"/>
    </font>
    <font>
      <b/>
      <i/>
      <sz val="10"/>
      <name val="Calibri"/>
      <family val="2"/>
    </font>
    <font>
      <sz val="11"/>
      <color indexed="32"/>
      <name val="Calibri"/>
      <family val="2"/>
    </font>
    <font>
      <b/>
      <sz val="9"/>
      <color indexed="32"/>
      <name val="Calibri"/>
      <family val="2"/>
    </font>
    <font>
      <sz val="9"/>
      <color indexed="32"/>
      <name val="Calibri"/>
      <family val="2"/>
    </font>
    <font>
      <sz val="9"/>
      <name val="Calibri"/>
      <family val="2"/>
    </font>
    <font>
      <b/>
      <sz val="9"/>
      <color indexed="9"/>
      <name val="Calibri"/>
      <family val="2"/>
    </font>
    <font>
      <b/>
      <sz val="11"/>
      <color indexed="32"/>
      <name val="Calibri"/>
      <family val="2"/>
    </font>
    <font>
      <b/>
      <sz val="10"/>
      <color indexed="12"/>
      <name val="Calibri"/>
      <family val="2"/>
    </font>
    <font>
      <b/>
      <sz val="9"/>
      <color indexed="12"/>
      <name val="Calibri"/>
      <family val="2"/>
    </font>
    <font>
      <b/>
      <sz val="11"/>
      <color indexed="10"/>
      <name val="Calibri"/>
      <family val="2"/>
    </font>
    <font>
      <b/>
      <sz val="10"/>
      <color indexed="10"/>
      <name val="Calibri"/>
      <family val="2"/>
    </font>
    <font>
      <b/>
      <i/>
      <sz val="10.5"/>
      <color indexed="32"/>
      <name val="Calibri"/>
      <family val="2"/>
    </font>
    <font>
      <b/>
      <sz val="8"/>
      <name val="Calibri"/>
      <family val="2"/>
    </font>
    <font>
      <b/>
      <i/>
      <sz val="11"/>
      <color indexed="12"/>
      <name val="Calibri"/>
      <family val="2"/>
    </font>
    <font>
      <b/>
      <i/>
      <sz val="10"/>
      <color indexed="12"/>
      <name val="Calibri"/>
      <family val="2"/>
    </font>
    <font>
      <b/>
      <sz val="11"/>
      <color indexed="12"/>
      <name val="Calibri"/>
      <family val="2"/>
    </font>
    <font>
      <sz val="10"/>
      <color indexed="9"/>
      <name val="Calibri"/>
      <family val="2"/>
    </font>
    <font>
      <b/>
      <sz val="12"/>
      <color indexed="9"/>
      <name val="Calibri"/>
      <family val="2"/>
    </font>
    <font>
      <b/>
      <sz val="10"/>
      <color indexed="17"/>
      <name val="Calibri"/>
      <family val="2"/>
    </font>
    <font>
      <b/>
      <i/>
      <sz val="11"/>
      <color indexed="32"/>
      <name val="Calibri"/>
      <family val="2"/>
    </font>
    <font>
      <b/>
      <i/>
      <sz val="10"/>
      <color indexed="56"/>
      <name val="Calibri"/>
      <family val="2"/>
    </font>
    <font>
      <b/>
      <sz val="11"/>
      <color indexed="9"/>
      <name val="Calibri"/>
      <family val="2"/>
    </font>
    <font>
      <b/>
      <sz val="10"/>
      <color indexed="21"/>
      <name val="Calibri"/>
      <family val="2"/>
    </font>
    <font>
      <sz val="10"/>
      <color indexed="17"/>
      <name val="Calibri"/>
      <family val="2"/>
    </font>
    <font>
      <b/>
      <sz val="11"/>
      <color indexed="60"/>
      <name val="Calibri"/>
      <family val="2"/>
    </font>
    <font>
      <b/>
      <sz val="10"/>
      <color indexed="53"/>
      <name val="Calibri"/>
      <family val="2"/>
    </font>
    <font>
      <b/>
      <sz val="10"/>
      <color indexed="56"/>
      <name val="Calibri"/>
      <family val="2"/>
    </font>
    <font>
      <sz val="10"/>
      <color indexed="56"/>
      <name val="Calibri"/>
      <family val="2"/>
    </font>
    <font>
      <sz val="10"/>
      <color indexed="25"/>
      <name val="Calibri"/>
      <family val="2"/>
    </font>
    <font>
      <b/>
      <i/>
      <sz val="10"/>
      <color indexed="9"/>
      <name val="Calibri"/>
      <family val="2"/>
    </font>
    <font>
      <b/>
      <sz val="12"/>
      <color indexed="32"/>
      <name val="Calibri"/>
      <family val="2"/>
    </font>
    <font>
      <b/>
      <sz val="12"/>
      <color indexed="60"/>
      <name val="Calibri"/>
      <family val="2"/>
    </font>
    <font>
      <b/>
      <sz val="10"/>
      <color indexed="60"/>
      <name val="Calibri"/>
      <family val="2"/>
    </font>
    <font>
      <sz val="10"/>
      <color indexed="12"/>
      <name val="Calibri"/>
      <family val="2"/>
    </font>
    <font>
      <i/>
      <sz val="10"/>
      <color indexed="56"/>
      <name val="Calibri"/>
      <family val="2"/>
    </font>
    <font>
      <i/>
      <sz val="10"/>
      <color indexed="12"/>
      <name val="Calibri"/>
      <family val="2"/>
    </font>
    <font>
      <i/>
      <sz val="10"/>
      <name val="Calibri"/>
      <family val="2"/>
    </font>
    <font>
      <b/>
      <sz val="10.5"/>
      <color indexed="9"/>
      <name val="Calibri"/>
      <family val="2"/>
    </font>
    <font>
      <b/>
      <i/>
      <sz val="9"/>
      <color indexed="12"/>
      <name val="Calibri"/>
      <family val="2"/>
    </font>
    <font>
      <b/>
      <sz val="10"/>
      <color indexed="16"/>
      <name val="Calibri"/>
      <family val="2"/>
    </font>
    <font>
      <sz val="10.5"/>
      <name val="Calibri"/>
      <family val="2"/>
    </font>
    <font>
      <b/>
      <i/>
      <sz val="10.5"/>
      <color indexed="10"/>
      <name val="Calibri"/>
      <family val="2"/>
    </font>
    <font>
      <b/>
      <i/>
      <sz val="9"/>
      <color indexed="10"/>
      <name val="Calibri"/>
      <family val="2"/>
    </font>
    <font>
      <b/>
      <i/>
      <sz val="12"/>
      <color indexed="32"/>
      <name val="Calibri"/>
      <family val="2"/>
    </font>
    <font>
      <sz val="10"/>
      <name val="Times New Roman"/>
      <family val="1"/>
    </font>
    <font>
      <sz val="11"/>
      <name val="Times New Roman"/>
      <family val="1"/>
    </font>
    <font>
      <b/>
      <i/>
      <sz val="9"/>
      <color indexed="9"/>
      <name val="Calibri"/>
      <family val="2"/>
    </font>
    <font>
      <sz val="11"/>
      <color indexed="9"/>
      <name val="Calibri"/>
      <family val="2"/>
    </font>
    <font>
      <b/>
      <i/>
      <sz val="11"/>
      <color indexed="9"/>
      <name val="Calibri"/>
      <family val="2"/>
    </font>
    <font>
      <sz val="20"/>
      <name val="Calibri"/>
      <family val="2"/>
    </font>
    <font>
      <sz val="14"/>
      <name val="Calibri"/>
      <family val="2"/>
    </font>
    <font>
      <b/>
      <sz val="10"/>
      <color indexed="32"/>
      <name val="Calibri"/>
      <family val="2"/>
    </font>
    <font>
      <b/>
      <sz val="10"/>
      <color indexed="12"/>
      <name val="Calibri"/>
      <family val="2"/>
    </font>
    <font>
      <b/>
      <sz val="10"/>
      <color indexed="33"/>
      <name val="Calibri"/>
      <family val="2"/>
    </font>
    <font>
      <sz val="10"/>
      <name val="Calibri"/>
      <family val="2"/>
    </font>
    <font>
      <b/>
      <sz val="12"/>
      <color indexed="12"/>
      <name val="Calibri"/>
      <family val="2"/>
    </font>
    <font>
      <sz val="10"/>
      <color indexed="12"/>
      <name val="Tahoma"/>
      <family val="2"/>
    </font>
    <font>
      <sz val="12"/>
      <color indexed="32"/>
      <name val="Calibri"/>
      <family val="2"/>
    </font>
    <font>
      <b/>
      <u/>
      <sz val="10"/>
      <color indexed="32"/>
      <name val="Calibri"/>
      <family val="2"/>
    </font>
    <font>
      <u/>
      <sz val="10"/>
      <color indexed="32"/>
      <name val="Calibri"/>
      <family val="2"/>
    </font>
    <font>
      <b/>
      <sz val="12"/>
      <color indexed="56"/>
      <name val="Calibri"/>
      <family val="2"/>
    </font>
    <font>
      <b/>
      <u/>
      <sz val="12"/>
      <color indexed="10"/>
      <name val="Calibri"/>
      <family val="2"/>
    </font>
    <font>
      <b/>
      <i/>
      <sz val="12"/>
      <color indexed="50"/>
      <name val="Calibri"/>
      <family val="2"/>
    </font>
    <font>
      <b/>
      <i/>
      <sz val="12"/>
      <color indexed="9"/>
      <name val="Calibri"/>
      <family val="2"/>
    </font>
    <font>
      <b/>
      <sz val="8"/>
      <color indexed="12"/>
      <name val="Tahoma"/>
      <family val="2"/>
    </font>
    <font>
      <b/>
      <u/>
      <sz val="11"/>
      <color indexed="32"/>
      <name val="Calibri"/>
      <family val="2"/>
    </font>
    <font>
      <sz val="9"/>
      <color indexed="12"/>
      <name val="Calibri"/>
      <family val="2"/>
    </font>
    <font>
      <sz val="9"/>
      <color indexed="10"/>
      <name val="Calibri"/>
      <family val="2"/>
    </font>
    <font>
      <b/>
      <i/>
      <sz val="9"/>
      <color indexed="12"/>
      <name val="Calibri"/>
      <family val="2"/>
    </font>
    <font>
      <i/>
      <sz val="10"/>
      <name val="Calibri"/>
      <family val="2"/>
    </font>
    <font>
      <i/>
      <sz val="10"/>
      <color indexed="33"/>
      <name val="Calibri"/>
      <family val="2"/>
    </font>
    <font>
      <sz val="10"/>
      <color indexed="32"/>
      <name val="Times New Roman"/>
      <family val="1"/>
    </font>
    <font>
      <sz val="8"/>
      <color indexed="12"/>
      <name val="Calibri"/>
      <family val="2"/>
    </font>
    <font>
      <sz val="8"/>
      <name val="Times New Roman"/>
      <family val="1"/>
    </font>
    <font>
      <b/>
      <i/>
      <sz val="12"/>
      <color indexed="9"/>
      <name val="Calibri"/>
      <family val="2"/>
    </font>
    <font>
      <sz val="10.5"/>
      <color indexed="9"/>
      <name val="Calibri"/>
      <family val="2"/>
    </font>
    <font>
      <b/>
      <i/>
      <sz val="9"/>
      <color indexed="9"/>
      <name val="Calibri"/>
      <family val="2"/>
    </font>
    <font>
      <i/>
      <sz val="10.5"/>
      <name val="Calibri"/>
      <family val="2"/>
    </font>
    <font>
      <b/>
      <i/>
      <sz val="10.5"/>
      <color indexed="9"/>
      <name val="Calibri"/>
      <family val="2"/>
    </font>
    <font>
      <b/>
      <sz val="10.5"/>
      <color indexed="32"/>
      <name val="Calibri"/>
      <family val="2"/>
    </font>
    <font>
      <sz val="10.5"/>
      <color indexed="32"/>
      <name val="Calibri"/>
      <family val="2"/>
    </font>
    <font>
      <i/>
      <sz val="11"/>
      <name val="Calibri"/>
      <family val="2"/>
    </font>
    <font>
      <sz val="10"/>
      <color indexed="16"/>
      <name val="Calibri"/>
      <family val="2"/>
    </font>
    <font>
      <b/>
      <sz val="10"/>
      <color indexed="9"/>
      <name val="Calibri"/>
      <family val="2"/>
    </font>
    <font>
      <b/>
      <i/>
      <sz val="9"/>
      <color indexed="30"/>
      <name val="Calibri"/>
      <family val="2"/>
    </font>
    <font>
      <b/>
      <sz val="10"/>
      <color indexed="30"/>
      <name val="Calibri"/>
      <family val="2"/>
    </font>
    <font>
      <b/>
      <i/>
      <sz val="10"/>
      <color indexed="30"/>
      <name val="Calibri"/>
      <family val="2"/>
    </font>
    <font>
      <sz val="10"/>
      <color indexed="30"/>
      <name val="Calibri"/>
      <family val="2"/>
    </font>
    <font>
      <sz val="9"/>
      <color indexed="30"/>
      <name val="Calibri"/>
      <family val="2"/>
    </font>
    <font>
      <sz val="12"/>
      <name val="Times New Roman"/>
      <family val="1"/>
    </font>
    <font>
      <b/>
      <sz val="10"/>
      <name val="Times New Roman"/>
      <family val="1"/>
    </font>
    <font>
      <sz val="10"/>
      <color indexed="10"/>
      <name val="Calibri"/>
      <family val="2"/>
    </font>
    <font>
      <sz val="10"/>
      <color indexed="9"/>
      <name val="Calibri"/>
      <family val="2"/>
    </font>
    <font>
      <sz val="9"/>
      <color indexed="9"/>
      <name val="Cambria"/>
      <family val="1"/>
    </font>
    <font>
      <sz val="11"/>
      <color indexed="9"/>
      <name val="Cambria"/>
      <family val="1"/>
    </font>
    <font>
      <sz val="10"/>
      <name val="Times New Roman"/>
      <family val="1"/>
    </font>
    <font>
      <b/>
      <sz val="11"/>
      <color indexed="9"/>
      <name val="Calibri"/>
      <family val="2"/>
    </font>
    <font>
      <b/>
      <sz val="10"/>
      <color indexed="32"/>
      <name val="Calibri"/>
      <family val="2"/>
    </font>
    <font>
      <sz val="10"/>
      <name val="Calibri"/>
      <family val="2"/>
    </font>
    <font>
      <b/>
      <i/>
      <sz val="9"/>
      <color indexed="10"/>
      <name val="Calibri"/>
      <family val="2"/>
    </font>
    <font>
      <sz val="10.5"/>
      <name val="Times New Roman"/>
      <family val="1"/>
    </font>
    <font>
      <u/>
      <sz val="8"/>
      <color indexed="12"/>
      <name val="Tahoma"/>
      <family val="2"/>
    </font>
    <font>
      <sz val="9"/>
      <name val="Cambria"/>
      <family val="1"/>
    </font>
    <font>
      <u/>
      <sz val="10"/>
      <name val="Cambria"/>
      <family val="1"/>
    </font>
    <font>
      <sz val="10"/>
      <name val="Cambria"/>
      <family val="1"/>
    </font>
    <font>
      <sz val="11"/>
      <name val="Cambria"/>
      <family val="1"/>
    </font>
    <font>
      <i/>
      <sz val="11"/>
      <name val="Cambria"/>
      <family val="1"/>
    </font>
    <font>
      <b/>
      <sz val="10.5"/>
      <color indexed="60"/>
      <name val="Calibri"/>
      <family val="2"/>
    </font>
    <font>
      <b/>
      <sz val="10.5"/>
      <name val="Calibri"/>
      <family val="2"/>
    </font>
    <font>
      <b/>
      <i/>
      <sz val="10.5"/>
      <color indexed="12"/>
      <name val="Calibri"/>
      <family val="2"/>
    </font>
    <font>
      <b/>
      <i/>
      <sz val="10.5"/>
      <color indexed="60"/>
      <name val="Calibri"/>
      <family val="2"/>
    </font>
    <font>
      <b/>
      <i/>
      <sz val="10.5"/>
      <name val="Calibri"/>
      <family val="2"/>
    </font>
    <font>
      <i/>
      <sz val="11"/>
      <color indexed="9"/>
      <name val="Cambria"/>
      <family val="1"/>
    </font>
    <font>
      <b/>
      <sz val="10.5"/>
      <color indexed="30"/>
      <name val="Calibri"/>
      <family val="2"/>
    </font>
    <font>
      <sz val="10.5"/>
      <color indexed="53"/>
      <name val="Calibri"/>
      <family val="2"/>
    </font>
    <font>
      <b/>
      <sz val="10.5"/>
      <name val="Times New Roman"/>
      <family val="1"/>
    </font>
    <font>
      <b/>
      <sz val="10.5"/>
      <color indexed="17"/>
      <name val="Calibri"/>
      <family val="2"/>
    </font>
    <font>
      <b/>
      <sz val="14"/>
      <color indexed="32"/>
      <name val="Calibri"/>
      <family val="2"/>
    </font>
    <font>
      <i/>
      <sz val="10.5"/>
      <color indexed="53"/>
      <name val="Calibri"/>
      <family val="2"/>
    </font>
    <font>
      <b/>
      <sz val="10"/>
      <color indexed="9"/>
      <name val="Calibri"/>
      <family val="2"/>
    </font>
    <font>
      <sz val="9"/>
      <color indexed="12"/>
      <name val="Calibri"/>
      <family val="2"/>
    </font>
    <font>
      <sz val="10"/>
      <color indexed="9"/>
      <name val="Calibri"/>
      <family val="2"/>
    </font>
    <font>
      <sz val="11"/>
      <color indexed="9"/>
      <name val="Calibri"/>
      <family val="2"/>
    </font>
    <font>
      <b/>
      <sz val="10"/>
      <color indexed="10"/>
      <name val="Calibri"/>
      <family val="2"/>
    </font>
    <font>
      <sz val="10"/>
      <name val="Calibri"/>
      <family val="2"/>
    </font>
    <font>
      <b/>
      <sz val="10"/>
      <color indexed="9"/>
      <name val="Calibri"/>
      <family val="2"/>
    </font>
    <font>
      <sz val="10"/>
      <color indexed="9"/>
      <name val="Calibri"/>
      <family val="2"/>
    </font>
    <font>
      <b/>
      <sz val="9"/>
      <color indexed="12"/>
      <name val="Calibri"/>
      <family val="2"/>
    </font>
    <font>
      <u/>
      <sz val="10"/>
      <color indexed="12"/>
      <name val="Calibri"/>
      <family val="2"/>
    </font>
    <font>
      <sz val="10"/>
      <color indexed="62"/>
      <name val="Calibri"/>
      <family val="2"/>
    </font>
    <font>
      <sz val="11"/>
      <color indexed="62"/>
      <name val="Calibri"/>
      <family val="2"/>
    </font>
    <font>
      <sz val="10"/>
      <color indexed="62"/>
      <name val="Calibri"/>
      <family val="2"/>
    </font>
    <font>
      <sz val="9"/>
      <color indexed="9"/>
      <name val="Calibri"/>
      <family val="2"/>
    </font>
    <font>
      <b/>
      <sz val="10"/>
      <color indexed="48"/>
      <name val="Calibri"/>
      <family val="2"/>
    </font>
    <font>
      <sz val="10"/>
      <color indexed="40"/>
      <name val="Calibri"/>
      <family val="2"/>
    </font>
    <font>
      <b/>
      <sz val="10"/>
      <color indexed="30"/>
      <name val="Calibri"/>
      <family val="2"/>
    </font>
    <font>
      <b/>
      <sz val="10"/>
      <color indexed="56"/>
      <name val="Calibri"/>
      <family val="2"/>
    </font>
    <font>
      <sz val="10"/>
      <color indexed="56"/>
      <name val="Calibri"/>
      <family val="2"/>
    </font>
    <font>
      <b/>
      <sz val="11"/>
      <color indexed="56"/>
      <name val="Calibri"/>
      <family val="2"/>
    </font>
    <font>
      <sz val="10"/>
      <color indexed="30"/>
      <name val="Calibri"/>
      <family val="2"/>
    </font>
    <font>
      <sz val="10.5"/>
      <color indexed="30"/>
      <name val="Calibri"/>
      <family val="2"/>
    </font>
    <font>
      <sz val="10.5"/>
      <color indexed="30"/>
      <name val="Calibri"/>
      <family val="2"/>
    </font>
    <font>
      <b/>
      <i/>
      <sz val="10.5"/>
      <color indexed="30"/>
      <name val="Calibri"/>
      <family val="2"/>
    </font>
    <font>
      <b/>
      <sz val="10.5"/>
      <color indexed="30"/>
      <name val="Calibri"/>
      <family val="2"/>
    </font>
    <font>
      <i/>
      <sz val="10"/>
      <color indexed="30"/>
      <name val="Calibri"/>
      <family val="2"/>
    </font>
    <font>
      <b/>
      <sz val="10.5"/>
      <color indexed="30"/>
      <name val="Calibri"/>
      <family val="2"/>
    </font>
    <font>
      <b/>
      <i/>
      <sz val="10.5"/>
      <color indexed="30"/>
      <name val="Calibri"/>
      <family val="2"/>
    </font>
    <font>
      <b/>
      <sz val="11"/>
      <color indexed="30"/>
      <name val="Calibri"/>
      <family val="2"/>
    </font>
    <font>
      <b/>
      <sz val="10.5"/>
      <color indexed="9"/>
      <name val="Calibri"/>
      <family val="2"/>
    </font>
    <font>
      <sz val="10.5"/>
      <color indexed="9"/>
      <name val="Calibri"/>
      <family val="2"/>
    </font>
    <font>
      <b/>
      <i/>
      <sz val="10"/>
      <color indexed="30"/>
      <name val="Calibri"/>
      <family val="2"/>
    </font>
    <font>
      <b/>
      <i/>
      <sz val="10"/>
      <color indexed="9"/>
      <name val="Calibri"/>
      <family val="2"/>
    </font>
    <font>
      <sz val="10"/>
      <color indexed="16"/>
      <name val="Calibri"/>
      <family val="2"/>
    </font>
    <font>
      <sz val="11"/>
      <color indexed="53"/>
      <name val="Calibri"/>
      <family val="2"/>
    </font>
    <font>
      <b/>
      <i/>
      <sz val="10.5"/>
      <color indexed="60"/>
      <name val="Calibri"/>
      <family val="2"/>
    </font>
    <font>
      <sz val="10"/>
      <color indexed="12"/>
      <name val="Calibri"/>
      <family val="2"/>
    </font>
    <font>
      <i/>
      <sz val="10"/>
      <color indexed="53"/>
      <name val="Calibri"/>
      <family val="2"/>
    </font>
    <font>
      <sz val="10"/>
      <color indexed="53"/>
      <name val="Calibri"/>
      <family val="2"/>
    </font>
    <font>
      <i/>
      <sz val="10"/>
      <color indexed="9"/>
      <name val="Calibri"/>
      <family val="2"/>
    </font>
    <font>
      <sz val="10"/>
      <color indexed="16"/>
      <name val="Calibri"/>
      <family val="2"/>
    </font>
    <font>
      <b/>
      <sz val="12"/>
      <color indexed="9"/>
      <name val="Calibri"/>
      <family val="2"/>
    </font>
    <font>
      <sz val="10"/>
      <color indexed="16"/>
      <name val="Times New Roman"/>
      <family val="1"/>
    </font>
    <font>
      <b/>
      <i/>
      <sz val="10.5"/>
      <color indexed="9"/>
      <name val="Calibri"/>
      <family val="2"/>
    </font>
    <font>
      <b/>
      <u/>
      <sz val="10"/>
      <color indexed="12"/>
      <name val="Calibri"/>
      <family val="2"/>
    </font>
    <font>
      <sz val="10"/>
      <color indexed="49"/>
      <name val="Calibri"/>
      <family val="2"/>
    </font>
    <font>
      <sz val="11"/>
      <color theme="1"/>
      <name val="Calibri"/>
      <family val="2"/>
      <scheme val="minor"/>
    </font>
    <font>
      <sz val="11"/>
      <color theme="0"/>
      <name val="Calibri"/>
      <family val="2"/>
      <scheme val="minor"/>
    </font>
    <font>
      <b/>
      <sz val="11"/>
      <color theme="0"/>
      <name val="Calibri"/>
      <family val="2"/>
      <scheme val="minor"/>
    </font>
    <font>
      <b/>
      <u/>
      <sz val="12"/>
      <color rgb="FF002060"/>
      <name val="Calibri"/>
      <family val="2"/>
      <scheme val="minor"/>
    </font>
    <font>
      <b/>
      <u/>
      <sz val="12"/>
      <color theme="9" tint="-0.249977111117893"/>
      <name val="Calibri"/>
      <family val="2"/>
      <scheme val="minor"/>
    </font>
    <font>
      <b/>
      <sz val="10"/>
      <color rgb="FF0066CC"/>
      <name val="Calibri"/>
      <family val="2"/>
    </font>
    <font>
      <b/>
      <sz val="10.5"/>
      <color rgb="FF0066CC"/>
      <name val="Calibri"/>
      <family val="2"/>
    </font>
    <font>
      <b/>
      <sz val="11"/>
      <color rgb="FF0066CC"/>
      <name val="Calibri"/>
      <family val="2"/>
    </font>
    <font>
      <sz val="10"/>
      <color rgb="FF0066CC"/>
      <name val="Calibri"/>
      <family val="2"/>
    </font>
    <font>
      <sz val="10"/>
      <color rgb="FF000080"/>
      <name val="Calibri"/>
      <family val="2"/>
    </font>
    <font>
      <b/>
      <sz val="10.5"/>
      <color theme="0"/>
      <name val="Calibri"/>
      <family val="2"/>
    </font>
    <font>
      <sz val="10"/>
      <name val="Calibri"/>
      <family val="2"/>
      <scheme val="minor"/>
    </font>
    <font>
      <b/>
      <sz val="10"/>
      <color theme="0"/>
      <name val="Calibri"/>
      <family val="2"/>
      <scheme val="minor"/>
    </font>
    <font>
      <u/>
      <sz val="10"/>
      <color theme="0"/>
      <name val="Calibri"/>
      <family val="2"/>
      <scheme val="minor"/>
    </font>
    <font>
      <u/>
      <sz val="10"/>
      <color indexed="12"/>
      <name val="Calibri"/>
      <family val="2"/>
      <scheme val="minor"/>
    </font>
    <font>
      <b/>
      <sz val="10.5"/>
      <color theme="0"/>
      <name val="Calibri"/>
      <family val="2"/>
      <scheme val="minor"/>
    </font>
    <font>
      <sz val="11"/>
      <color rgb="FF000080"/>
      <name val="Calibri"/>
      <family val="2"/>
    </font>
    <font>
      <sz val="11"/>
      <color rgb="FF000080"/>
      <name val="Calibri"/>
      <family val="2"/>
      <scheme val="minor"/>
    </font>
    <font>
      <b/>
      <sz val="11"/>
      <name val="Times New Roman"/>
      <family val="1"/>
    </font>
    <font>
      <b/>
      <u/>
      <sz val="12"/>
      <color theme="0"/>
      <name val="Calibri"/>
      <family val="2"/>
      <scheme val="minor"/>
    </font>
    <font>
      <b/>
      <sz val="12"/>
      <color theme="0"/>
      <name val="Calibri"/>
      <family val="2"/>
    </font>
    <font>
      <sz val="9"/>
      <color rgb="FFFF0000"/>
      <name val="Calibri"/>
      <family val="2"/>
      <scheme val="minor"/>
    </font>
    <font>
      <sz val="10"/>
      <color rgb="FFFF0000"/>
      <name val="Calibri"/>
      <family val="2"/>
      <scheme val="minor"/>
    </font>
    <font>
      <b/>
      <sz val="10"/>
      <color theme="0"/>
      <name val="Calibri"/>
      <family val="2"/>
    </font>
    <font>
      <b/>
      <i/>
      <sz val="9"/>
      <name val="Calibri"/>
      <family val="2"/>
    </font>
    <font>
      <b/>
      <sz val="10"/>
      <color rgb="FF7030A0"/>
      <name val="Calibri"/>
      <family val="2"/>
    </font>
    <font>
      <b/>
      <sz val="10"/>
      <color rgb="FF0000FF"/>
      <name val="Calibri"/>
      <family val="2"/>
      <scheme val="minor"/>
    </font>
    <font>
      <sz val="12"/>
      <color indexed="9"/>
      <name val="Calibri"/>
      <family val="2"/>
    </font>
    <font>
      <b/>
      <sz val="10"/>
      <name val="Calibri"/>
      <family val="2"/>
      <scheme val="minor"/>
    </font>
    <font>
      <b/>
      <sz val="10"/>
      <color indexed="9"/>
      <name val="Times New Roman"/>
      <family val="1"/>
    </font>
    <font>
      <b/>
      <i/>
      <sz val="10"/>
      <color rgb="FF003366"/>
      <name val="Times New Roman"/>
      <family val="1"/>
    </font>
    <font>
      <b/>
      <i/>
      <sz val="9"/>
      <color theme="0"/>
      <name val="Calibri"/>
      <family val="2"/>
    </font>
    <font>
      <sz val="10"/>
      <color theme="0"/>
      <name val="Calibri"/>
      <family val="2"/>
      <scheme val="minor"/>
    </font>
    <font>
      <b/>
      <i/>
      <sz val="9"/>
      <color theme="0"/>
      <name val="Calibri"/>
      <family val="2"/>
      <scheme val="minor"/>
    </font>
    <font>
      <sz val="10"/>
      <color theme="0"/>
      <name val="Calibri"/>
      <family val="2"/>
    </font>
    <font>
      <b/>
      <sz val="11"/>
      <color theme="0"/>
      <name val="Calibri"/>
      <family val="2"/>
    </font>
    <font>
      <b/>
      <sz val="12"/>
      <color theme="0"/>
      <name val="Calibri"/>
      <family val="2"/>
      <scheme val="minor"/>
    </font>
    <font>
      <b/>
      <sz val="12"/>
      <color rgb="FF464646"/>
      <name val="Calibri"/>
      <family val="2"/>
    </font>
    <font>
      <b/>
      <i/>
      <sz val="20"/>
      <color rgb="FFD21034"/>
      <name val="Calibri"/>
      <family val="2"/>
    </font>
    <font>
      <u/>
      <sz val="10"/>
      <color theme="11"/>
      <name val="Times New Roman"/>
      <family val="1"/>
    </font>
    <font>
      <sz val="10"/>
      <color rgb="FF0000CC"/>
      <name val="Calibri"/>
      <family val="2"/>
      <scheme val="minor"/>
    </font>
    <font>
      <b/>
      <sz val="10"/>
      <color rgb="FF0000FF"/>
      <name val="Calibri"/>
      <family val="2"/>
    </font>
    <font>
      <b/>
      <sz val="8"/>
      <color rgb="FF0000FF"/>
      <name val="Calibri"/>
      <family val="2"/>
      <scheme val="minor"/>
    </font>
    <font>
      <b/>
      <i/>
      <sz val="10"/>
      <color rgb="FF0000FF"/>
      <name val="Calibri"/>
      <family val="2"/>
    </font>
    <font>
      <sz val="10"/>
      <color rgb="FF002060"/>
      <name val="Calibri"/>
      <family val="2"/>
    </font>
    <font>
      <b/>
      <sz val="10"/>
      <color rgb="FF000080"/>
      <name val="Calibri"/>
      <family val="2"/>
    </font>
    <font>
      <sz val="11"/>
      <color theme="0"/>
      <name val="Calibri"/>
      <family val="2"/>
    </font>
    <font>
      <b/>
      <sz val="11"/>
      <color theme="0"/>
      <name val="Symbol"/>
      <family val="1"/>
      <charset val="2"/>
    </font>
    <font>
      <sz val="10.5"/>
      <color rgb="FF002060"/>
      <name val="Calibri"/>
      <family val="2"/>
    </font>
    <font>
      <sz val="10"/>
      <color rgb="FF7030A0"/>
      <name val="Calibri"/>
      <family val="2"/>
      <scheme val="minor"/>
    </font>
    <font>
      <b/>
      <i/>
      <sz val="10"/>
      <color theme="0"/>
      <name val="Calibri"/>
      <family val="2"/>
      <scheme val="minor"/>
    </font>
    <font>
      <b/>
      <sz val="10"/>
      <color rgb="FF7030A0"/>
      <name val="Calibri"/>
      <family val="2"/>
      <scheme val="minor"/>
    </font>
    <font>
      <b/>
      <sz val="10"/>
      <color rgb="FF002060"/>
      <name val="Calibri"/>
      <family val="2"/>
      <scheme val="minor"/>
    </font>
    <font>
      <b/>
      <sz val="11"/>
      <color rgb="FFFF0000"/>
      <name val="Calibri"/>
      <family val="2"/>
    </font>
    <font>
      <sz val="11"/>
      <color rgb="FFFF0000"/>
      <name val="Calibri"/>
      <family val="2"/>
    </font>
    <font>
      <b/>
      <sz val="12"/>
      <color indexed="10"/>
      <name val="Calibri"/>
      <family val="2"/>
    </font>
    <font>
      <sz val="12"/>
      <color indexed="10"/>
      <name val="Calibri"/>
      <family val="2"/>
    </font>
    <font>
      <sz val="9"/>
      <name val="Calibri"/>
      <family val="2"/>
      <scheme val="minor"/>
    </font>
    <font>
      <b/>
      <sz val="12"/>
      <color rgb="FF002060"/>
      <name val="Calibri"/>
      <family val="2"/>
    </font>
    <font>
      <b/>
      <sz val="10"/>
      <color rgb="FF002060"/>
      <name val="Calibri"/>
      <family val="2"/>
    </font>
    <font>
      <sz val="10"/>
      <color rgb="FF0000CC"/>
      <name val="Times New Roman"/>
      <family val="1"/>
    </font>
    <font>
      <b/>
      <sz val="9"/>
      <color indexed="56"/>
      <name val="Calibri"/>
      <family val="2"/>
    </font>
    <font>
      <b/>
      <sz val="10"/>
      <color rgb="FF0000CC"/>
      <name val="Calibri"/>
      <family val="2"/>
      <scheme val="minor"/>
    </font>
    <font>
      <b/>
      <sz val="18"/>
      <color theme="6" tint="-0.249977111117893"/>
      <name val="Wingdings"/>
      <charset val="2"/>
    </font>
    <font>
      <sz val="18"/>
      <name val="Calibri"/>
      <family val="2"/>
    </font>
    <font>
      <b/>
      <vertAlign val="superscript"/>
      <sz val="10"/>
      <color theme="0"/>
      <name val="Calibri"/>
      <family val="2"/>
      <scheme val="minor"/>
    </font>
    <font>
      <b/>
      <i/>
      <sz val="10"/>
      <color rgb="FFFF0000"/>
      <name val="Calibri"/>
      <family val="2"/>
    </font>
    <font>
      <b/>
      <sz val="10"/>
      <color theme="8"/>
      <name val="Calibri"/>
      <family val="2"/>
    </font>
    <font>
      <b/>
      <i/>
      <sz val="10"/>
      <color theme="8"/>
      <name val="Calibri"/>
      <family val="2"/>
    </font>
    <font>
      <b/>
      <i/>
      <sz val="10.5"/>
      <color theme="8"/>
      <name val="Calibri"/>
      <family val="2"/>
    </font>
    <font>
      <b/>
      <sz val="10.5"/>
      <color theme="8"/>
      <name val="Calibri"/>
      <family val="2"/>
    </font>
    <font>
      <sz val="10"/>
      <color rgb="FF0000FF"/>
      <name val="Calibri"/>
      <family val="2"/>
    </font>
    <font>
      <sz val="9"/>
      <color theme="0"/>
      <name val="Calibri"/>
      <family val="2"/>
    </font>
    <font>
      <sz val="10"/>
      <color rgb="FF002060"/>
      <name val="Symbol"/>
      <family val="1"/>
      <charset val="2"/>
    </font>
    <font>
      <sz val="11"/>
      <name val="Calibri"/>
      <family val="2"/>
      <scheme val="minor"/>
    </font>
    <font>
      <b/>
      <i/>
      <sz val="10"/>
      <color indexed="9"/>
      <name val="Calibri"/>
      <family val="2"/>
      <scheme val="minor"/>
    </font>
    <font>
      <sz val="8"/>
      <color indexed="12"/>
      <name val="Calibri"/>
      <family val="2"/>
      <scheme val="minor"/>
    </font>
    <font>
      <sz val="10"/>
      <color indexed="12"/>
      <name val="Calibri"/>
      <family val="2"/>
      <scheme val="minor"/>
    </font>
    <font>
      <sz val="8"/>
      <name val="Calibri"/>
      <family val="2"/>
      <scheme val="minor"/>
    </font>
    <font>
      <b/>
      <sz val="12"/>
      <color indexed="9"/>
      <name val="Calibri"/>
      <family val="2"/>
      <scheme val="minor"/>
    </font>
    <font>
      <b/>
      <sz val="12"/>
      <name val="Calibri"/>
      <family val="2"/>
      <scheme val="minor"/>
    </font>
    <font>
      <sz val="12"/>
      <color rgb="FF002060"/>
      <name val="Calibri"/>
      <family val="2"/>
      <scheme val="minor"/>
    </font>
    <font>
      <b/>
      <sz val="12"/>
      <color rgb="FF002060"/>
      <name val="Calibri"/>
      <family val="2"/>
      <scheme val="minor"/>
    </font>
    <font>
      <b/>
      <sz val="12"/>
      <color rgb="FF0000FF"/>
      <name val="Calibri"/>
      <family val="2"/>
      <scheme val="minor"/>
    </font>
    <font>
      <sz val="10"/>
      <color rgb="FF002060"/>
      <name val="Calibri"/>
      <family val="2"/>
      <scheme val="minor"/>
    </font>
    <font>
      <b/>
      <sz val="10"/>
      <color indexed="12"/>
      <name val="Calibri"/>
      <family val="2"/>
      <scheme val="minor"/>
    </font>
    <font>
      <i/>
      <sz val="11"/>
      <name val="Calibri"/>
      <family val="2"/>
      <scheme val="minor"/>
    </font>
    <font>
      <i/>
      <sz val="8"/>
      <color indexed="12"/>
      <name val="Calibri"/>
      <family val="2"/>
      <scheme val="minor"/>
    </font>
    <font>
      <b/>
      <sz val="10"/>
      <color rgb="FF000080"/>
      <name val="Calibri"/>
      <family val="2"/>
      <scheme val="minor"/>
    </font>
    <font>
      <b/>
      <i/>
      <sz val="10"/>
      <color indexed="10"/>
      <name val="Calibri"/>
      <family val="2"/>
      <scheme val="minor"/>
    </font>
    <font>
      <sz val="10"/>
      <color rgb="FF0000FF"/>
      <name val="Calibri"/>
      <family val="2"/>
      <scheme val="minor"/>
    </font>
    <font>
      <b/>
      <sz val="12"/>
      <color theme="9" tint="-0.24994659260841701"/>
      <name val="Calibri"/>
      <family val="2"/>
      <scheme val="minor"/>
    </font>
    <font>
      <b/>
      <i/>
      <sz val="9"/>
      <color rgb="FFFF0000"/>
      <name val="Calibri"/>
      <family val="2"/>
    </font>
    <font>
      <sz val="10"/>
      <color rgb="FF0000FF"/>
      <name val="Symbol"/>
      <family val="1"/>
      <charset val="2"/>
    </font>
    <font>
      <b/>
      <sz val="10"/>
      <color rgb="FFFF0000"/>
      <name val="Calibri"/>
      <family val="2"/>
    </font>
    <font>
      <b/>
      <i/>
      <sz val="10"/>
      <color theme="0"/>
      <name val="Calibri"/>
      <family val="2"/>
    </font>
    <font>
      <sz val="10"/>
      <color indexed="12"/>
      <name val="Times New Roman"/>
      <family val="1"/>
    </font>
    <font>
      <b/>
      <sz val="20"/>
      <color indexed="9"/>
      <name val="Calibri"/>
      <family val="2"/>
    </font>
    <font>
      <sz val="10"/>
      <color rgb="FF002060"/>
      <name val="Times New Roman"/>
      <family val="1"/>
    </font>
    <font>
      <sz val="10"/>
      <color rgb="FF000080"/>
      <name val="Calibri"/>
      <family val="2"/>
      <scheme val="minor"/>
    </font>
    <font>
      <b/>
      <i/>
      <sz val="9"/>
      <color rgb="FF0066CC"/>
      <name val="Calibri"/>
      <family val="2"/>
    </font>
    <font>
      <sz val="6"/>
      <name val="Calibri"/>
      <family val="2"/>
    </font>
    <font>
      <b/>
      <vertAlign val="superscript"/>
      <sz val="12"/>
      <color indexed="9"/>
      <name val="Calibri"/>
      <family val="2"/>
    </font>
    <font>
      <sz val="8"/>
      <color theme="0"/>
      <name val="Calibri"/>
      <family val="2"/>
    </font>
    <font>
      <i/>
      <sz val="10"/>
      <name val="Times New Roman"/>
      <family val="1"/>
    </font>
    <font>
      <sz val="10"/>
      <color rgb="FFFF0000"/>
      <name val="Calibri"/>
      <family val="2"/>
    </font>
    <font>
      <sz val="10"/>
      <color theme="0"/>
      <name val="Cambria"/>
      <family val="1"/>
    </font>
    <font>
      <b/>
      <i/>
      <sz val="10"/>
      <color rgb="FFC00000"/>
      <name val="Calibri"/>
      <family val="2"/>
    </font>
    <font>
      <sz val="9"/>
      <color theme="0" tint="-4.9989318521683403E-2"/>
      <name val="Calibri"/>
      <family val="2"/>
    </font>
    <font>
      <sz val="9"/>
      <color theme="0" tint="-0.24994659260841701"/>
      <name val="Calibri"/>
      <family val="2"/>
    </font>
    <font>
      <b/>
      <sz val="8"/>
      <color theme="0"/>
      <name val="Cambria"/>
      <family val="1"/>
    </font>
    <font>
      <sz val="8"/>
      <color theme="0"/>
      <name val="Cambria"/>
      <family val="1"/>
    </font>
    <font>
      <sz val="8"/>
      <color rgb="FF002060"/>
      <name val="Calibri"/>
      <family val="2"/>
      <scheme val="minor"/>
    </font>
    <font>
      <sz val="8"/>
      <name val="Calibri"/>
      <family val="2"/>
    </font>
    <font>
      <sz val="10"/>
      <color rgb="FF333399"/>
      <name val="Calibri"/>
      <family val="2"/>
    </font>
    <font>
      <b/>
      <sz val="11"/>
      <color rgb="FF333399"/>
      <name val="Calibri"/>
      <family val="2"/>
      <scheme val="minor"/>
    </font>
    <font>
      <sz val="12"/>
      <name val="Arial"/>
      <family val="2"/>
    </font>
    <font>
      <sz val="14"/>
      <name val="Calibri"/>
      <family val="2"/>
      <scheme val="minor"/>
    </font>
    <font>
      <b/>
      <sz val="10.5"/>
      <color theme="0"/>
      <name val="Arial"/>
      <family val="2"/>
    </font>
    <font>
      <sz val="10"/>
      <color theme="0"/>
      <name val="Arial"/>
      <family val="2"/>
    </font>
    <font>
      <b/>
      <i/>
      <sz val="12"/>
      <color rgb="FF00FF99"/>
      <name val="Calibri"/>
      <family val="2"/>
    </font>
    <font>
      <b/>
      <i/>
      <sz val="12"/>
      <color rgb="FF00FF00"/>
      <name val="Calibri"/>
      <family val="2"/>
    </font>
    <font>
      <i/>
      <sz val="10"/>
      <color indexed="16"/>
      <name val="Calibri"/>
      <family val="2"/>
    </font>
    <font>
      <b/>
      <i/>
      <sz val="12"/>
      <color rgb="FF99CC00"/>
      <name val="Calibri"/>
      <family val="2"/>
    </font>
    <font>
      <b/>
      <i/>
      <sz val="14"/>
      <color rgb="FF99CC00"/>
      <name val="Calibri"/>
      <family val="2"/>
    </font>
    <font>
      <b/>
      <sz val="18"/>
      <color theme="0"/>
      <name val="Calibri"/>
      <family val="2"/>
    </font>
    <font>
      <b/>
      <i/>
      <sz val="18"/>
      <color rgb="FF99CC00"/>
      <name val="Calibri"/>
      <family val="2"/>
    </font>
    <font>
      <b/>
      <sz val="12"/>
      <color rgb="FF0066CC"/>
      <name val="Calibri"/>
      <family val="2"/>
    </font>
    <font>
      <b/>
      <i/>
      <sz val="12"/>
      <color theme="6" tint="-0.24994659260841701"/>
      <name val="Calibri"/>
      <family val="2"/>
    </font>
    <font>
      <b/>
      <i/>
      <sz val="14"/>
      <color theme="6" tint="-0.24994659260841701"/>
      <name val="Calibri"/>
      <family val="2"/>
    </font>
    <font>
      <b/>
      <i/>
      <sz val="13"/>
      <color indexed="32"/>
      <name val="Calibri"/>
      <family val="2"/>
    </font>
    <font>
      <b/>
      <i/>
      <sz val="13"/>
      <color theme="6" tint="-0.24994659260841701"/>
      <name val="Calibri"/>
      <family val="2"/>
    </font>
    <font>
      <b/>
      <sz val="12"/>
      <color theme="6" tint="-0.24994659260841701"/>
      <name val="Calibri"/>
      <family val="2"/>
    </font>
    <font>
      <sz val="8"/>
      <color rgb="FF000000"/>
      <name val="Tahoma"/>
      <family val="2"/>
    </font>
    <font>
      <b/>
      <i/>
      <sz val="10"/>
      <color rgb="FF0000CC"/>
      <name val="Calibri"/>
      <family val="2"/>
      <scheme val="minor"/>
    </font>
    <font>
      <b/>
      <i/>
      <sz val="10"/>
      <name val="Times New Roman"/>
      <family val="1"/>
    </font>
    <font>
      <i/>
      <sz val="10"/>
      <color rgb="FFFF0000"/>
      <name val="Calibri"/>
      <family val="2"/>
    </font>
    <font>
      <b/>
      <sz val="11"/>
      <color rgb="FF002060"/>
      <name val="Calibri"/>
      <family val="2"/>
    </font>
    <font>
      <b/>
      <sz val="10"/>
      <color rgb="FFFF6600"/>
      <name val="Calibri"/>
      <family val="2"/>
    </font>
    <font>
      <sz val="10.5"/>
      <color theme="0"/>
      <name val="Calibri"/>
      <family val="2"/>
    </font>
    <font>
      <sz val="10"/>
      <color rgb="FF3333CC"/>
      <name val="Calibri"/>
      <family val="2"/>
    </font>
    <font>
      <b/>
      <sz val="9.5"/>
      <color indexed="9"/>
      <name val="Calibri"/>
      <family val="2"/>
    </font>
    <font>
      <i/>
      <sz val="10"/>
      <color rgb="FF3333FF"/>
      <name val="Calibri"/>
      <family val="2"/>
      <scheme val="minor"/>
    </font>
    <font>
      <sz val="10"/>
      <color rgb="FF3333FF"/>
      <name val="Times New Roman"/>
      <family val="1"/>
    </font>
    <font>
      <i/>
      <sz val="10"/>
      <color rgb="FF3333FF"/>
      <name val="Calibri"/>
      <family val="2"/>
    </font>
    <font>
      <sz val="10.5"/>
      <name val="Cambria"/>
      <family val="1"/>
    </font>
    <font>
      <b/>
      <sz val="9"/>
      <color theme="0"/>
      <name val="Calibri"/>
      <family val="2"/>
    </font>
    <font>
      <b/>
      <i/>
      <sz val="9"/>
      <name val="Cambria"/>
      <family val="1"/>
    </font>
    <font>
      <sz val="10.5"/>
      <name val="Calibri"/>
      <family val="2"/>
      <scheme val="minor"/>
    </font>
    <font>
      <sz val="10"/>
      <color indexed="16"/>
      <name val="Calibri"/>
      <family val="2"/>
      <scheme val="minor"/>
    </font>
    <font>
      <u/>
      <sz val="10"/>
      <color rgb="FF0000FF"/>
      <name val="Calibri"/>
      <family val="2"/>
      <scheme val="minor"/>
    </font>
    <font>
      <sz val="10"/>
      <color theme="1"/>
      <name val="Calibri"/>
      <family val="2"/>
      <scheme val="minor"/>
    </font>
    <font>
      <sz val="10"/>
      <color rgb="FF990000"/>
      <name val="Calibri"/>
      <family val="2"/>
    </font>
    <font>
      <b/>
      <sz val="10.5"/>
      <color rgb="FF002060"/>
      <name val="Calibri"/>
      <family val="2"/>
    </font>
    <font>
      <sz val="8"/>
      <color theme="1"/>
      <name val="Calibri"/>
      <family val="2"/>
      <scheme val="minor"/>
    </font>
    <font>
      <b/>
      <sz val="10.5"/>
      <color rgb="FF990000"/>
      <name val="Calibri"/>
      <family val="2"/>
    </font>
    <font>
      <b/>
      <sz val="10"/>
      <color rgb="FF990000"/>
      <name val="Calibri"/>
      <family val="2"/>
    </font>
    <font>
      <b/>
      <sz val="12"/>
      <color rgb="FF000080"/>
      <name val="Calibri"/>
      <family val="2"/>
    </font>
    <font>
      <sz val="12"/>
      <color rgb="FF000080"/>
      <name val="Calibri"/>
      <family val="2"/>
    </font>
    <font>
      <b/>
      <sz val="12"/>
      <color rgb="FF0000FF"/>
      <name val="Calibri"/>
      <family val="2"/>
    </font>
    <font>
      <b/>
      <sz val="12"/>
      <color rgb="FF990000"/>
      <name val="Calibri"/>
      <family val="2"/>
    </font>
    <font>
      <sz val="12"/>
      <color rgb="FF990000"/>
      <name val="Calibri"/>
      <family val="2"/>
    </font>
    <font>
      <b/>
      <sz val="10.5"/>
      <color rgb="FF000080"/>
      <name val="Calibri"/>
      <family val="2"/>
    </font>
    <font>
      <sz val="10.5"/>
      <color rgb="FF000080"/>
      <name val="Calibri"/>
      <family val="2"/>
    </font>
    <font>
      <b/>
      <sz val="8"/>
      <color theme="0"/>
      <name val="Calibri"/>
      <family val="2"/>
    </font>
    <font>
      <b/>
      <i/>
      <sz val="12"/>
      <color theme="6" tint="-0.249977111117893"/>
      <name val="Calibri"/>
      <family val="2"/>
    </font>
    <font>
      <b/>
      <vertAlign val="superscript"/>
      <sz val="12"/>
      <color indexed="9"/>
      <name val="Calibri"/>
      <family val="2"/>
      <scheme val="minor"/>
    </font>
    <font>
      <b/>
      <i/>
      <sz val="12"/>
      <color rgb="FF99CC00"/>
      <name val="Calibri"/>
      <family val="2"/>
      <scheme val="minor"/>
    </font>
    <font>
      <b/>
      <sz val="11"/>
      <color rgb="FF000080"/>
      <name val="Calibri"/>
      <family val="2"/>
      <scheme val="minor"/>
    </font>
    <font>
      <b/>
      <sz val="11"/>
      <color rgb="FF002060"/>
      <name val="Calibri"/>
      <family val="2"/>
      <scheme val="minor"/>
    </font>
    <font>
      <i/>
      <sz val="10.5"/>
      <color rgb="FF002060"/>
      <name val="Calibri"/>
      <family val="2"/>
    </font>
    <font>
      <b/>
      <i/>
      <u/>
      <sz val="10.5"/>
      <color rgb="FF002060"/>
      <name val="Calibri"/>
      <family val="2"/>
    </font>
    <font>
      <b/>
      <i/>
      <sz val="10.5"/>
      <color rgb="FF002060"/>
      <name val="Calibri"/>
      <family val="2"/>
    </font>
    <font>
      <sz val="14"/>
      <name val="Cambria"/>
      <family val="1"/>
    </font>
    <font>
      <sz val="10.5"/>
      <color rgb="FF002060"/>
      <name val="Calibri"/>
      <family val="2"/>
      <scheme val="minor"/>
    </font>
    <font>
      <b/>
      <sz val="10.5"/>
      <color rgb="FF002060"/>
      <name val="Calibri"/>
      <family val="2"/>
      <scheme val="minor"/>
    </font>
    <font>
      <sz val="10.5"/>
      <color theme="0"/>
      <name val="Calibri"/>
      <family val="2"/>
      <scheme val="minor"/>
    </font>
    <font>
      <sz val="9"/>
      <color rgb="FF002060"/>
      <name val="Calibri"/>
      <family val="2"/>
      <scheme val="minor"/>
    </font>
    <font>
      <sz val="11"/>
      <color rgb="FF002060"/>
      <name val="Calibri"/>
      <family val="2"/>
      <scheme val="minor"/>
    </font>
    <font>
      <sz val="10"/>
      <color rgb="FFFF6600"/>
      <name val="Calibri"/>
      <family val="2"/>
      <scheme val="minor"/>
    </font>
    <font>
      <b/>
      <i/>
      <sz val="10"/>
      <color rgb="FF002060"/>
      <name val="Calibri"/>
      <family val="2"/>
    </font>
    <font>
      <b/>
      <i/>
      <sz val="10"/>
      <color indexed="17"/>
      <name val="Calibri"/>
      <family val="2"/>
    </font>
    <font>
      <sz val="9"/>
      <color indexed="28"/>
      <name val="Calibri"/>
      <family val="2"/>
      <scheme val="minor"/>
    </font>
    <font>
      <sz val="9"/>
      <color indexed="81"/>
      <name val="Tahoma"/>
      <family val="2"/>
    </font>
    <font>
      <b/>
      <sz val="10"/>
      <color rgb="FF0066CC"/>
      <name val="Calibri"/>
      <family val="2"/>
      <scheme val="minor"/>
    </font>
    <font>
      <i/>
      <sz val="10.5"/>
      <color indexed="32"/>
      <name val="Calibri"/>
      <family val="2"/>
      <scheme val="minor"/>
    </font>
    <font>
      <b/>
      <i/>
      <u/>
      <sz val="10"/>
      <color indexed="32"/>
      <name val="Calibri"/>
      <family val="2"/>
      <scheme val="minor"/>
    </font>
    <font>
      <u/>
      <sz val="10"/>
      <color rgb="FF0000CC"/>
      <name val="Calibri"/>
      <family val="2"/>
      <scheme val="minor"/>
    </font>
    <font>
      <i/>
      <sz val="10"/>
      <color rgb="FF002060"/>
      <name val="Calibri"/>
      <family val="2"/>
    </font>
    <font>
      <b/>
      <i/>
      <sz val="11"/>
      <color rgb="FF002060"/>
      <name val="Calibri"/>
      <family val="2"/>
    </font>
    <font>
      <i/>
      <sz val="10.5"/>
      <color rgb="FF002060"/>
      <name val="Calibri"/>
      <family val="2"/>
      <scheme val="minor"/>
    </font>
    <font>
      <b/>
      <i/>
      <sz val="14"/>
      <color rgb="FF002060"/>
      <name val="Calibri"/>
      <family val="2"/>
    </font>
    <font>
      <b/>
      <sz val="10.5"/>
      <name val="Calibri"/>
      <family val="2"/>
      <scheme val="minor"/>
    </font>
    <font>
      <b/>
      <i/>
      <sz val="12"/>
      <color rgb="FF002060"/>
      <name val="Calibri"/>
      <family val="2"/>
      <scheme val="minor"/>
    </font>
    <font>
      <sz val="10.5"/>
      <color indexed="10"/>
      <name val="Calibri"/>
      <family val="2"/>
    </font>
    <font>
      <sz val="11"/>
      <color rgb="FF002060"/>
      <name val="Calibri"/>
      <family val="2"/>
    </font>
    <font>
      <i/>
      <sz val="8"/>
      <color theme="0"/>
      <name val="Calibri"/>
      <family val="2"/>
    </font>
    <font>
      <i/>
      <sz val="10"/>
      <color indexed="10"/>
      <name val="Calibri"/>
      <family val="2"/>
    </font>
    <font>
      <i/>
      <sz val="10"/>
      <color rgb="FF0000CC"/>
      <name val="Calibri"/>
      <family val="2"/>
      <scheme val="minor"/>
    </font>
    <font>
      <sz val="10"/>
      <color rgb="FF333399"/>
      <name val="Calibri"/>
      <family val="2"/>
      <scheme val="minor"/>
    </font>
    <font>
      <sz val="10"/>
      <color rgb="FF3333CC"/>
      <name val="Calibri"/>
      <family val="2"/>
      <scheme val="minor"/>
    </font>
    <font>
      <b/>
      <sz val="10"/>
      <color rgb="FF002060"/>
      <name val="Symbol"/>
      <family val="1"/>
      <charset val="2"/>
    </font>
    <font>
      <i/>
      <sz val="10"/>
      <color rgb="FF0000FF"/>
      <name val="Calibri"/>
      <family val="2"/>
    </font>
    <font>
      <i/>
      <sz val="10"/>
      <color rgb="FF0000FF"/>
      <name val="Symbol"/>
      <family val="1"/>
      <charset val="2"/>
    </font>
    <font>
      <b/>
      <sz val="10"/>
      <color rgb="FFC00000"/>
      <name val="Calibri"/>
      <family val="2"/>
      <scheme val="minor"/>
    </font>
    <font>
      <b/>
      <sz val="10"/>
      <color rgb="FF990000"/>
      <name val="Calibri"/>
      <family val="2"/>
      <scheme val="minor"/>
    </font>
    <font>
      <i/>
      <sz val="8"/>
      <color theme="1"/>
      <name val="Calibri"/>
      <family val="2"/>
      <scheme val="minor"/>
    </font>
    <font>
      <b/>
      <sz val="10"/>
      <color theme="1"/>
      <name val="Calibri"/>
      <family val="2"/>
      <scheme val="minor"/>
    </font>
    <font>
      <sz val="9"/>
      <color rgb="FF002060"/>
      <name val="Calibri"/>
      <family val="2"/>
    </font>
    <font>
      <sz val="11"/>
      <color rgb="FF002060"/>
      <name val="Times New Roman"/>
      <family val="1"/>
    </font>
    <font>
      <i/>
      <sz val="10"/>
      <color rgb="FF0000FF"/>
      <name val="Calibri"/>
      <family val="2"/>
      <scheme val="minor"/>
    </font>
    <font>
      <i/>
      <sz val="10"/>
      <color rgb="FF002060"/>
      <name val="Calibri"/>
      <family val="2"/>
      <scheme val="minor"/>
    </font>
    <font>
      <sz val="10"/>
      <color rgb="FF800000"/>
      <name val="Calibri"/>
      <family val="2"/>
    </font>
    <font>
      <sz val="10.5"/>
      <color indexed="12"/>
      <name val="Calibri"/>
      <family val="2"/>
    </font>
    <font>
      <b/>
      <sz val="10.5"/>
      <color indexed="12"/>
      <name val="Calibri"/>
      <family val="2"/>
    </font>
    <font>
      <b/>
      <i/>
      <sz val="13"/>
      <color indexed="9"/>
      <name val="Calibri"/>
      <family val="2"/>
    </font>
    <font>
      <b/>
      <i/>
      <sz val="13"/>
      <color rgb="FF99CC00"/>
      <name val="Calibri"/>
      <family val="2"/>
    </font>
    <font>
      <b/>
      <i/>
      <sz val="18"/>
      <color indexed="32"/>
      <name val="Calibri"/>
      <family val="2"/>
    </font>
    <font>
      <b/>
      <i/>
      <sz val="10.5"/>
      <color rgb="FFC00000"/>
      <name val="Calibri"/>
      <family val="2"/>
    </font>
    <font>
      <i/>
      <sz val="10.5"/>
      <color rgb="FF000080"/>
      <name val="Calibri"/>
      <family val="2"/>
    </font>
    <font>
      <b/>
      <sz val="12"/>
      <color rgb="FF0066CC"/>
      <name val="Calibri"/>
      <family val="2"/>
      <scheme val="minor"/>
    </font>
    <font>
      <b/>
      <i/>
      <sz val="12"/>
      <color theme="6" tint="-0.24994659260841701"/>
      <name val="Calibri"/>
      <family val="2"/>
      <scheme val="minor"/>
    </font>
    <font>
      <sz val="12"/>
      <color rgb="FF002060"/>
      <name val="Calibri"/>
      <family val="2"/>
    </font>
    <font>
      <sz val="9"/>
      <color rgb="FF002060"/>
      <name val="Cambria"/>
      <family val="1"/>
    </font>
    <font>
      <u/>
      <sz val="10"/>
      <color rgb="FF002060"/>
      <name val="Calibri"/>
      <family val="2"/>
      <scheme val="minor"/>
    </font>
    <font>
      <u/>
      <sz val="10"/>
      <color rgb="FF002060"/>
      <name val="Calibri"/>
      <family val="2"/>
    </font>
    <font>
      <i/>
      <sz val="11"/>
      <color rgb="FF002060"/>
      <name val="Calibri"/>
      <family val="2"/>
    </font>
    <font>
      <sz val="8"/>
      <color rgb="FF002060"/>
      <name val="Calibri"/>
      <family val="2"/>
    </font>
    <font>
      <sz val="10.5"/>
      <color rgb="FF0000FF"/>
      <name val="Calibri"/>
      <family val="2"/>
    </font>
    <font>
      <sz val="11"/>
      <color indexed="56"/>
      <name val="Calibri"/>
      <family val="2"/>
    </font>
    <font>
      <i/>
      <sz val="9"/>
      <color indexed="12"/>
      <name val="Calibri"/>
      <family val="2"/>
    </font>
    <font>
      <i/>
      <sz val="10.5"/>
      <color indexed="30"/>
      <name val="Calibri"/>
      <family val="2"/>
    </font>
    <font>
      <sz val="10.5"/>
      <color rgb="FF0000FF"/>
      <name val="Calibri"/>
      <family val="2"/>
      <scheme val="minor"/>
    </font>
    <font>
      <i/>
      <sz val="10"/>
      <color rgb="FF0066CC"/>
      <name val="Calibri"/>
      <family val="2"/>
    </font>
    <font>
      <b/>
      <sz val="10"/>
      <color theme="0"/>
      <name val="Times New Roman"/>
      <family val="1"/>
    </font>
    <font>
      <sz val="10"/>
      <color rgb="FF0000CC"/>
      <name val="Calibri"/>
      <family val="2"/>
    </font>
    <font>
      <sz val="9.5"/>
      <color rgb="FF0000CC"/>
      <name val="Calibri"/>
      <family val="2"/>
      <scheme val="minor"/>
    </font>
    <font>
      <sz val="8"/>
      <color indexed="56"/>
      <name val="Calibri"/>
      <family val="2"/>
    </font>
    <font>
      <sz val="9"/>
      <name val="Times New Roman"/>
      <family val="1"/>
    </font>
    <font>
      <sz val="9"/>
      <color rgb="FF0000CC"/>
      <name val="Calibri"/>
      <family val="2"/>
      <scheme val="minor"/>
    </font>
    <font>
      <sz val="9"/>
      <color rgb="FF0000CC"/>
      <name val="Calibri"/>
      <family val="2"/>
    </font>
    <font>
      <sz val="9"/>
      <color indexed="12"/>
      <name val="Calibri"/>
      <family val="2"/>
      <scheme val="minor"/>
    </font>
    <font>
      <b/>
      <u/>
      <sz val="9"/>
      <color indexed="12"/>
      <name val="Calibri"/>
      <family val="2"/>
      <scheme val="minor"/>
    </font>
    <font>
      <b/>
      <sz val="9"/>
      <color indexed="12"/>
      <name val="Tahoma"/>
      <family val="2"/>
    </font>
    <font>
      <sz val="9"/>
      <color indexed="12"/>
      <name val="Tahoma"/>
      <family val="2"/>
    </font>
    <font>
      <u/>
      <sz val="9"/>
      <color indexed="12"/>
      <name val="Tahoma"/>
      <family val="2"/>
    </font>
    <font>
      <b/>
      <u/>
      <sz val="9"/>
      <color indexed="12"/>
      <name val="Tahoma"/>
      <family val="2"/>
    </font>
    <font>
      <sz val="10"/>
      <color rgb="FF000099"/>
      <name val="Calibri"/>
      <family val="2"/>
    </font>
    <font>
      <sz val="10"/>
      <color rgb="FF000099"/>
      <name val="Calibri"/>
      <family val="2"/>
      <scheme val="minor"/>
    </font>
    <font>
      <sz val="10"/>
      <color theme="0"/>
      <name val="Times New Roman"/>
      <family val="1"/>
    </font>
    <font>
      <sz val="9"/>
      <color theme="0"/>
      <name val="Cambria"/>
      <family val="1"/>
    </font>
  </fonts>
  <fills count="72">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26"/>
        <bgColor indexed="64"/>
      </patternFill>
    </fill>
    <fill>
      <patternFill patternType="solid">
        <fgColor indexed="54"/>
        <bgColor indexed="64"/>
      </patternFill>
    </fill>
    <fill>
      <patternFill patternType="solid">
        <fgColor indexed="51"/>
        <bgColor indexed="64"/>
      </patternFill>
    </fill>
    <fill>
      <patternFill patternType="solid">
        <fgColor indexed="24"/>
        <bgColor indexed="64"/>
      </patternFill>
    </fill>
    <fill>
      <patternFill patternType="solid">
        <fgColor indexed="49"/>
        <bgColor indexed="64"/>
      </patternFill>
    </fill>
    <fill>
      <patternFill patternType="solid">
        <fgColor indexed="16"/>
        <bgColor indexed="64"/>
      </patternFill>
    </fill>
    <fill>
      <patternFill patternType="solid">
        <fgColor indexed="23"/>
        <bgColor indexed="64"/>
      </patternFill>
    </fill>
    <fill>
      <patternFill patternType="solid">
        <fgColor indexed="65"/>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48"/>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5"/>
      </patternFill>
    </fill>
    <fill>
      <patternFill patternType="solid">
        <fgColor theme="8"/>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EBF9FF"/>
        <bgColor indexed="64"/>
      </patternFill>
    </fill>
    <fill>
      <patternFill patternType="solid">
        <fgColor theme="6" tint="0.79998168889431442"/>
        <bgColor indexed="64"/>
      </patternFill>
    </fill>
    <fill>
      <patternFill patternType="solid">
        <fgColor theme="2"/>
        <bgColor indexed="64"/>
      </patternFill>
    </fill>
    <fill>
      <patternFill patternType="solid">
        <fgColor theme="5"/>
        <bgColor indexed="64"/>
      </patternFill>
    </fill>
    <fill>
      <patternFill patternType="solid">
        <fgColor rgb="FFC0C0C0"/>
        <bgColor indexed="64"/>
      </patternFill>
    </fill>
    <fill>
      <patternFill patternType="solid">
        <fgColor rgb="FF3366FF"/>
        <bgColor indexed="64"/>
      </patternFill>
    </fill>
    <fill>
      <patternFill patternType="solid">
        <fgColor theme="0" tint="-0.24994659260841701"/>
        <bgColor indexed="64"/>
      </patternFill>
    </fill>
    <fill>
      <patternFill patternType="solid">
        <fgColor theme="0" tint="-0.499984740745262"/>
        <bgColor indexed="64"/>
      </patternFill>
    </fill>
    <fill>
      <patternFill patternType="solid">
        <fgColor rgb="FF666699"/>
        <bgColor indexed="64"/>
      </patternFill>
    </fill>
    <fill>
      <patternFill patternType="solid">
        <fgColor theme="4" tint="-0.24994659260841701"/>
        <bgColor indexed="64"/>
      </patternFill>
    </fill>
    <fill>
      <patternFill patternType="solid">
        <fgColor theme="8"/>
        <bgColor indexed="64"/>
      </patternFill>
    </fill>
    <fill>
      <patternFill patternType="solid">
        <fgColor theme="4"/>
      </patternFill>
    </fill>
    <fill>
      <patternFill patternType="solid">
        <fgColor rgb="FF00B050"/>
        <bgColor indexed="64"/>
      </patternFill>
    </fill>
    <fill>
      <patternFill patternType="solid">
        <fgColor theme="5" tint="-0.24994659260841701"/>
        <bgColor indexed="64"/>
      </patternFill>
    </fill>
    <fill>
      <patternFill patternType="solid">
        <fgColor rgb="FFD21034"/>
        <bgColor indexed="64"/>
      </patternFill>
    </fill>
    <fill>
      <patternFill patternType="solid">
        <fgColor rgb="FF464646"/>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CFFCC"/>
        <bgColor indexed="64"/>
      </patternFill>
    </fill>
    <fill>
      <patternFill patternType="solid">
        <fgColor theme="9" tint="0.79998168889431442"/>
        <bgColor indexed="64"/>
      </patternFill>
    </fill>
    <fill>
      <patternFill patternType="solid">
        <fgColor theme="7"/>
      </patternFill>
    </fill>
    <fill>
      <patternFill patternType="solid">
        <fgColor theme="1"/>
      </patternFill>
    </fill>
    <fill>
      <patternFill patternType="solid">
        <fgColor theme="8" tint="-0.24994659260841701"/>
        <bgColor indexed="64"/>
      </patternFill>
    </fill>
    <fill>
      <patternFill patternType="solid">
        <fgColor theme="0"/>
        <bgColor indexed="64"/>
      </patternFill>
    </fill>
    <fill>
      <patternFill patternType="solid">
        <fgColor rgb="FFFFCC00"/>
        <bgColor indexed="64"/>
      </patternFill>
    </fill>
    <fill>
      <patternFill patternType="solid">
        <fgColor rgb="FF366092"/>
        <bgColor indexed="64"/>
      </patternFill>
    </fill>
    <fill>
      <patternFill patternType="solid">
        <fgColor theme="8" tint="0.79998168889431442"/>
        <bgColor indexed="64"/>
      </patternFill>
    </fill>
    <fill>
      <patternFill patternType="solid">
        <fgColor rgb="FFDAEEF3"/>
        <bgColor indexed="64"/>
      </patternFill>
    </fill>
    <fill>
      <patternFill patternType="solid">
        <fgColor rgb="FFEAEAEA"/>
        <bgColor indexed="64"/>
      </patternFill>
    </fill>
    <fill>
      <patternFill patternType="solid">
        <fgColor rgb="FF33CCCC"/>
        <bgColor indexed="64"/>
      </patternFill>
    </fill>
    <fill>
      <patternFill patternType="solid">
        <fgColor rgb="FF99FF99"/>
        <bgColor indexed="64"/>
      </patternFill>
    </fill>
    <fill>
      <patternFill patternType="solid">
        <fgColor rgb="FF333399"/>
        <bgColor indexed="64"/>
      </patternFill>
    </fill>
    <fill>
      <patternFill patternType="solid">
        <fgColor theme="5" tint="0.79998168889431442"/>
        <bgColor indexed="65"/>
      </patternFill>
    </fill>
    <fill>
      <patternFill patternType="solid">
        <fgColor theme="1"/>
        <bgColor indexed="64"/>
      </patternFill>
    </fill>
    <fill>
      <patternFill patternType="solid">
        <fgColor rgb="FFFFFFFF"/>
        <bgColor indexed="64"/>
      </patternFill>
    </fill>
    <fill>
      <patternFill patternType="solid">
        <fgColor theme="9"/>
      </patternFill>
    </fill>
    <fill>
      <patternFill patternType="solid">
        <fgColor rgb="FF993366"/>
        <bgColor indexed="64"/>
      </patternFill>
    </fill>
    <fill>
      <patternFill patternType="solid">
        <fgColor rgb="FFDA9694"/>
        <bgColor indexed="64"/>
      </patternFill>
    </fill>
    <fill>
      <patternFill patternType="solid">
        <fgColor theme="4"/>
        <bgColor indexed="64"/>
      </patternFill>
    </fill>
    <fill>
      <patternFill patternType="solid">
        <fgColor rgb="FF800000"/>
        <bgColor indexed="64"/>
      </patternFill>
    </fill>
    <fill>
      <patternFill patternType="solid">
        <fgColor theme="3" tint="0.39994506668294322"/>
        <bgColor indexed="64"/>
      </patternFill>
    </fill>
    <fill>
      <patternFill patternType="solid">
        <fgColor rgb="FFDDDDDD"/>
        <bgColor indexed="64"/>
      </patternFill>
    </fill>
    <fill>
      <patternFill patternType="solid">
        <fgColor theme="5" tint="0.79998168889431442"/>
        <bgColor indexed="64"/>
      </patternFill>
    </fill>
    <fill>
      <patternFill patternType="solid">
        <fgColor rgb="FFB2B2B2"/>
        <bgColor indexed="64"/>
      </patternFill>
    </fill>
    <fill>
      <patternFill patternType="solid">
        <fgColor theme="0" tint="-0.34998626667073579"/>
        <bgColor indexed="64"/>
      </patternFill>
    </fill>
  </fills>
  <borders count="600">
    <border>
      <left/>
      <right/>
      <top/>
      <bottom/>
      <diagonal/>
    </border>
    <border>
      <left/>
      <right/>
      <top style="thin">
        <color auto="1"/>
      </top>
      <bottom/>
      <diagonal/>
    </border>
    <border>
      <left/>
      <right style="thin">
        <color auto="1"/>
      </right>
      <top/>
      <bottom/>
      <diagonal/>
    </border>
    <border>
      <left/>
      <right/>
      <top/>
      <bottom style="thin">
        <color indexed="9"/>
      </bottom>
      <diagonal/>
    </border>
    <border>
      <left style="thin">
        <color indexed="12"/>
      </left>
      <right style="thin">
        <color indexed="12"/>
      </right>
      <top style="thin">
        <color indexed="12"/>
      </top>
      <bottom style="thin">
        <color indexed="12"/>
      </bottom>
      <diagonal/>
    </border>
    <border>
      <left/>
      <right/>
      <top/>
      <bottom style="thin">
        <color indexed="32"/>
      </bottom>
      <diagonal/>
    </border>
    <border>
      <left style="thin">
        <color indexed="32"/>
      </left>
      <right style="thin">
        <color indexed="32"/>
      </right>
      <top style="thin">
        <color indexed="32"/>
      </top>
      <bottom style="thin">
        <color indexed="32"/>
      </bottom>
      <diagonal/>
    </border>
    <border>
      <left/>
      <right style="thin">
        <color indexed="32"/>
      </right>
      <top/>
      <bottom/>
      <diagonal/>
    </border>
    <border>
      <left/>
      <right/>
      <top style="thin">
        <color indexed="32"/>
      </top>
      <bottom/>
      <diagonal/>
    </border>
    <border>
      <left style="thin">
        <color indexed="32"/>
      </left>
      <right/>
      <top/>
      <bottom style="thin">
        <color indexed="32"/>
      </bottom>
      <diagonal/>
    </border>
    <border>
      <left style="thin">
        <color indexed="62"/>
      </left>
      <right style="thin">
        <color indexed="30"/>
      </right>
      <top style="thin">
        <color indexed="62"/>
      </top>
      <bottom style="thin">
        <color indexed="62"/>
      </bottom>
      <diagonal/>
    </border>
    <border>
      <left style="thin">
        <color indexed="30"/>
      </left>
      <right style="thin">
        <color indexed="62"/>
      </right>
      <top style="thin">
        <color indexed="62"/>
      </top>
      <bottom style="thin">
        <color indexed="62"/>
      </bottom>
      <diagonal/>
    </border>
    <border>
      <left style="thin">
        <color indexed="62"/>
      </left>
      <right/>
      <top style="thin">
        <color indexed="62"/>
      </top>
      <bottom style="thin">
        <color indexed="62"/>
      </bottom>
      <diagonal/>
    </border>
    <border>
      <left style="thin">
        <color indexed="30"/>
      </left>
      <right style="thin">
        <color indexed="30"/>
      </right>
      <top style="thin">
        <color indexed="62"/>
      </top>
      <bottom style="thin">
        <color indexed="62"/>
      </bottom>
      <diagonal/>
    </border>
    <border>
      <left/>
      <right style="thin">
        <color indexed="62"/>
      </right>
      <top style="thin">
        <color indexed="62"/>
      </top>
      <bottom style="thin">
        <color indexed="62"/>
      </bottom>
      <diagonal/>
    </border>
    <border>
      <left style="thin">
        <color indexed="30"/>
      </left>
      <right/>
      <top style="thin">
        <color indexed="62"/>
      </top>
      <bottom style="thin">
        <color indexed="62"/>
      </bottom>
      <diagonal/>
    </border>
    <border>
      <left/>
      <right style="thin">
        <color indexed="32"/>
      </right>
      <top/>
      <bottom style="thin">
        <color indexed="32"/>
      </bottom>
      <diagonal/>
    </border>
    <border>
      <left/>
      <right style="thin">
        <color indexed="9"/>
      </right>
      <top/>
      <bottom/>
      <diagonal/>
    </border>
    <border>
      <left style="thin">
        <color indexed="9"/>
      </left>
      <right style="thin">
        <color indexed="9"/>
      </right>
      <top/>
      <bottom/>
      <diagonal/>
    </border>
    <border>
      <left style="thin">
        <color indexed="32"/>
      </left>
      <right/>
      <top style="thin">
        <color indexed="32"/>
      </top>
      <bottom style="thin">
        <color indexed="32"/>
      </bottom>
      <diagonal/>
    </border>
    <border>
      <left/>
      <right style="thin">
        <color indexed="32"/>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diagonal/>
    </border>
    <border>
      <left style="thin">
        <color indexed="32"/>
      </left>
      <right/>
      <top style="thin">
        <color indexed="32"/>
      </top>
      <bottom/>
      <diagonal/>
    </border>
    <border>
      <left style="thin">
        <color rgb="FF333399"/>
      </left>
      <right/>
      <top style="thin">
        <color rgb="FF333399"/>
      </top>
      <bottom style="thin">
        <color rgb="FF333399"/>
      </bottom>
      <diagonal/>
    </border>
    <border>
      <left/>
      <right/>
      <top style="thin">
        <color rgb="FF333399"/>
      </top>
      <bottom style="thin">
        <color rgb="FF333399"/>
      </bottom>
      <diagonal/>
    </border>
    <border>
      <left style="thin">
        <color rgb="FF0000FF"/>
      </left>
      <right style="thin">
        <color rgb="FF0000FF"/>
      </right>
      <top style="thin">
        <color rgb="FF0000FF"/>
      </top>
      <bottom style="thin">
        <color rgb="FF0000FF"/>
      </bottom>
      <diagonal/>
    </border>
    <border>
      <left/>
      <right style="thin">
        <color rgb="FF333399"/>
      </right>
      <top style="thin">
        <color rgb="FF333399"/>
      </top>
      <bottom style="thin">
        <color rgb="FF333399"/>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thin">
        <color theme="4" tint="0.39994506668294322"/>
      </bottom>
      <diagonal/>
    </border>
    <border>
      <left style="thin">
        <color rgb="FF333399"/>
      </left>
      <right style="thin">
        <color theme="4" tint="0.39994506668294322"/>
      </right>
      <top style="thin">
        <color rgb="FF333399"/>
      </top>
      <bottom style="thin">
        <color theme="4" tint="0.39994506668294322"/>
      </bottom>
      <diagonal/>
    </border>
    <border>
      <left style="thin">
        <color theme="4" tint="0.39994506668294322"/>
      </left>
      <right style="thin">
        <color theme="4" tint="0.39994506668294322"/>
      </right>
      <top style="thin">
        <color rgb="FF333399"/>
      </top>
      <bottom style="thin">
        <color theme="4" tint="0.39994506668294322"/>
      </bottom>
      <diagonal/>
    </border>
    <border>
      <left style="thin">
        <color theme="4" tint="0.39994506668294322"/>
      </left>
      <right style="thin">
        <color rgb="FF333399"/>
      </right>
      <top style="thin">
        <color rgb="FF333399"/>
      </top>
      <bottom style="thin">
        <color theme="4" tint="0.39994506668294322"/>
      </bottom>
      <diagonal/>
    </border>
    <border>
      <left style="thin">
        <color rgb="FF333399"/>
      </left>
      <right style="thin">
        <color theme="4" tint="0.39994506668294322"/>
      </right>
      <top style="thin">
        <color theme="4" tint="0.39994506668294322"/>
      </top>
      <bottom style="thin">
        <color rgb="FF333399"/>
      </bottom>
      <diagonal/>
    </border>
    <border>
      <left style="thin">
        <color theme="4" tint="0.39994506668294322"/>
      </left>
      <right style="thin">
        <color theme="4" tint="0.39994506668294322"/>
      </right>
      <top style="thin">
        <color theme="4" tint="0.39994506668294322"/>
      </top>
      <bottom style="thin">
        <color rgb="FF333399"/>
      </bottom>
      <diagonal/>
    </border>
    <border>
      <left style="thin">
        <color theme="4" tint="0.39994506668294322"/>
      </left>
      <right style="thin">
        <color rgb="FF333399"/>
      </right>
      <top style="thin">
        <color theme="4" tint="0.39994506668294322"/>
      </top>
      <bottom style="thin">
        <color rgb="FF333399"/>
      </bottom>
      <diagonal/>
    </border>
    <border>
      <left style="thin">
        <color rgb="FF333399"/>
      </left>
      <right style="thin">
        <color theme="4" tint="0.39994506668294322"/>
      </right>
      <top/>
      <bottom style="thin">
        <color theme="4" tint="0.39994506668294322"/>
      </bottom>
      <diagonal/>
    </border>
    <border>
      <left style="thin">
        <color theme="4" tint="0.39994506668294322"/>
      </left>
      <right style="thin">
        <color rgb="FF333399"/>
      </right>
      <top/>
      <bottom style="thin">
        <color theme="4" tint="0.39994506668294322"/>
      </bottom>
      <diagonal/>
    </border>
    <border>
      <left style="thin">
        <color rgb="FF333399"/>
      </left>
      <right style="thin">
        <color theme="4" tint="0.39994506668294322"/>
      </right>
      <top style="thin">
        <color theme="4" tint="0.39994506668294322"/>
      </top>
      <bottom style="thin">
        <color theme="4" tint="0.39994506668294322"/>
      </bottom>
      <diagonal/>
    </border>
    <border>
      <left style="thin">
        <color theme="4" tint="0.39994506668294322"/>
      </left>
      <right style="thin">
        <color rgb="FF333399"/>
      </right>
      <top style="thin">
        <color theme="4" tint="0.39994506668294322"/>
      </top>
      <bottom style="thin">
        <color theme="4" tint="0.39994506668294322"/>
      </bottom>
      <diagonal/>
    </border>
    <border>
      <left style="thin">
        <color theme="4" tint="0.39994506668294322"/>
      </left>
      <right style="thin">
        <color rgb="FF333399"/>
      </right>
      <top style="thin">
        <color theme="4" tint="0.39994506668294322"/>
      </top>
      <bottom/>
      <diagonal/>
    </border>
    <border>
      <left style="thin">
        <color rgb="FF333399"/>
      </left>
      <right style="thin">
        <color theme="4" tint="0.39994506668294322"/>
      </right>
      <top style="thin">
        <color theme="4" tint="0.39994506668294322"/>
      </top>
      <bottom style="thin">
        <color theme="3" tint="0.39994506668294322"/>
      </bottom>
      <diagonal/>
    </border>
    <border>
      <left style="thin">
        <color rgb="FF333399"/>
      </left>
      <right style="thin">
        <color theme="4" tint="0.39994506668294322"/>
      </right>
      <top style="thin">
        <color theme="3" tint="0.39994506668294322"/>
      </top>
      <bottom style="thin">
        <color theme="4" tint="0.39994506668294322"/>
      </bottom>
      <diagonal/>
    </border>
    <border>
      <left style="thin">
        <color rgb="FF333399"/>
      </left>
      <right style="thin">
        <color theme="4" tint="0.39994506668294322"/>
      </right>
      <top style="thin">
        <color theme="4" tint="0.39994506668294322"/>
      </top>
      <bottom/>
      <diagonal/>
    </border>
    <border>
      <left style="thin">
        <color rgb="FF333399"/>
      </left>
      <right style="thin">
        <color theme="4" tint="0.39994506668294322"/>
      </right>
      <top/>
      <bottom/>
      <diagonal/>
    </border>
    <border>
      <left style="thin">
        <color rgb="FF333399"/>
      </left>
      <right style="thin">
        <color theme="4" tint="0.39994506668294322"/>
      </right>
      <top style="thin">
        <color rgb="FF333399"/>
      </top>
      <bottom style="thin">
        <color rgb="FF333399"/>
      </bottom>
      <diagonal/>
    </border>
    <border>
      <left style="thin">
        <color theme="4" tint="0.39994506668294322"/>
      </left>
      <right style="thin">
        <color theme="4" tint="0.39994506668294322"/>
      </right>
      <top style="thin">
        <color rgb="FF333399"/>
      </top>
      <bottom style="thin">
        <color rgb="FF333399"/>
      </bottom>
      <diagonal/>
    </border>
    <border>
      <left style="thin">
        <color theme="4" tint="0.39994506668294322"/>
      </left>
      <right style="thin">
        <color rgb="FF333399"/>
      </right>
      <top style="thin">
        <color rgb="FF333399"/>
      </top>
      <bottom style="thin">
        <color rgb="FF333399"/>
      </bottom>
      <diagonal/>
    </border>
    <border>
      <left style="thin">
        <color theme="4" tint="0.39994506668294322"/>
      </left>
      <right/>
      <top style="thin">
        <color rgb="FF333399"/>
      </top>
      <bottom style="thin">
        <color theme="4" tint="0.39994506668294322"/>
      </bottom>
      <diagonal/>
    </border>
    <border>
      <left style="thin">
        <color theme="4" tint="0.39994506668294322"/>
      </left>
      <right/>
      <top style="thin">
        <color theme="4" tint="0.39994506668294322"/>
      </top>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rgb="FF333399"/>
      </bottom>
      <diagonal/>
    </border>
    <border>
      <left style="thin">
        <color theme="4" tint="0.39994506668294322"/>
      </left>
      <right/>
      <top/>
      <bottom style="thin">
        <color theme="4" tint="0.39994506668294322"/>
      </bottom>
      <diagonal/>
    </border>
    <border>
      <left style="thin">
        <color theme="4" tint="0.39994506668294322"/>
      </left>
      <right/>
      <top style="thin">
        <color rgb="FF333399"/>
      </top>
      <bottom style="thin">
        <color rgb="FF333399"/>
      </bottom>
      <diagonal/>
    </border>
    <border>
      <left style="thin">
        <color theme="4" tint="0.39994506668294322"/>
      </left>
      <right style="thin">
        <color rgb="FF333399"/>
      </right>
      <top style="thin">
        <color rgb="FF333399"/>
      </top>
      <bottom/>
      <diagonal/>
    </border>
    <border>
      <left style="thin">
        <color rgb="FF333399"/>
      </left>
      <right/>
      <top style="thin">
        <color rgb="FF333399"/>
      </top>
      <bottom/>
      <diagonal/>
    </border>
    <border>
      <left/>
      <right style="thin">
        <color theme="3" tint="0.39988402966399123"/>
      </right>
      <top style="thin">
        <color rgb="FF333399"/>
      </top>
      <bottom/>
      <diagonal/>
    </border>
    <border>
      <left/>
      <right style="thin">
        <color rgb="FF333399"/>
      </right>
      <top style="thin">
        <color rgb="FF333399"/>
      </top>
      <bottom style="thin">
        <color theme="4" tint="0.39994506668294322"/>
      </bottom>
      <diagonal/>
    </border>
    <border>
      <left style="thin">
        <color rgb="FF333399"/>
      </left>
      <right/>
      <top/>
      <bottom style="thin">
        <color rgb="FF333399"/>
      </bottom>
      <diagonal/>
    </border>
    <border>
      <left/>
      <right style="thin">
        <color theme="3" tint="0.39988402966399123"/>
      </right>
      <top/>
      <bottom style="thin">
        <color rgb="FF333399"/>
      </bottom>
      <diagonal/>
    </border>
    <border>
      <left/>
      <right style="thin">
        <color rgb="FF333399"/>
      </right>
      <top style="thin">
        <color theme="4" tint="0.39994506668294322"/>
      </top>
      <bottom style="thin">
        <color rgb="FF333399"/>
      </bottom>
      <diagonal/>
    </border>
    <border>
      <left style="thin">
        <color rgb="FF333399"/>
      </left>
      <right style="thin">
        <color rgb="FF333399"/>
      </right>
      <top style="thin">
        <color rgb="FF333399"/>
      </top>
      <bottom style="thin">
        <color theme="3" tint="0.39994506668294322"/>
      </bottom>
      <diagonal/>
    </border>
    <border>
      <left style="thin">
        <color theme="3"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3" tint="0.39994506668294322"/>
      </top>
      <bottom style="thin">
        <color rgb="FF333399"/>
      </bottom>
      <diagonal/>
    </border>
    <border>
      <left/>
      <right/>
      <top style="thin">
        <color rgb="FF333399"/>
      </top>
      <bottom/>
      <diagonal/>
    </border>
    <border>
      <left/>
      <right style="thin">
        <color rgb="FF333399"/>
      </right>
      <top style="thin">
        <color rgb="FF333399"/>
      </top>
      <bottom/>
      <diagonal/>
    </border>
    <border>
      <left style="thin">
        <color rgb="FF333399"/>
      </left>
      <right/>
      <top style="thin">
        <color theme="4" tint="0.39994506668294322"/>
      </top>
      <bottom style="thin">
        <color theme="4" tint="0.39994506668294322"/>
      </bottom>
      <diagonal/>
    </border>
    <border>
      <left/>
      <right/>
      <top/>
      <bottom style="thin">
        <color rgb="FF333399"/>
      </bottom>
      <diagonal/>
    </border>
    <border>
      <left/>
      <right style="thin">
        <color rgb="FF333399"/>
      </right>
      <top/>
      <bottom style="thin">
        <color rgb="FF333399"/>
      </bottom>
      <diagonal/>
    </border>
    <border>
      <left style="thin">
        <color indexed="62"/>
      </left>
      <right style="thin">
        <color theme="4" tint="0.39994506668294322"/>
      </right>
      <top style="thin">
        <color indexed="62"/>
      </top>
      <bottom style="thin">
        <color indexed="62"/>
      </bottom>
      <diagonal/>
    </border>
    <border>
      <left style="thin">
        <color theme="3" tint="0.39994506668294322"/>
      </left>
      <right/>
      <top style="thin">
        <color indexed="62"/>
      </top>
      <bottom style="thin">
        <color indexed="62"/>
      </bottom>
      <diagonal/>
    </border>
    <border>
      <left/>
      <right style="thin">
        <color rgb="FF333399"/>
      </right>
      <top style="thin">
        <color indexed="62"/>
      </top>
      <bottom style="thin">
        <color indexed="62"/>
      </bottom>
      <diagonal/>
    </border>
    <border>
      <left style="thin">
        <color rgb="FF333399"/>
      </left>
      <right/>
      <top style="thin">
        <color indexed="62"/>
      </top>
      <bottom style="thin">
        <color indexed="62"/>
      </bottom>
      <diagonal/>
    </border>
    <border>
      <left/>
      <right style="thin">
        <color rgb="FF333399"/>
      </right>
      <top style="thin">
        <color theme="4" tint="0.39994506668294322"/>
      </top>
      <bottom style="thin">
        <color theme="4" tint="0.39994506668294322"/>
      </bottom>
      <diagonal/>
    </border>
    <border>
      <left style="thin">
        <color theme="3" tint="0.39994506668294322"/>
      </left>
      <right/>
      <top style="thin">
        <color theme="4" tint="0.39994506668294322"/>
      </top>
      <bottom style="thin">
        <color rgb="FF333399"/>
      </bottom>
      <diagonal/>
    </border>
    <border>
      <left style="thin">
        <color rgb="FF333399"/>
      </left>
      <right style="thin">
        <color indexed="30"/>
      </right>
      <top style="thin">
        <color indexed="62"/>
      </top>
      <bottom style="thin">
        <color indexed="62"/>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style="thin">
        <color theme="4" tint="0.39994506668294322"/>
      </top>
      <bottom style="thin">
        <color theme="4" tint="0.39994506668294322"/>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style="thin">
        <color indexed="32"/>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style="thin">
        <color auto="1"/>
      </top>
      <bottom/>
      <diagonal/>
    </border>
    <border>
      <left style="thin">
        <color auto="1"/>
      </left>
      <right/>
      <top/>
      <bottom/>
      <diagonal/>
    </border>
    <border>
      <left style="thin">
        <color rgb="FF333399"/>
      </left>
      <right style="thin">
        <color theme="4" tint="0.39994506668294322"/>
      </right>
      <top style="thin">
        <color rgb="FF333399"/>
      </top>
      <bottom/>
      <diagonal/>
    </border>
    <border>
      <left style="thin">
        <color rgb="FF333399"/>
      </left>
      <right style="thin">
        <color theme="4" tint="0.39994506668294322"/>
      </right>
      <top/>
      <bottom style="thin">
        <color rgb="FF333399"/>
      </bottom>
      <diagonal/>
    </border>
    <border>
      <left/>
      <right style="thin">
        <color indexed="62"/>
      </right>
      <top/>
      <bottom style="thin">
        <color indexed="62"/>
      </bottom>
      <diagonal/>
    </border>
    <border>
      <left/>
      <right/>
      <top style="thin">
        <color rgb="FF333399"/>
      </top>
      <bottom style="thin">
        <color theme="4" tint="0.39994506668294322"/>
      </bottom>
      <diagonal/>
    </border>
    <border>
      <left/>
      <right style="thin">
        <color theme="4" tint="0.39994506668294322"/>
      </right>
      <top style="thin">
        <color rgb="FF333399"/>
      </top>
      <bottom style="thin">
        <color theme="4" tint="0.39994506668294322"/>
      </bottom>
      <diagonal/>
    </border>
    <border>
      <left/>
      <right/>
      <top style="thin">
        <color theme="4" tint="0.39994506668294322"/>
      </top>
      <bottom style="thin">
        <color rgb="FF33339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2499465926084170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24994659260841701"/>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indexed="62"/>
      </left>
      <right/>
      <top/>
      <bottom style="thin">
        <color indexed="62"/>
      </bottom>
      <diagonal/>
    </border>
    <border>
      <left/>
      <right/>
      <top/>
      <bottom style="thin">
        <color indexed="62"/>
      </bottom>
      <diagonal/>
    </border>
    <border>
      <left/>
      <right style="thin">
        <color theme="0"/>
      </right>
      <top/>
      <bottom/>
      <diagonal/>
    </border>
    <border>
      <left style="thin">
        <color theme="0"/>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thin">
        <color rgb="FF333399"/>
      </right>
      <top/>
      <bottom/>
      <diagonal/>
    </border>
    <border>
      <left/>
      <right style="thin">
        <color rgb="FF0000FF"/>
      </right>
      <top/>
      <bottom/>
      <diagonal/>
    </border>
    <border>
      <left/>
      <right/>
      <top/>
      <bottom style="thin">
        <color theme="0"/>
      </bottom>
      <diagonal/>
    </border>
    <border>
      <left/>
      <right style="thin">
        <color theme="0"/>
      </right>
      <top/>
      <bottom style="thin">
        <color theme="0"/>
      </bottom>
      <diagonal/>
    </border>
    <border>
      <left/>
      <right/>
      <top style="thin">
        <color theme="0" tint="-0.34998626667073579"/>
      </top>
      <bottom/>
      <diagonal/>
    </border>
    <border>
      <left style="thin">
        <color indexed="9"/>
      </left>
      <right style="thin">
        <color theme="0" tint="-0.499984740745262"/>
      </right>
      <top style="thin">
        <color theme="0" tint="-0.499984740745262"/>
      </top>
      <bottom/>
      <diagonal/>
    </border>
    <border>
      <left style="thin">
        <color theme="0" tint="-0.499984740745262"/>
      </left>
      <right/>
      <top style="thin">
        <color theme="0" tint="-0.24994659260841701"/>
      </top>
      <bottom style="thin">
        <color theme="0" tint="-0.24994659260841701"/>
      </bottom>
      <diagonal/>
    </border>
    <border>
      <left style="thin">
        <color theme="0" tint="-0.499984740745262"/>
      </left>
      <right/>
      <top style="thin">
        <color theme="0" tint="-0.34998626667073579"/>
      </top>
      <bottom style="thin">
        <color theme="0" tint="-0.499984740745262"/>
      </bottom>
      <diagonal/>
    </border>
    <border>
      <left style="thin">
        <color theme="0"/>
      </left>
      <right style="thin">
        <color theme="0"/>
      </right>
      <top/>
      <bottom style="thin">
        <color indexed="9"/>
      </bottom>
      <diagonal/>
    </border>
    <border>
      <left style="thin">
        <color theme="0"/>
      </left>
      <right style="thin">
        <color theme="0"/>
      </right>
      <top style="thin">
        <color indexed="9"/>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0"/>
      </right>
      <top style="thin">
        <color theme="8" tint="-0.24994659260841701"/>
      </top>
      <bottom/>
      <diagonal/>
    </border>
    <border>
      <left style="thin">
        <color theme="0"/>
      </left>
      <right style="thin">
        <color theme="0"/>
      </right>
      <top style="thin">
        <color theme="8" tint="-0.24994659260841701"/>
      </top>
      <bottom/>
      <diagonal/>
    </border>
    <border>
      <left style="thin">
        <color theme="0"/>
      </left>
      <right style="thin">
        <color theme="8" tint="-0.24994659260841701"/>
      </right>
      <top style="thin">
        <color theme="8" tint="-0.24994659260841701"/>
      </top>
      <bottom/>
      <diagonal/>
    </border>
    <border>
      <left style="thin">
        <color theme="8" tint="-0.24994659260841701"/>
      </left>
      <right style="thin">
        <color theme="0"/>
      </right>
      <top/>
      <bottom style="thin">
        <color indexed="9"/>
      </bottom>
      <diagonal/>
    </border>
    <border>
      <left style="thin">
        <color theme="0"/>
      </left>
      <right style="thin">
        <color theme="8" tint="-0.24994659260841701"/>
      </right>
      <top/>
      <bottom style="thin">
        <color indexed="9"/>
      </bottom>
      <diagonal/>
    </border>
    <border>
      <left style="thin">
        <color theme="8" tint="-0.24994659260841701"/>
      </left>
      <right style="thin">
        <color theme="0"/>
      </right>
      <top style="thin">
        <color indexed="9"/>
      </top>
      <bottom/>
      <diagonal/>
    </border>
    <border>
      <left style="thin">
        <color theme="0"/>
      </left>
      <right style="thin">
        <color theme="8" tint="-0.24994659260841701"/>
      </right>
      <top style="thin">
        <color indexed="9"/>
      </top>
      <bottom/>
      <diagonal/>
    </border>
    <border>
      <left style="thin">
        <color theme="8" tint="-0.24994659260841701"/>
      </left>
      <right style="thin">
        <color theme="0"/>
      </right>
      <top/>
      <bottom style="thin">
        <color theme="8" tint="-0.24994659260841701"/>
      </bottom>
      <diagonal/>
    </border>
    <border>
      <left style="thin">
        <color theme="0"/>
      </left>
      <right style="thin">
        <color theme="0"/>
      </right>
      <top/>
      <bottom style="thin">
        <color theme="8" tint="-0.24994659260841701"/>
      </bottom>
      <diagonal/>
    </border>
    <border>
      <left style="thin">
        <color theme="0"/>
      </left>
      <right style="thin">
        <color theme="8" tint="-0.24994659260841701"/>
      </right>
      <top/>
      <bottom style="thin">
        <color theme="8" tint="-0.2499465926084170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24994659260841701"/>
      </top>
      <bottom/>
      <diagonal/>
    </border>
    <border>
      <left style="thin">
        <color indexed="30"/>
      </left>
      <right/>
      <top/>
      <bottom/>
      <diagonal/>
    </border>
    <border>
      <left/>
      <right/>
      <top style="thin">
        <color indexed="62"/>
      </top>
      <bottom/>
      <diagonal/>
    </border>
    <border>
      <left style="thin">
        <color auto="1"/>
      </left>
      <right style="thin">
        <color auto="1"/>
      </right>
      <top/>
      <bottom/>
      <diagonal/>
    </border>
    <border>
      <left style="thin">
        <color indexed="62"/>
      </left>
      <right style="thin">
        <color rgb="FF333399"/>
      </right>
      <top style="thin">
        <color theme="3" tint="0.39994506668294322"/>
      </top>
      <bottom style="thin">
        <color rgb="FF333399"/>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indexed="9"/>
      </left>
      <right/>
      <top/>
      <bottom/>
      <diagonal/>
    </border>
    <border>
      <left/>
      <right/>
      <top style="thin">
        <color theme="0"/>
      </top>
      <bottom/>
      <diagonal/>
    </border>
    <border>
      <left/>
      <right/>
      <top style="thin">
        <color theme="0" tint="-0.24994659260841701"/>
      </top>
      <bottom style="thin">
        <color theme="0" tint="-0.499984740745262"/>
      </bottom>
      <diagonal/>
    </border>
    <border>
      <left/>
      <right style="thin">
        <color theme="0" tint="-0.34998626667073579"/>
      </right>
      <top style="thin">
        <color theme="0" tint="-0.24994659260841701"/>
      </top>
      <bottom style="thin">
        <color theme="0" tint="-0.499984740745262"/>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bottom/>
      <diagonal/>
    </border>
    <border>
      <left/>
      <right/>
      <top/>
      <bottom style="thin">
        <color theme="0" tint="-0.24994659260841701"/>
      </bottom>
      <diagonal/>
    </border>
    <border>
      <left style="thin">
        <color theme="4" tint="0.39994506668294322"/>
      </left>
      <right style="thin">
        <color theme="3" tint="0.39994506668294322"/>
      </right>
      <top style="thin">
        <color rgb="FF333399"/>
      </top>
      <bottom/>
      <diagonal/>
    </border>
    <border>
      <left style="thin">
        <color theme="4" tint="0.39994506668294322"/>
      </left>
      <right style="thin">
        <color theme="3" tint="0.39994506668294322"/>
      </right>
      <top style="thin">
        <color theme="4" tint="0.39994506668294322"/>
      </top>
      <bottom style="thin">
        <color theme="4" tint="0.39994506668294322"/>
      </bottom>
      <diagonal/>
    </border>
    <border>
      <left style="thin">
        <color theme="4" tint="0.39994506668294322"/>
      </left>
      <right style="thin">
        <color theme="3" tint="0.39994506668294322"/>
      </right>
      <top/>
      <bottom style="thin">
        <color rgb="FF333399"/>
      </bottom>
      <diagonal/>
    </border>
    <border>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style="thin">
        <color theme="0" tint="-0.499984740745262"/>
      </left>
      <right style="thin">
        <color theme="0" tint="-0.499984740745262"/>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style="thin">
        <color theme="0" tint="-0.34998626667073579"/>
      </left>
      <right/>
      <top style="thin">
        <color theme="0" tint="-0.499984740745262"/>
      </top>
      <bottom style="thin">
        <color theme="0" tint="-0.34998626667073579"/>
      </bottom>
      <diagonal/>
    </border>
    <border>
      <left style="thin">
        <color theme="0" tint="-0.34998626667073579"/>
      </left>
      <right/>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style="thin">
        <color theme="0"/>
      </left>
      <right style="thin">
        <color theme="0"/>
      </right>
      <top style="thin">
        <color theme="0" tint="-0.499984740745262"/>
      </top>
      <bottom/>
      <diagonal/>
    </border>
    <border>
      <left/>
      <right style="thin">
        <color theme="0" tint="-0.34998626667073579"/>
      </right>
      <top style="thin">
        <color theme="0" tint="-0.24994659260841701"/>
      </top>
      <bottom/>
      <diagonal/>
    </border>
    <border>
      <left/>
      <right/>
      <top/>
      <bottom style="thin">
        <color theme="0" tint="-0.499984740745262"/>
      </bottom>
      <diagonal/>
    </border>
    <border>
      <left/>
      <right/>
      <top/>
      <bottom style="thin">
        <color indexed="62"/>
      </bottom>
      <diagonal/>
    </border>
    <border>
      <left style="thin">
        <color rgb="FF000080"/>
      </left>
      <right/>
      <top style="thin">
        <color rgb="FF000080"/>
      </top>
      <bottom style="thin">
        <color rgb="FF000080"/>
      </bottom>
      <diagonal/>
    </border>
    <border>
      <left/>
      <right/>
      <top style="thin">
        <color rgb="FF000080"/>
      </top>
      <bottom style="thin">
        <color rgb="FF000080"/>
      </bottom>
      <diagonal/>
    </border>
    <border>
      <left/>
      <right style="thin">
        <color rgb="FF000080"/>
      </right>
      <top style="thin">
        <color rgb="FF000080"/>
      </top>
      <bottom style="thin">
        <color rgb="FF000080"/>
      </bottom>
      <diagonal/>
    </border>
    <border>
      <left/>
      <right/>
      <top/>
      <bottom style="thin">
        <color indexed="32"/>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right style="thin">
        <color indexed="9"/>
      </right>
      <top style="thin">
        <color theme="0"/>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style="thin">
        <color rgb="FF333399"/>
      </top>
      <bottom/>
      <diagonal/>
    </border>
    <border>
      <left style="thin">
        <color theme="4" tint="0.39994506668294322"/>
      </left>
      <right/>
      <top/>
      <bottom/>
      <diagonal/>
    </border>
    <border>
      <left style="thin">
        <color theme="4" tint="0.39994506668294322"/>
      </left>
      <right/>
      <top/>
      <bottom style="thin">
        <color rgb="FF333399"/>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theme="3" tint="0.39994506668294322"/>
      </left>
      <right/>
      <top style="thin">
        <color rgb="FF333399"/>
      </top>
      <bottom style="thin">
        <color theme="4" tint="0.39994506668294322"/>
      </bottom>
      <diagonal/>
    </border>
    <border>
      <left style="thin">
        <color theme="0" tint="-0.24994659260841701"/>
      </left>
      <right style="thin">
        <color theme="0" tint="-0.499984740745262"/>
      </right>
      <top/>
      <bottom style="thin">
        <color theme="0" tint="-0.24994659260841701"/>
      </bottom>
      <diagonal/>
    </border>
    <border>
      <left/>
      <right style="thin">
        <color theme="0"/>
      </right>
      <top/>
      <bottom style="thin">
        <color theme="0" tint="-0.499984740745262"/>
      </bottom>
      <diagonal/>
    </border>
    <border>
      <left style="thin">
        <color theme="0" tint="-0.499984740745262"/>
      </left>
      <right/>
      <top/>
      <bottom style="thin">
        <color theme="0" tint="-0.24994659260841701"/>
      </bottom>
      <diagonal/>
    </border>
    <border>
      <left/>
      <right style="thin">
        <color theme="0" tint="-0.499984740745262"/>
      </right>
      <top/>
      <bottom style="thin">
        <color theme="0" tint="-0.34998626667073579"/>
      </bottom>
      <diagonal/>
    </border>
    <border>
      <left/>
      <right/>
      <top/>
      <bottom style="thin">
        <color indexed="9"/>
      </bottom>
      <diagonal/>
    </border>
    <border>
      <left/>
      <right/>
      <top/>
      <bottom style="thin">
        <color indexed="9"/>
      </bottom>
      <diagonal/>
    </border>
    <border>
      <left/>
      <right style="thin">
        <color theme="0" tint="-0.499984740745262"/>
      </right>
      <top style="thin">
        <color theme="0" tint="-0.24994659260841701"/>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499984740745262"/>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24994659260841701"/>
      </top>
      <bottom style="thin">
        <color theme="0" tint="-0.24994659260841701"/>
      </bottom>
      <diagonal/>
    </border>
    <border>
      <left style="thin">
        <color theme="0" tint="-0.34998626667073579"/>
      </left>
      <right/>
      <top style="thin">
        <color theme="0" tint="-0.24994659260841701"/>
      </top>
      <bottom/>
      <diagonal/>
    </border>
    <border>
      <left style="thin">
        <color rgb="FF333399"/>
      </left>
      <right/>
      <top style="thin">
        <color indexed="62"/>
      </top>
      <bottom/>
      <diagonal/>
    </border>
    <border>
      <left/>
      <right style="thin">
        <color rgb="FF333399"/>
      </right>
      <top style="thin">
        <color indexed="62"/>
      </top>
      <bottom/>
      <diagonal/>
    </border>
    <border>
      <left style="thin">
        <color rgb="FF333399"/>
      </left>
      <right/>
      <top/>
      <bottom style="thin">
        <color indexed="62"/>
      </bottom>
      <diagonal/>
    </border>
    <border>
      <left/>
      <right style="thin">
        <color rgb="FF333399"/>
      </right>
      <top/>
      <bottom style="thin">
        <color indexed="62"/>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rgb="FF333399"/>
      </left>
      <right style="thin">
        <color rgb="FF333399"/>
      </right>
      <top style="thin">
        <color theme="3" tint="0.39994506668294322"/>
      </top>
      <bottom style="thin">
        <color rgb="FF333399"/>
      </bottom>
      <diagonal/>
    </border>
    <border>
      <left style="thin">
        <color rgb="FF333399"/>
      </left>
      <right/>
      <top style="thin">
        <color theme="3" tint="0.39994506668294322"/>
      </top>
      <bottom style="thin">
        <color rgb="FF333399"/>
      </bottom>
      <diagonal/>
    </border>
    <border>
      <left/>
      <right/>
      <top style="thin">
        <color theme="3" tint="0.39994506668294322"/>
      </top>
      <bottom style="thin">
        <color rgb="FF333399"/>
      </bottom>
      <diagonal/>
    </border>
    <border>
      <left style="thin">
        <color indexed="62"/>
      </left>
      <right/>
      <top style="thin">
        <color theme="3" tint="0.39994506668294322"/>
      </top>
      <bottom style="thin">
        <color rgb="FF333399"/>
      </bottom>
      <diagonal/>
    </border>
    <border>
      <left/>
      <right style="thin">
        <color rgb="FF333399"/>
      </right>
      <top style="thin">
        <color theme="3" tint="0.39994506668294322"/>
      </top>
      <bottom style="thin">
        <color rgb="FF333399"/>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style="thin">
        <color theme="0" tint="-0.24994659260841701"/>
      </left>
      <right style="thin">
        <color theme="0" tint="-0.499984740745262"/>
      </right>
      <top/>
      <bottom/>
      <diagonal/>
    </border>
    <border>
      <left style="thin">
        <color indexed="32"/>
      </left>
      <right style="thin">
        <color indexed="32"/>
      </right>
      <top style="thin">
        <color indexed="32"/>
      </top>
      <bottom style="thin">
        <color indexed="32"/>
      </bottom>
      <diagonal/>
    </border>
    <border>
      <left/>
      <right/>
      <top style="thin">
        <color indexed="32"/>
      </top>
      <bottom/>
      <diagonal/>
    </border>
    <border>
      <left/>
      <right/>
      <top style="thin">
        <color indexed="32"/>
      </top>
      <bottom style="thin">
        <color indexed="32"/>
      </bottom>
      <diagonal/>
    </border>
    <border>
      <left style="thin">
        <color rgb="FF000080"/>
      </left>
      <right style="thin">
        <color rgb="FF000080"/>
      </right>
      <top style="thin">
        <color rgb="FF000080"/>
      </top>
      <bottom style="thin">
        <color rgb="FF000080"/>
      </bottom>
      <diagonal/>
    </border>
    <border>
      <left style="thin">
        <color indexed="32"/>
      </left>
      <right/>
      <top style="thin">
        <color indexed="32"/>
      </top>
      <bottom style="thin">
        <color indexed="32"/>
      </bottom>
      <diagonal/>
    </border>
    <border>
      <left/>
      <right style="thin">
        <color indexed="32"/>
      </right>
      <top style="thin">
        <color indexed="32"/>
      </top>
      <bottom style="thin">
        <color indexed="32"/>
      </bottom>
      <diagonal/>
    </border>
    <border>
      <left style="thin">
        <color theme="0" tint="-0.499984740745262"/>
      </left>
      <right style="thin">
        <color auto="1"/>
      </right>
      <top style="thin">
        <color theme="0" tint="-0.24994659260841701"/>
      </top>
      <bottom style="thin">
        <color theme="0" tint="-0.24994659260841701"/>
      </bottom>
      <diagonal/>
    </border>
    <border>
      <left/>
      <right style="thin">
        <color theme="0" tint="-0.499984740745262"/>
      </right>
      <top style="thin">
        <color theme="0" tint="-0.24994659260841701"/>
      </top>
      <bottom style="thin">
        <color theme="0" tint="-0.24994659260841701"/>
      </bottom>
      <diagonal/>
    </border>
    <border>
      <left style="thin">
        <color rgb="FF000080"/>
      </left>
      <right/>
      <top/>
      <bottom/>
      <diagonal/>
    </border>
    <border>
      <left/>
      <right style="thin">
        <color rgb="FF000080"/>
      </right>
      <top/>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auto="1"/>
      </left>
      <right/>
      <top style="thin">
        <color auto="1"/>
      </top>
      <bottom style="thin">
        <color auto="1"/>
      </bottom>
      <diagonal/>
    </border>
    <border>
      <left style="thin">
        <color indexed="9"/>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top style="thin">
        <color auto="1"/>
      </top>
      <bottom style="thin">
        <color auto="1"/>
      </bottom>
      <diagonal/>
    </border>
    <border>
      <left style="thin">
        <color theme="0" tint="-0.499984740745262"/>
      </left>
      <right/>
      <top style="thin">
        <color theme="0" tint="-0.24994659260841701"/>
      </top>
      <bottom style="thin">
        <color theme="0" tint="-0.34998626667073579"/>
      </bottom>
      <diagonal/>
    </border>
    <border>
      <left/>
      <right style="thin">
        <color theme="0" tint="-0.34998626667073579"/>
      </right>
      <top style="thin">
        <color theme="0" tint="-0.24994659260841701"/>
      </top>
      <bottom style="thin">
        <color theme="0" tint="-0.34998626667073579"/>
      </bottom>
      <diagonal/>
    </border>
    <border>
      <left/>
      <right style="thin">
        <color theme="0" tint="-0.34998626667073579"/>
      </right>
      <top style="thin">
        <color theme="0" tint="-0.34998626667073579"/>
      </top>
      <bottom style="thin">
        <color theme="0" tint="-0.499984740745262"/>
      </bottom>
      <diagonal/>
    </border>
    <border>
      <left/>
      <right style="thin">
        <color theme="8" tint="-0.24994659260841701"/>
      </right>
      <top/>
      <bottom/>
      <diagonal/>
    </border>
    <border>
      <left style="thin">
        <color theme="0"/>
      </left>
      <right/>
      <top style="thin">
        <color theme="0"/>
      </top>
      <bottom style="thin">
        <color theme="0"/>
      </bottom>
      <diagonal/>
    </border>
    <border>
      <left style="thin">
        <color theme="0"/>
      </left>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style="thin">
        <color indexed="9"/>
      </left>
      <right style="thin">
        <color indexed="9"/>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24994659260841701"/>
      </top>
      <bottom style="thin">
        <color theme="0" tint="-0.499984740745262"/>
      </bottom>
      <diagonal/>
    </border>
    <border>
      <left style="thin">
        <color theme="0" tint="-0.499984740745262"/>
      </left>
      <right style="thin">
        <color theme="0" tint="-0.499984740745262"/>
      </right>
      <top style="thin">
        <color theme="0" tint="-0.24994659260841701"/>
      </top>
      <bottom style="thin">
        <color theme="0" tint="-0.499984740745262"/>
      </bottom>
      <diagonal/>
    </border>
    <border>
      <left/>
      <right style="thin">
        <color theme="4" tint="0.39994506668294322"/>
      </right>
      <top/>
      <bottom/>
      <diagonal/>
    </border>
    <border>
      <left style="thin">
        <color theme="0" tint="-0.34998626667073579"/>
      </left>
      <right style="thin">
        <color theme="0" tint="-0.34998626667073579"/>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top style="thin">
        <color theme="0" tint="-0.24994659260841701"/>
      </top>
      <bottom style="thin">
        <color theme="0" tint="-0.499984740745262"/>
      </bottom>
      <diagonal/>
    </border>
    <border>
      <left/>
      <right style="thin">
        <color theme="0" tint="-0.499984740745262"/>
      </right>
      <top style="thin">
        <color theme="0" tint="-0.24994659260841701"/>
      </top>
      <bottom style="thin">
        <color theme="0" tint="-0.499984740745262"/>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right style="thin">
        <color theme="0" tint="-0.34998626667073579"/>
      </right>
      <top/>
      <bottom style="thin">
        <color theme="0" tint="-0.499984740745262"/>
      </bottom>
      <diagonal/>
    </border>
    <border>
      <left/>
      <right style="thin">
        <color theme="0" tint="-0.499984740745262"/>
      </right>
      <top/>
      <bottom style="thin">
        <color theme="0" tint="-0.24994659260841701"/>
      </bottom>
      <diagonal/>
    </border>
    <border>
      <left style="thin">
        <color theme="0" tint="-0.499984740745262"/>
      </left>
      <right/>
      <top style="thin">
        <color theme="0" tint="-0.24994659260841701"/>
      </top>
      <bottom style="thin">
        <color theme="0" tint="-0.499984740745262"/>
      </bottom>
      <diagonal/>
    </border>
    <border>
      <left style="thin">
        <color theme="0" tint="-0.499984740745262"/>
      </left>
      <right/>
      <top style="thin">
        <color theme="0" tint="-0.499984740745262"/>
      </top>
      <bottom style="thin">
        <color theme="0" tint="-0.24994659260841701"/>
      </bottom>
      <diagonal/>
    </border>
    <border>
      <left/>
      <right/>
      <top style="thin">
        <color theme="0" tint="-0.499984740745262"/>
      </top>
      <bottom style="thin">
        <color theme="0" tint="-0.24994659260841701"/>
      </bottom>
      <diagonal/>
    </border>
    <border>
      <left/>
      <right style="thin">
        <color theme="0" tint="-0.34998626667073579"/>
      </right>
      <top style="thin">
        <color theme="0" tint="-0.499984740745262"/>
      </top>
      <bottom style="thin">
        <color theme="0" tint="-0.24994659260841701"/>
      </bottom>
      <diagonal/>
    </border>
    <border>
      <left style="thin">
        <color theme="0" tint="-0.499984740745262"/>
      </left>
      <right style="thin">
        <color theme="0"/>
      </right>
      <top style="thin">
        <color theme="0" tint="-0.499984740745262"/>
      </top>
      <bottom style="thin">
        <color theme="0" tint="-0.499984740745262"/>
      </bottom>
      <diagonal/>
    </border>
    <border>
      <left/>
      <right style="thin">
        <color theme="0" tint="-0.34998626667073579"/>
      </right>
      <top/>
      <bottom style="thin">
        <color theme="0" tint="-0.24994659260841701"/>
      </bottom>
      <diagonal/>
    </border>
    <border>
      <left style="thin">
        <color indexed="9"/>
      </left>
      <right/>
      <top style="thin">
        <color theme="0" tint="-0.499984740745262"/>
      </top>
      <bottom style="thin">
        <color theme="0" tint="-0.499984740745262"/>
      </bottom>
      <diagonal/>
    </border>
    <border>
      <left style="thin">
        <color theme="0" tint="-0.24994659260841701"/>
      </left>
      <right style="thin">
        <color theme="0"/>
      </right>
      <top style="thin">
        <color theme="0"/>
      </top>
      <bottom style="thin">
        <color theme="0"/>
      </bottom>
      <diagonal/>
    </border>
    <border>
      <left style="thin">
        <color theme="0" tint="-0.24994659260841701"/>
      </left>
      <right style="thin">
        <color theme="0" tint="-0.24994659260841701"/>
      </right>
      <top style="thin">
        <color theme="0"/>
      </top>
      <bottom style="thin">
        <color theme="0"/>
      </bottom>
      <diagonal/>
    </border>
    <border>
      <left style="thin">
        <color theme="0" tint="-0.24994659260841701"/>
      </left>
      <right style="thin">
        <color theme="0" tint="-0.24994659260841701"/>
      </right>
      <top style="thin">
        <color theme="0"/>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bottom>
      <diagonal/>
    </border>
    <border>
      <left style="thin">
        <color rgb="FF333399"/>
      </left>
      <right/>
      <top style="thin">
        <color theme="4" tint="0.39994506668294322"/>
      </top>
      <bottom style="thin">
        <color rgb="FF333399"/>
      </bottom>
      <diagonal/>
    </border>
    <border>
      <left/>
      <right style="thin">
        <color indexed="32"/>
      </right>
      <top style="thin">
        <color rgb="FF333399"/>
      </top>
      <bottom/>
      <diagonal/>
    </border>
    <border>
      <left style="thin">
        <color rgb="FF333399"/>
      </left>
      <right style="thin">
        <color rgb="FF333399"/>
      </right>
      <top/>
      <bottom/>
      <diagonal/>
    </border>
    <border>
      <left style="thin">
        <color theme="4" tint="0.39994506668294322"/>
      </left>
      <right style="thin">
        <color theme="3" tint="0.39994506668294322"/>
      </right>
      <top style="thin">
        <color rgb="FF333399"/>
      </top>
      <bottom style="thin">
        <color theme="4" tint="0.39994506668294322"/>
      </bottom>
      <diagonal/>
    </border>
    <border>
      <left style="thin">
        <color theme="3" tint="0.39994506668294322"/>
      </left>
      <right style="thin">
        <color theme="4" tint="0.39994506668294322"/>
      </right>
      <top style="thin">
        <color rgb="FF333399"/>
      </top>
      <bottom style="thin">
        <color theme="4" tint="0.39994506668294322"/>
      </bottom>
      <diagonal/>
    </border>
    <border>
      <left style="thin">
        <color theme="0"/>
      </left>
      <right/>
      <top/>
      <bottom style="thin">
        <color theme="0"/>
      </bottom>
      <diagonal/>
    </border>
    <border>
      <left style="thin">
        <color indexed="64"/>
      </left>
      <right/>
      <top style="thin">
        <color theme="0" tint="-0.24994659260841701"/>
      </top>
      <bottom style="thin">
        <color theme="0" tint="-0.24994659260841701"/>
      </bottom>
      <diagonal/>
    </border>
    <border>
      <left style="thin">
        <color theme="0" tint="-0.499984740745262"/>
      </left>
      <right style="thin">
        <color theme="0" tint="-0.499984740745262"/>
      </right>
      <top/>
      <bottom style="thin">
        <color theme="0" tint="-0.24994659260841701"/>
      </bottom>
      <diagonal/>
    </border>
    <border>
      <left style="thin">
        <color theme="0" tint="-0.34998626667073579"/>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34998626667073579"/>
      </bottom>
      <diagonal/>
    </border>
    <border>
      <left style="thin">
        <color theme="0" tint="-0.34998626667073579"/>
      </left>
      <right style="thin">
        <color theme="0" tint="-0.499984740745262"/>
      </right>
      <top style="thin">
        <color theme="0" tint="-0.499984740745262"/>
      </top>
      <bottom style="thin">
        <color theme="0" tint="-0.34998626667073579"/>
      </bottom>
      <diagonal/>
    </border>
    <border>
      <left style="thin">
        <color theme="0" tint="-0.499984740745262"/>
      </left>
      <right style="thin">
        <color indexed="9"/>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9"/>
      </right>
      <top/>
      <bottom style="thin">
        <color theme="0" tint="-0.499984740745262"/>
      </bottom>
      <diagonal/>
    </border>
    <border>
      <left style="thin">
        <color indexed="9"/>
      </left>
      <right style="thin">
        <color theme="0" tint="-0.499984740745262"/>
      </right>
      <top/>
      <bottom style="thin">
        <color theme="0" tint="-0.499984740745262"/>
      </bottom>
      <diagonal/>
    </border>
    <border>
      <left style="thin">
        <color theme="0"/>
      </left>
      <right/>
      <top style="thin">
        <color theme="0" tint="-0.499984740745262"/>
      </top>
      <bottom/>
      <diagonal/>
    </border>
    <border>
      <left style="thin">
        <color theme="0" tint="-0.499984740745262"/>
      </left>
      <right/>
      <top/>
      <bottom style="thin">
        <color theme="0"/>
      </bottom>
      <diagonal/>
    </border>
    <border>
      <left/>
      <right style="thin">
        <color theme="0" tint="-0.499984740745262"/>
      </right>
      <top/>
      <bottom style="thin">
        <color theme="0"/>
      </bottom>
      <diagonal/>
    </border>
    <border>
      <left style="thin">
        <color theme="0" tint="-0.499984740745262"/>
      </left>
      <right/>
      <top style="thin">
        <color theme="0"/>
      </top>
      <bottom style="thin">
        <color theme="0" tint="-0.499984740745262"/>
      </bottom>
      <diagonal/>
    </border>
    <border>
      <left/>
      <right/>
      <top style="thin">
        <color theme="0"/>
      </top>
      <bottom style="thin">
        <color theme="0" tint="-0.499984740745262"/>
      </bottom>
      <diagonal/>
    </border>
    <border>
      <left/>
      <right style="thin">
        <color theme="0" tint="-0.499984740745262"/>
      </right>
      <top style="thin">
        <color theme="0"/>
      </top>
      <bottom style="thin">
        <color theme="0" tint="-0.499984740745262"/>
      </bottom>
      <diagonal/>
    </border>
    <border>
      <left style="thin">
        <color theme="0" tint="-0.499984740745262"/>
      </left>
      <right/>
      <top style="thin">
        <color indexed="22"/>
      </top>
      <bottom/>
      <diagonal/>
    </border>
    <border>
      <left/>
      <right/>
      <top style="thin">
        <color indexed="22"/>
      </top>
      <bottom/>
      <diagonal/>
    </border>
    <border>
      <left/>
      <right style="thin">
        <color theme="0" tint="-0.499984740745262"/>
      </right>
      <top style="thin">
        <color indexed="22"/>
      </top>
      <bottom/>
      <diagonal/>
    </border>
    <border>
      <left style="thin">
        <color theme="0" tint="-0.499984740745262"/>
      </left>
      <right/>
      <top/>
      <bottom style="thin">
        <color indexed="22"/>
      </bottom>
      <diagonal/>
    </border>
    <border>
      <left/>
      <right/>
      <top/>
      <bottom style="thin">
        <color indexed="22"/>
      </bottom>
      <diagonal/>
    </border>
    <border>
      <left/>
      <right style="thin">
        <color theme="0" tint="-0.499984740745262"/>
      </right>
      <top/>
      <bottom style="thin">
        <color indexed="22"/>
      </bottom>
      <diagonal/>
    </border>
    <border>
      <left style="thin">
        <color theme="0" tint="-0.34998626667073579"/>
      </left>
      <right style="thin">
        <color theme="0" tint="-0.499984740745262"/>
      </right>
      <top/>
      <bottom/>
      <diagonal/>
    </border>
    <border>
      <left style="thin">
        <color theme="0" tint="-0.499984740745262"/>
      </left>
      <right/>
      <top style="thin">
        <color theme="0" tint="-0.499984740745262"/>
      </top>
      <bottom style="thin">
        <color indexed="22"/>
      </bottom>
      <diagonal/>
    </border>
    <border>
      <left/>
      <right/>
      <top style="thin">
        <color theme="0" tint="-0.499984740745262"/>
      </top>
      <bottom style="thin">
        <color indexed="22"/>
      </bottom>
      <diagonal/>
    </border>
    <border>
      <left/>
      <right style="thin">
        <color theme="0" tint="-0.34998626667073579"/>
      </right>
      <top style="thin">
        <color theme="0" tint="-0.499984740745262"/>
      </top>
      <bottom style="thin">
        <color indexed="22"/>
      </bottom>
      <diagonal/>
    </border>
    <border>
      <left style="thin">
        <color theme="0" tint="-0.34998626667073579"/>
      </left>
      <right style="thin">
        <color theme="0" tint="-0.499984740745262"/>
      </right>
      <top style="thin">
        <color theme="0" tint="-0.499984740745262"/>
      </top>
      <bottom/>
      <diagonal/>
    </border>
    <border>
      <left style="thin">
        <color theme="0" tint="-0.499984740745262"/>
      </left>
      <right/>
      <top style="thin">
        <color indexed="22"/>
      </top>
      <bottom style="thin">
        <color indexed="22"/>
      </bottom>
      <diagonal/>
    </border>
    <border>
      <left/>
      <right/>
      <top style="thin">
        <color indexed="22"/>
      </top>
      <bottom style="thin">
        <color indexed="22"/>
      </bottom>
      <diagonal/>
    </border>
    <border>
      <left/>
      <right style="thin">
        <color theme="0" tint="-0.34998626667073579"/>
      </right>
      <top style="thin">
        <color indexed="22"/>
      </top>
      <bottom style="thin">
        <color indexed="22"/>
      </bottom>
      <diagonal/>
    </border>
    <border>
      <left style="thin">
        <color theme="0" tint="-0.34998626667073579"/>
      </left>
      <right style="thin">
        <color theme="0" tint="-0.499984740745262"/>
      </right>
      <top style="thin">
        <color indexed="22"/>
      </top>
      <bottom style="thin">
        <color indexed="22"/>
      </bottom>
      <diagonal/>
    </border>
    <border>
      <left/>
      <right/>
      <top style="thin">
        <color indexed="22"/>
      </top>
      <bottom/>
      <diagonal/>
    </border>
    <border>
      <left/>
      <right style="thin">
        <color theme="0" tint="-0.34998626667073579"/>
      </right>
      <top style="thin">
        <color indexed="22"/>
      </top>
      <bottom/>
      <diagonal/>
    </border>
    <border>
      <left style="thin">
        <color theme="0" tint="-0.499984740745262"/>
      </left>
      <right style="thin">
        <color indexed="9"/>
      </right>
      <top style="thin">
        <color theme="0" tint="-0.499984740745262"/>
      </top>
      <bottom style="thin">
        <color theme="0" tint="-0.499984740745262"/>
      </bottom>
      <diagonal/>
    </border>
    <border>
      <left style="thin">
        <color indexed="9"/>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24994659260841701"/>
      </top>
      <bottom style="thin">
        <color theme="0" tint="-0.24994659260841701"/>
      </bottom>
      <diagonal/>
    </border>
    <border>
      <left style="thin">
        <color theme="0" tint="-0.34998626667073579"/>
      </left>
      <right style="thin">
        <color theme="0" tint="-0.499984740745262"/>
      </right>
      <top/>
      <bottom style="thin">
        <color theme="0" tint="-0.34998626667073579"/>
      </bottom>
      <diagonal/>
    </border>
    <border>
      <left style="thin">
        <color theme="0" tint="-0.34998626667073579"/>
      </left>
      <right style="thin">
        <color theme="0" tint="-0.499984740745262"/>
      </right>
      <top style="thin">
        <color theme="0" tint="-0.34998626667073579"/>
      </top>
      <bottom style="thin">
        <color indexed="22"/>
      </bottom>
      <diagonal/>
    </border>
    <border>
      <left style="thin">
        <color theme="0" tint="-0.34998626667073579"/>
      </left>
      <right style="thin">
        <color theme="0" tint="-0.499984740745262"/>
      </right>
      <top/>
      <bottom style="thin">
        <color indexed="22"/>
      </bottom>
      <diagonal/>
    </border>
    <border>
      <left style="thin">
        <color theme="0" tint="-0.499984740745262"/>
      </left>
      <right/>
      <top style="thin">
        <color indexed="22"/>
      </top>
      <bottom style="thin">
        <color indexed="22"/>
      </bottom>
      <diagonal/>
    </border>
    <border>
      <left style="thin">
        <color theme="0" tint="-0.499984740745262"/>
      </left>
      <right/>
      <top style="thin">
        <color indexed="22"/>
      </top>
      <bottom/>
      <diagonal/>
    </border>
    <border>
      <left/>
      <right style="thin">
        <color theme="0" tint="-0.499984740745262"/>
      </right>
      <top style="thin">
        <color theme="0" tint="-0.34998626667073579"/>
      </top>
      <bottom style="thin">
        <color theme="0" tint="-0.499984740745262"/>
      </bottom>
      <diagonal/>
    </border>
    <border>
      <left style="thin">
        <color theme="0" tint="-0.499984740745262"/>
      </left>
      <right/>
      <top style="thin">
        <color theme="0" tint="-0.24994659260841701"/>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bottom>
      <diagonal/>
    </border>
    <border>
      <left/>
      <right style="thin">
        <color theme="0" tint="-0.499984740745262"/>
      </right>
      <top style="thin">
        <color theme="0" tint="-0.24994659260841701"/>
      </top>
      <bottom/>
      <diagonal/>
    </border>
    <border>
      <left style="thin">
        <color theme="0" tint="-0.499984740745262"/>
      </left>
      <right style="thin">
        <color indexed="9"/>
      </right>
      <top style="thin">
        <color theme="0" tint="-0.499984740745262"/>
      </top>
      <bottom style="thin">
        <color theme="0"/>
      </bottom>
      <diagonal/>
    </border>
    <border>
      <left style="thin">
        <color indexed="9"/>
      </left>
      <right style="thin">
        <color indexed="9"/>
      </right>
      <top style="thin">
        <color theme="0" tint="-0.499984740745262"/>
      </top>
      <bottom style="thin">
        <color theme="0"/>
      </bottom>
      <diagonal/>
    </border>
    <border>
      <left style="thin">
        <color indexed="9"/>
      </left>
      <right style="thin">
        <color theme="0" tint="-0.499984740745262"/>
      </right>
      <top style="thin">
        <color theme="0" tint="-0.499984740745262"/>
      </top>
      <bottom style="thin">
        <color theme="0"/>
      </bottom>
      <diagonal/>
    </border>
    <border>
      <left style="thin">
        <color theme="0" tint="-0.499984740745262"/>
      </left>
      <right/>
      <top style="thin">
        <color theme="0" tint="-0.499984740745262"/>
      </top>
      <bottom style="thin">
        <color theme="0"/>
      </bottom>
      <diagonal/>
    </border>
    <border>
      <left style="thin">
        <color theme="0" tint="-0.24994659260841701"/>
      </left>
      <right style="thin">
        <color theme="0" tint="-0.499984740745262"/>
      </right>
      <top style="thin">
        <color theme="0" tint="-0.499984740745262"/>
      </top>
      <bottom/>
      <diagonal/>
    </border>
    <border>
      <left style="thin">
        <color theme="0" tint="-0.24994659260841701"/>
      </left>
      <right style="thin">
        <color theme="0" tint="-0.499984740745262"/>
      </right>
      <top style="thin">
        <color theme="0" tint="-0.34998626667073579"/>
      </top>
      <bottom style="thin">
        <color theme="0" tint="-0.34998626667073579"/>
      </bottom>
      <diagonal/>
    </border>
    <border>
      <left style="thin">
        <color theme="0" tint="-0.24994659260841701"/>
      </left>
      <right style="thin">
        <color theme="0" tint="-0.499984740745262"/>
      </right>
      <top style="thin">
        <color indexed="22"/>
      </top>
      <bottom style="thin">
        <color indexed="22"/>
      </bottom>
      <diagonal/>
    </border>
    <border>
      <left style="thin">
        <color theme="0" tint="-0.24994659260841701"/>
      </left>
      <right style="thin">
        <color theme="0" tint="-0.499984740745262"/>
      </right>
      <top style="thin">
        <color indexed="22"/>
      </top>
      <bottom/>
      <diagonal/>
    </border>
    <border>
      <left style="thin">
        <color theme="0" tint="-0.24994659260841701"/>
      </left>
      <right style="thin">
        <color theme="0" tint="-0.499984740745262"/>
      </right>
      <top style="thin">
        <color theme="0" tint="-0.34998626667073579"/>
      </top>
      <bottom style="thin">
        <color theme="0" tint="-0.499984740745262"/>
      </bottom>
      <diagonal/>
    </border>
    <border>
      <left style="thin">
        <color theme="0" tint="-0.24994659260841701"/>
      </left>
      <right style="thin">
        <color theme="0" tint="-0.499984740745262"/>
      </right>
      <top/>
      <bottom style="thin">
        <color indexed="22"/>
      </bottom>
      <diagonal/>
    </border>
    <border>
      <left style="thin">
        <color theme="0" tint="-0.24994659260841701"/>
      </left>
      <right style="thin">
        <color theme="0" tint="-0.499984740745262"/>
      </right>
      <top style="thin">
        <color theme="0" tint="-0.499984740745262"/>
      </top>
      <bottom style="thin">
        <color theme="0"/>
      </bottom>
      <diagonal/>
    </border>
    <border>
      <left style="thin">
        <color theme="0" tint="-0.24994659260841701"/>
      </left>
      <right style="thin">
        <color theme="0" tint="-0.499984740745262"/>
      </right>
      <top style="thin">
        <color theme="0"/>
      </top>
      <bottom style="thin">
        <color theme="0" tint="-0.499984740745262"/>
      </bottom>
      <diagonal/>
    </border>
    <border>
      <left style="thin">
        <color theme="0" tint="-0.24994659260841701"/>
      </left>
      <right style="thin">
        <color theme="0" tint="-0.499984740745262"/>
      </right>
      <top style="thin">
        <color theme="0" tint="-0.24994659260841701"/>
      </top>
      <bottom style="thin">
        <color theme="0" tint="-0.499984740745262"/>
      </bottom>
      <diagonal/>
    </border>
    <border>
      <left style="thin">
        <color theme="0" tint="-0.24994659260841701"/>
      </left>
      <right style="thin">
        <color theme="0" tint="-0.499984740745262"/>
      </right>
      <top style="thin">
        <color theme="0" tint="-0.24994659260841701"/>
      </top>
      <bottom/>
      <diagonal/>
    </border>
    <border>
      <left/>
      <right/>
      <top style="thin">
        <color theme="0" tint="-0.499984740745262"/>
      </top>
      <bottom style="thin">
        <color theme="0"/>
      </bottom>
      <diagonal/>
    </border>
    <border>
      <left/>
      <right style="thin">
        <color theme="0" tint="-0.499984740745262"/>
      </right>
      <top style="thin">
        <color theme="0" tint="-0.499984740745262"/>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diagonal/>
    </border>
    <border>
      <left/>
      <right style="thin">
        <color theme="0" tint="-0.499984740745262"/>
      </right>
      <top style="thin">
        <color theme="0" tint="-0.499984740745262"/>
      </top>
      <bottom style="thin">
        <color theme="0" tint="-0.24994659260841701"/>
      </bottom>
      <diagonal/>
    </border>
    <border>
      <left/>
      <right style="thin">
        <color indexed="9"/>
      </right>
      <top style="thin">
        <color theme="0" tint="-0.499984740745262"/>
      </top>
      <bottom/>
      <diagonal/>
    </border>
    <border>
      <left style="thin">
        <color indexed="9"/>
      </left>
      <right style="thin">
        <color indexed="9"/>
      </right>
      <top style="thin">
        <color theme="0" tint="-0.499984740745262"/>
      </top>
      <bottom/>
      <diagonal/>
    </border>
    <border>
      <left/>
      <right style="thin">
        <color theme="0" tint="-0.499984740745262"/>
      </right>
      <top style="thin">
        <color indexed="22"/>
      </top>
      <bottom style="thin">
        <color indexed="22"/>
      </bottom>
      <diagonal/>
    </border>
    <border>
      <left/>
      <right/>
      <top style="thin">
        <color indexed="22"/>
      </top>
      <bottom style="thin">
        <color indexed="22"/>
      </bottom>
      <diagonal/>
    </border>
    <border>
      <left style="thin">
        <color theme="0" tint="-0.34998626667073579"/>
      </left>
      <right style="thin">
        <color theme="0" tint="-0.34998626667073579"/>
      </right>
      <top style="thin">
        <color indexed="22"/>
      </top>
      <bottom style="thin">
        <color indexed="2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22"/>
      </top>
      <bottom/>
      <diagonal/>
    </border>
    <border>
      <left style="thin">
        <color theme="0"/>
      </left>
      <right style="thin">
        <color theme="0"/>
      </right>
      <top/>
      <bottom style="thin">
        <color theme="0" tint="-0.499984740745262"/>
      </bottom>
      <diagonal/>
    </border>
    <border>
      <left style="thin">
        <color indexed="9"/>
      </left>
      <right style="thin">
        <color indexed="9"/>
      </right>
      <top/>
      <bottom style="thin">
        <color theme="0" tint="-0.499984740745262"/>
      </bottom>
      <diagonal/>
    </border>
    <border>
      <left style="thin">
        <color indexed="9"/>
      </left>
      <right style="thin">
        <color indexed="9"/>
      </right>
      <top style="thin">
        <color theme="0"/>
      </top>
      <bottom style="thin">
        <color indexed="9"/>
      </bottom>
      <diagonal/>
    </border>
    <border>
      <left style="thin">
        <color theme="0" tint="-0.499984740745262"/>
      </left>
      <right/>
      <top style="thin">
        <color indexed="9"/>
      </top>
      <bottom style="thin">
        <color theme="0" tint="-0.499984740745262"/>
      </bottom>
      <diagonal/>
    </border>
    <border>
      <left/>
      <right style="thin">
        <color indexed="9"/>
      </right>
      <top style="thin">
        <color indexed="9"/>
      </top>
      <bottom style="thin">
        <color theme="0" tint="-0.499984740745262"/>
      </bottom>
      <diagonal/>
    </border>
    <border>
      <left style="thin">
        <color indexed="9"/>
      </left>
      <right style="thin">
        <color indexed="9"/>
      </right>
      <top style="thin">
        <color indexed="9"/>
      </top>
      <bottom style="thin">
        <color theme="0" tint="-0.499984740745262"/>
      </bottom>
      <diagonal/>
    </border>
    <border>
      <left style="thin">
        <color indexed="9"/>
      </left>
      <right style="thin">
        <color theme="0" tint="-0.499984740745262"/>
      </right>
      <top style="thin">
        <color indexed="9"/>
      </top>
      <bottom style="thin">
        <color theme="0" tint="-0.499984740745262"/>
      </bottom>
      <diagonal/>
    </border>
    <border>
      <left style="thin">
        <color theme="0"/>
      </left>
      <right style="thin">
        <color theme="0" tint="-0.499984740745262"/>
      </right>
      <top style="thin">
        <color theme="0"/>
      </top>
      <bottom style="thin">
        <color theme="0"/>
      </bottom>
      <diagonal/>
    </border>
    <border>
      <left/>
      <right style="thin">
        <color theme="0" tint="-0.499984740745262"/>
      </right>
      <top style="thin">
        <color theme="0"/>
      </top>
      <bottom style="thin">
        <color theme="0"/>
      </bottom>
      <diagonal/>
    </border>
    <border>
      <left style="thin">
        <color theme="0" tint="-0.499984740745262"/>
      </left>
      <right/>
      <top style="thin">
        <color theme="0"/>
      </top>
      <bottom style="thin">
        <color theme="0"/>
      </bottom>
      <diagonal/>
    </border>
    <border>
      <left style="thin">
        <color indexed="9"/>
      </left>
      <right style="thin">
        <color theme="0" tint="-0.499984740745262"/>
      </right>
      <top style="thin">
        <color theme="0"/>
      </top>
      <bottom style="thin">
        <color theme="0"/>
      </bottom>
      <diagonal/>
    </border>
    <border>
      <left style="thin">
        <color theme="0" tint="-0.499984740745262"/>
      </left>
      <right/>
      <top style="thin">
        <color theme="0"/>
      </top>
      <bottom/>
      <diagonal/>
    </border>
    <border>
      <left style="thin">
        <color indexed="9"/>
      </left>
      <right style="thin">
        <color theme="0" tint="-0.499984740745262"/>
      </right>
      <top style="thin">
        <color theme="0"/>
      </top>
      <bottom style="thin">
        <color indexed="9"/>
      </bottom>
      <diagonal/>
    </border>
    <border>
      <left/>
      <right style="thin">
        <color indexed="9"/>
      </right>
      <top/>
      <bottom style="thin">
        <color theme="0" tint="-0.499984740745262"/>
      </bottom>
      <diagonal/>
    </border>
    <border>
      <left style="thin">
        <color indexed="9"/>
      </left>
      <right style="thin">
        <color indexed="9"/>
      </right>
      <top style="thin">
        <color indexed="9"/>
      </top>
      <bottom style="thin">
        <color theme="0" tint="-0.499984740745262"/>
      </bottom>
      <diagonal/>
    </border>
    <border>
      <left style="thin">
        <color indexed="9"/>
      </left>
      <right style="thin">
        <color theme="0" tint="-0.499984740745262"/>
      </right>
      <top style="thin">
        <color indexed="9"/>
      </top>
      <bottom style="thin">
        <color theme="0" tint="-0.499984740745262"/>
      </bottom>
      <diagonal/>
    </border>
    <border>
      <left style="thin">
        <color theme="0" tint="-0.499984740745262"/>
      </left>
      <right style="thin">
        <color indexed="9"/>
      </right>
      <top style="thin">
        <color indexed="9"/>
      </top>
      <bottom style="thin">
        <color theme="0" tint="-0.499984740745262"/>
      </bottom>
      <diagonal/>
    </border>
    <border>
      <left style="thin">
        <color theme="0" tint="-0.499984740745262"/>
      </left>
      <right style="thin">
        <color theme="0"/>
      </right>
      <top style="thin">
        <color theme="0"/>
      </top>
      <bottom style="thin">
        <color theme="0"/>
      </bottom>
      <diagonal/>
    </border>
    <border>
      <left style="thin">
        <color theme="0" tint="-0.499984740745262"/>
      </left>
      <right style="thin">
        <color indexed="9"/>
      </right>
      <top style="thin">
        <color theme="0"/>
      </top>
      <bottom/>
      <diagonal/>
    </border>
    <border>
      <left/>
      <right/>
      <top style="thin">
        <color theme="0" tint="-0.499984740745262"/>
      </top>
      <bottom style="thin">
        <color theme="0" tint="-0.34998626667073579"/>
      </bottom>
      <diagonal/>
    </border>
    <border>
      <left style="thin">
        <color theme="0" tint="-0.34998626667073579"/>
      </left>
      <right style="thin">
        <color theme="0" tint="-0.34998626667073579"/>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34998626667073579"/>
      </top>
      <bottom/>
      <diagonal/>
    </border>
    <border>
      <left/>
      <right style="thin">
        <color theme="0"/>
      </right>
      <top style="thin">
        <color theme="0" tint="-0.34998626667073579"/>
      </top>
      <bottom/>
      <diagonal/>
    </border>
    <border>
      <left style="thin">
        <color theme="0"/>
      </left>
      <right style="thin">
        <color theme="0"/>
      </right>
      <top style="thin">
        <color theme="0" tint="-0.34998626667073579"/>
      </top>
      <bottom style="thin">
        <color theme="0"/>
      </bottom>
      <diagonal/>
    </border>
    <border>
      <left style="thin">
        <color theme="0"/>
      </left>
      <right style="thin">
        <color theme="0" tint="-0.499984740745262"/>
      </right>
      <top style="thin">
        <color theme="0" tint="-0.34998626667073579"/>
      </top>
      <bottom style="thin">
        <color theme="0"/>
      </bottom>
      <diagonal/>
    </border>
    <border>
      <left style="thin">
        <color theme="0" tint="-0.499984740745262"/>
      </left>
      <right style="thin">
        <color theme="0"/>
      </right>
      <top style="thin">
        <color theme="0" tint="-0.34998626667073579"/>
      </top>
      <bottom style="thin">
        <color theme="0"/>
      </bottom>
      <diagonal/>
    </border>
    <border>
      <left style="thin">
        <color theme="0" tint="-0.499984740745262"/>
      </left>
      <right/>
      <top style="thin">
        <color theme="0" tint="-0.34998626667073579"/>
      </top>
      <bottom style="thin">
        <color theme="0" tint="-0.24994659260841701"/>
      </bottom>
      <diagonal/>
    </border>
    <border>
      <left/>
      <right style="thin">
        <color theme="0" tint="-0.499984740745262"/>
      </right>
      <top style="thin">
        <color theme="0" tint="-0.34998626667073579"/>
      </top>
      <bottom/>
      <diagonal/>
    </border>
    <border>
      <left/>
      <right style="thin">
        <color indexed="9"/>
      </right>
      <top style="thin">
        <color theme="0" tint="-0.499984740745262"/>
      </top>
      <bottom style="thin">
        <color theme="0" tint="-0.499984740745262"/>
      </bottom>
      <diagonal/>
    </border>
    <border>
      <left/>
      <right/>
      <top style="thin">
        <color theme="0" tint="-0.24994659260841701"/>
      </top>
      <bottom style="thin">
        <color theme="0" tint="-0.34998626667073579"/>
      </bottom>
      <diagonal/>
    </border>
    <border>
      <left/>
      <right/>
      <top style="thin">
        <color theme="0" tint="-0.34998626667073579"/>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24994659260841701"/>
      </top>
      <bottom/>
      <diagonal/>
    </border>
    <border>
      <left/>
      <right style="thin">
        <color theme="0"/>
      </right>
      <top style="thin">
        <color theme="0" tint="-0.499984740745262"/>
      </top>
      <bottom style="thin">
        <color theme="0"/>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left>
      <right style="thin">
        <color indexed="9"/>
      </right>
      <top style="thin">
        <color theme="0"/>
      </top>
      <bottom/>
      <diagonal/>
    </border>
    <border>
      <left style="thin">
        <color indexed="9"/>
      </left>
      <right style="thin">
        <color indexed="9"/>
      </right>
      <top style="thin">
        <color theme="0"/>
      </top>
      <bottom/>
      <diagonal/>
    </border>
    <border>
      <left style="thin">
        <color indexed="9"/>
      </left>
      <right style="thin">
        <color theme="0" tint="-0.499984740745262"/>
      </right>
      <top style="thin">
        <color theme="0"/>
      </top>
      <bottom/>
      <diagonal/>
    </border>
    <border>
      <left style="thin">
        <color theme="0" tint="-0.34998626667073579"/>
      </left>
      <right/>
      <top style="thin">
        <color theme="0" tint="-0.34998626667073579"/>
      </top>
      <bottom style="thin">
        <color theme="0" tint="-0.499984740745262"/>
      </bottom>
      <diagonal/>
    </border>
    <border>
      <left style="thin">
        <color theme="0" tint="-0.34998626667073579"/>
      </left>
      <right/>
      <top style="thin">
        <color theme="0" tint="-0.499984740745262"/>
      </top>
      <bottom/>
      <diagonal/>
    </border>
    <border>
      <left style="thin">
        <color theme="0"/>
      </left>
      <right/>
      <top/>
      <bottom style="thin">
        <color theme="0" tint="-0.499984740745262"/>
      </bottom>
      <diagonal/>
    </border>
    <border>
      <left style="thin">
        <color theme="0" tint="-0.499984740745262"/>
      </left>
      <right style="thin">
        <color theme="0" tint="-0.499984740745262"/>
      </right>
      <top style="thin">
        <color theme="0"/>
      </top>
      <bottom style="thin">
        <color theme="0" tint="-0.499984740745262"/>
      </bottom>
      <diagonal/>
    </border>
    <border>
      <left style="thin">
        <color theme="0"/>
      </left>
      <right/>
      <top style="thin">
        <color theme="0"/>
      </top>
      <bottom style="thin">
        <color theme="0" tint="-0.499984740745262"/>
      </bottom>
      <diagonal/>
    </border>
    <border>
      <left style="thin">
        <color theme="0" tint="-0.499984740745262"/>
      </left>
      <right style="thin">
        <color theme="0" tint="-0.499984740745262"/>
      </right>
      <top/>
      <bottom style="thin">
        <color theme="0"/>
      </bottom>
      <diagonal/>
    </border>
    <border>
      <left style="thin">
        <color theme="0" tint="-0.499984740745262"/>
      </left>
      <right style="thin">
        <color theme="0" tint="-0.499984740745262"/>
      </right>
      <top style="thin">
        <color theme="0"/>
      </top>
      <bottom/>
      <diagonal/>
    </border>
    <border>
      <left style="thin">
        <color theme="0" tint="-0.499984740745262"/>
      </left>
      <right style="thin">
        <color theme="0" tint="-0.499984740745262"/>
      </right>
      <top style="thin">
        <color theme="0" tint="-0.34998626667073579"/>
      </top>
      <bottom style="thin">
        <color theme="0"/>
      </bottom>
      <diagonal/>
    </border>
    <border>
      <left style="thin">
        <color theme="0" tint="-0.499984740745262"/>
      </left>
      <right/>
      <top style="thin">
        <color theme="0" tint="-0.34998626667073579"/>
      </top>
      <bottom style="thin">
        <color theme="0"/>
      </bottom>
      <diagonal/>
    </border>
    <border>
      <left/>
      <right style="thin">
        <color theme="0" tint="-0.499984740745262"/>
      </right>
      <top style="thin">
        <color theme="0" tint="-0.34998626667073579"/>
      </top>
      <bottom style="thin">
        <color theme="0"/>
      </bottom>
      <diagonal/>
    </border>
    <border>
      <left style="thin">
        <color theme="0" tint="-0.24994659260841701"/>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24994659260841701"/>
      </right>
      <top style="thin">
        <color theme="0" tint="-0.499984740745262"/>
      </top>
      <bottom style="thin">
        <color theme="0" tint="-0.34998626667073579"/>
      </bottom>
      <diagonal/>
    </border>
    <border>
      <left style="thin">
        <color theme="0" tint="-0.499984740745262"/>
      </left>
      <right style="thin">
        <color theme="0" tint="-0.24994659260841701"/>
      </right>
      <top/>
      <bottom style="thin">
        <color theme="0" tint="-0.24994659260841701"/>
      </bottom>
      <diagonal/>
    </border>
    <border>
      <left style="thin">
        <color theme="0" tint="-0.499984740745262"/>
      </left>
      <right style="thin">
        <color theme="0" tint="-0.24994659260841701"/>
      </right>
      <top/>
      <bottom/>
      <diagonal/>
    </border>
    <border>
      <left style="thin">
        <color theme="0" tint="-0.499984740745262"/>
      </left>
      <right style="thin">
        <color theme="0" tint="-0.24994659260841701"/>
      </right>
      <top style="thin">
        <color theme="0" tint="-0.34998626667073579"/>
      </top>
      <bottom style="thin">
        <color theme="0" tint="-0.34998626667073579"/>
      </bottom>
      <diagonal/>
    </border>
    <border>
      <left style="thin">
        <color theme="0" tint="-0.499984740745262"/>
      </left>
      <right style="thin">
        <color theme="0" tint="-0.24994659260841701"/>
      </right>
      <top style="thin">
        <color theme="0" tint="-0.34998626667073579"/>
      </top>
      <bottom style="thin">
        <color theme="0" tint="-0.499984740745262"/>
      </bottom>
      <diagonal/>
    </border>
    <border>
      <left style="thin">
        <color theme="0" tint="-0.24994659260841701"/>
      </left>
      <right style="thin">
        <color theme="0" tint="-0.499984740745262"/>
      </right>
      <top style="thin">
        <color theme="0" tint="-0.34998626667073579"/>
      </top>
      <bottom style="thin">
        <color theme="0"/>
      </bottom>
      <diagonal/>
    </border>
    <border>
      <left style="thin">
        <color theme="0" tint="-0.499984740745262"/>
      </left>
      <right style="thin">
        <color theme="0" tint="-0.24994659260841701"/>
      </right>
      <top style="thin">
        <color theme="0" tint="-0.499984740745262"/>
      </top>
      <bottom/>
      <diagonal/>
    </border>
    <border>
      <left style="thin">
        <color theme="0" tint="-0.499984740745262"/>
      </left>
      <right style="thin">
        <color theme="0" tint="-0.24994659260841701"/>
      </right>
      <top style="thin">
        <color theme="0" tint="-0.24994659260841701"/>
      </top>
      <bottom/>
      <diagonal/>
    </border>
    <border>
      <left style="thin">
        <color theme="0" tint="-0.499984740745262"/>
      </left>
      <right style="thin">
        <color theme="0" tint="-0.24994659260841701"/>
      </right>
      <top style="thin">
        <color theme="0" tint="-0.34998626667073579"/>
      </top>
      <bottom style="thin">
        <color theme="0"/>
      </bottom>
      <diagonal/>
    </border>
    <border>
      <left style="thin">
        <color theme="0" tint="-0.499984740745262"/>
      </left>
      <right style="thin">
        <color theme="0" tint="-0.24994659260841701"/>
      </right>
      <top style="thin">
        <color theme="0"/>
      </top>
      <bottom style="thin">
        <color theme="0" tint="-0.499984740745262"/>
      </bottom>
      <diagonal/>
    </border>
    <border>
      <left style="thin">
        <color indexed="9"/>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24994659260841701"/>
      </bottom>
      <diagonal/>
    </border>
    <border>
      <left style="thin">
        <color indexed="9"/>
      </left>
      <right/>
      <top/>
      <bottom style="thin">
        <color theme="0" tint="-0.499984740745262"/>
      </bottom>
      <diagonal/>
    </border>
    <border>
      <left style="thin">
        <color indexed="9"/>
      </left>
      <right/>
      <top style="thin">
        <color indexed="9"/>
      </top>
      <bottom style="thin">
        <color theme="0" tint="-0.499984740745262"/>
      </bottom>
      <diagonal/>
    </border>
    <border>
      <left/>
      <right/>
      <top style="thin">
        <color indexed="9"/>
      </top>
      <bottom style="thin">
        <color theme="0" tint="-0.499984740745262"/>
      </bottom>
      <diagonal/>
    </border>
    <border>
      <left/>
      <right style="thin">
        <color theme="0" tint="-0.499984740745262"/>
      </right>
      <top style="thin">
        <color indexed="9"/>
      </top>
      <bottom style="thin">
        <color theme="0" tint="-0.499984740745262"/>
      </bottom>
      <diagonal/>
    </border>
    <border>
      <left/>
      <right style="thin">
        <color theme="0"/>
      </right>
      <top style="thin">
        <color theme="0" tint="-0.499984740745262"/>
      </top>
      <bottom/>
      <diagonal/>
    </border>
    <border>
      <left style="thin">
        <color theme="0"/>
      </left>
      <right style="thin">
        <color theme="0" tint="-0.499984740745262"/>
      </right>
      <top style="thin">
        <color theme="0" tint="-0.499984740745262"/>
      </top>
      <bottom/>
      <diagonal/>
    </border>
    <border>
      <left style="thin">
        <color theme="0"/>
      </left>
      <right style="thin">
        <color theme="0" tint="-0.499984740745262"/>
      </right>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499984740745262"/>
      </bottom>
      <diagonal/>
    </border>
    <border>
      <left style="thin">
        <color theme="0" tint="-0.499984740745262"/>
      </left>
      <right style="thin">
        <color theme="0" tint="-0.34998626667073579"/>
      </right>
      <top style="thin">
        <color theme="0" tint="-0.34998626667073579"/>
      </top>
      <bottom style="thin">
        <color theme="0" tint="-0.499984740745262"/>
      </bottom>
      <diagonal/>
    </border>
    <border>
      <left style="thin">
        <color theme="0" tint="-0.24994659260841701"/>
      </left>
      <right style="thin">
        <color theme="0" tint="-0.34998626667073579"/>
      </right>
      <top style="thin">
        <color theme="0" tint="-0.34998626667073579"/>
      </top>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4659260841701"/>
      </left>
      <right style="thin">
        <color theme="0" tint="-0.34998626667073579"/>
      </right>
      <top/>
      <bottom/>
      <diagonal/>
    </border>
    <border>
      <left style="thin">
        <color theme="0" tint="-0.499984740745262"/>
      </left>
      <right style="thin">
        <color theme="0" tint="-0.24994659260841701"/>
      </right>
      <top style="thin">
        <color theme="0" tint="-0.34998626667073579"/>
      </top>
      <bottom/>
      <diagonal/>
    </border>
    <border>
      <left style="thin">
        <color theme="0" tint="-0.24994659260841701"/>
      </left>
      <right/>
      <top style="thin">
        <color theme="0" tint="-0.14996795556505021"/>
      </top>
      <bottom style="thin">
        <color theme="0" tint="-0.14996795556505021"/>
      </bottom>
      <diagonal/>
    </border>
    <border>
      <left style="thin">
        <color theme="0" tint="-0.24994659260841701"/>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right style="thin">
        <color theme="0" tint="-0.499984740745262"/>
      </right>
      <top style="thin">
        <color theme="0" tint="-0.14996795556505021"/>
      </top>
      <bottom style="thin">
        <color theme="0" tint="-0.14996795556505021"/>
      </bottom>
      <diagonal/>
    </border>
    <border>
      <left style="thin">
        <color theme="0"/>
      </left>
      <right/>
      <top style="thin">
        <color indexed="9"/>
      </top>
      <bottom style="thin">
        <color theme="0" tint="-0.499984740745262"/>
      </bottom>
      <diagonal/>
    </border>
    <border>
      <left/>
      <right/>
      <top style="thin">
        <color indexed="22"/>
      </top>
      <bottom style="thin">
        <color indexed="22"/>
      </bottom>
      <diagonal/>
    </border>
    <border>
      <left style="thin">
        <color theme="0" tint="-0.499984740745262"/>
      </left>
      <right style="thin">
        <color theme="0" tint="-0.499984740745262"/>
      </right>
      <top style="thin">
        <color indexed="22"/>
      </top>
      <bottom style="thin">
        <color indexed="22"/>
      </bottom>
      <diagonal/>
    </border>
    <border>
      <left style="thin">
        <color theme="0" tint="-0.34998626667073579"/>
      </left>
      <right/>
      <top style="thin">
        <color indexed="22"/>
      </top>
      <bottom style="thin">
        <color indexed="22"/>
      </bottom>
      <diagonal/>
    </border>
    <border>
      <left style="thin">
        <color theme="0" tint="-0.499984740745262"/>
      </left>
      <right/>
      <top style="thin">
        <color indexed="22"/>
      </top>
      <bottom style="thin">
        <color indexed="22"/>
      </bottom>
      <diagonal/>
    </border>
    <border>
      <left style="thin">
        <color theme="0" tint="-0.34998626667073579"/>
      </left>
      <right style="thin">
        <color theme="0" tint="-0.499984740745262"/>
      </right>
      <top style="thin">
        <color indexed="22"/>
      </top>
      <bottom style="thin">
        <color indexed="22"/>
      </bottom>
      <diagonal/>
    </border>
    <border>
      <left style="thin">
        <color theme="0" tint="-0.499984740745262"/>
      </left>
      <right style="thin">
        <color theme="0" tint="-0.499984740745262"/>
      </right>
      <top style="thin">
        <color indexed="22"/>
      </top>
      <bottom style="thin">
        <color theme="0" tint="-0.499984740745262"/>
      </bottom>
      <diagonal/>
    </border>
    <border>
      <left style="thin">
        <color theme="0" tint="-0.34998626667073579"/>
      </left>
      <right/>
      <top style="thin">
        <color indexed="22"/>
      </top>
      <bottom style="thin">
        <color theme="0" tint="-0.499984740745262"/>
      </bottom>
      <diagonal/>
    </border>
    <border>
      <left/>
      <right/>
      <top style="thin">
        <color indexed="22"/>
      </top>
      <bottom style="thin">
        <color theme="0" tint="-0.499984740745262"/>
      </bottom>
      <diagonal/>
    </border>
    <border>
      <left style="thin">
        <color auto="1"/>
      </left>
      <right style="thin">
        <color auto="1"/>
      </right>
      <top style="thin">
        <color theme="0" tint="-0.499984740745262"/>
      </top>
      <bottom/>
      <diagonal/>
    </border>
    <border>
      <left style="thin">
        <color auto="1"/>
      </left>
      <right style="thin">
        <color auto="1"/>
      </right>
      <top/>
      <bottom style="thin">
        <color theme="0" tint="-0.499984740745262"/>
      </bottom>
      <diagonal/>
    </border>
    <border>
      <left style="thin">
        <color theme="0" tint="-0.499984740745262"/>
      </left>
      <right style="thin">
        <color theme="0" tint="-0.499984740745262"/>
      </right>
      <top/>
      <bottom style="thin">
        <color indexed="22"/>
      </bottom>
      <diagonal/>
    </border>
    <border>
      <left style="thin">
        <color theme="0" tint="-0.34998626667073579"/>
      </left>
      <right/>
      <top/>
      <bottom style="thin">
        <color indexed="22"/>
      </bottom>
      <diagonal/>
    </border>
    <border>
      <left/>
      <right/>
      <top/>
      <bottom style="thin">
        <color indexed="22"/>
      </bottom>
      <diagonal/>
    </border>
    <border>
      <left style="thin">
        <color indexed="9"/>
      </left>
      <right style="thin">
        <color theme="0"/>
      </right>
      <top/>
      <bottom style="thin">
        <color theme="0" tint="-0.499984740745262"/>
      </bottom>
      <diagonal/>
    </border>
    <border>
      <left/>
      <right style="thin">
        <color auto="1"/>
      </right>
      <top style="thin">
        <color theme="0" tint="-0.24994659260841701"/>
      </top>
      <bottom style="thin">
        <color theme="0" tint="-0.499984740745262"/>
      </bottom>
      <diagonal/>
    </border>
    <border>
      <left style="thin">
        <color theme="0" tint="-0.499984740745262"/>
      </left>
      <right style="thin">
        <color theme="0" tint="-0.34998626667073579"/>
      </right>
      <top style="thin">
        <color theme="0" tint="-0.499984740745262"/>
      </top>
      <bottom/>
      <diagonal/>
    </border>
    <border>
      <left style="thin">
        <color theme="0" tint="-0.499984740745262"/>
      </left>
      <right style="thin">
        <color theme="0" tint="-0.34998626667073579"/>
      </right>
      <top/>
      <bottom/>
      <diagonal/>
    </border>
    <border>
      <left style="thin">
        <color theme="0" tint="-0.499984740745262"/>
      </left>
      <right style="thin">
        <color theme="0" tint="-0.34998626667073579"/>
      </right>
      <top style="thin">
        <color theme="0" tint="-0.34998626667073579"/>
      </top>
      <bottom/>
      <diagonal/>
    </border>
    <border>
      <left style="thin">
        <color theme="0" tint="-0.499984740745262"/>
      </left>
      <right style="thin">
        <color theme="0" tint="-0.34998626667073579"/>
      </right>
      <top/>
      <bottom style="thin">
        <color theme="0" tint="-0.499984740745262"/>
      </bottom>
      <diagonal/>
    </border>
    <border>
      <left style="thin">
        <color auto="1"/>
      </left>
      <right/>
      <top style="thin">
        <color theme="0" tint="-0.34998626667073579"/>
      </top>
      <bottom style="thin">
        <color theme="0" tint="-0.24994659260841701"/>
      </bottom>
      <diagonal/>
    </border>
    <border>
      <left style="thin">
        <color auto="1"/>
      </left>
      <right/>
      <top style="thin">
        <color theme="0" tint="-0.24994659260841701"/>
      </top>
      <bottom style="thin">
        <color theme="0" tint="-0.499984740745262"/>
      </bottom>
      <diagonal/>
    </border>
    <border>
      <left style="thin">
        <color theme="0" tint="-0.34998626667073579"/>
      </left>
      <right style="thin">
        <color auto="1"/>
      </right>
      <top style="thin">
        <color theme="0" tint="-0.499984740745262"/>
      </top>
      <bottom/>
      <diagonal/>
    </border>
    <border>
      <left style="thin">
        <color theme="0" tint="-0.34998626667073579"/>
      </left>
      <right style="thin">
        <color auto="1"/>
      </right>
      <top style="thin">
        <color theme="0" tint="-0.24994659260841701"/>
      </top>
      <bottom/>
      <diagonal/>
    </border>
    <border>
      <left style="thin">
        <color theme="0" tint="-0.34998626667073579"/>
      </left>
      <right style="thin">
        <color auto="1"/>
      </right>
      <top style="thin">
        <color theme="0" tint="-0.34998626667073579"/>
      </top>
      <bottom style="thin">
        <color theme="0" tint="-0.24994659260841701"/>
      </bottom>
      <diagonal/>
    </border>
    <border>
      <left style="thin">
        <color theme="0" tint="-0.34998626667073579"/>
      </left>
      <right style="thin">
        <color auto="1"/>
      </right>
      <top style="thin">
        <color theme="0" tint="-0.24994659260841701"/>
      </top>
      <bottom style="thin">
        <color theme="0" tint="-0.499984740745262"/>
      </bottom>
      <diagonal/>
    </border>
    <border>
      <left style="thin">
        <color theme="0" tint="-0.34998626667073579"/>
      </left>
      <right style="thin">
        <color theme="0" tint="-0.499984740745262"/>
      </right>
      <top style="thin">
        <color theme="0" tint="-0.24994659260841701"/>
      </top>
      <bottom/>
      <diagonal/>
    </border>
    <border>
      <left style="thin">
        <color theme="0" tint="-0.34998626667073579"/>
      </left>
      <right style="thin">
        <color theme="0" tint="-0.499984740745262"/>
      </right>
      <top style="thin">
        <color theme="0" tint="-0.34998626667073579"/>
      </top>
      <bottom style="thin">
        <color theme="0" tint="-0.24994659260841701"/>
      </bottom>
      <diagonal/>
    </border>
    <border>
      <left style="thin">
        <color theme="0" tint="-0.34998626667073579"/>
      </left>
      <right style="thin">
        <color theme="0" tint="-0.499984740745262"/>
      </right>
      <top style="thin">
        <color theme="0" tint="-0.24994659260841701"/>
      </top>
      <bottom style="thin">
        <color theme="0" tint="-0.499984740745262"/>
      </bottom>
      <diagonal/>
    </border>
    <border>
      <left/>
      <right style="thin">
        <color auto="1"/>
      </right>
      <top style="thin">
        <color theme="0" tint="-0.499984740745262"/>
      </top>
      <bottom/>
      <diagonal/>
    </border>
    <border>
      <left style="thin">
        <color auto="1"/>
      </left>
      <right/>
      <top style="thin">
        <color theme="0" tint="-0.499984740745262"/>
      </top>
      <bottom/>
      <diagonal/>
    </border>
    <border>
      <left style="thin">
        <color indexed="9"/>
      </left>
      <right/>
      <top style="thin">
        <color theme="0" tint="-0.24994659260841701"/>
      </top>
      <bottom style="thin">
        <color theme="0" tint="-0.499984740745262"/>
      </bottom>
      <diagonal/>
    </border>
    <border>
      <left/>
      <right style="thin">
        <color indexed="9"/>
      </right>
      <top style="thin">
        <color theme="0" tint="-0.24994659260841701"/>
      </top>
      <bottom style="thin">
        <color theme="0" tint="-0.499984740745262"/>
      </bottom>
      <diagonal/>
    </border>
    <border>
      <left style="thin">
        <color theme="0"/>
      </left>
      <right/>
      <top style="thin">
        <color theme="0" tint="-0.24994659260841701"/>
      </top>
      <bottom style="thin">
        <color theme="0" tint="-0.499984740745262"/>
      </bottom>
      <diagonal/>
    </border>
    <border>
      <left/>
      <right style="thin">
        <color theme="0" tint="-0.499984740745262"/>
      </right>
      <top style="thin">
        <color indexed="22"/>
      </top>
      <bottom style="thin">
        <color indexed="22"/>
      </bottom>
      <diagonal/>
    </border>
    <border>
      <left style="thin">
        <color theme="0" tint="-0.499984740745262"/>
      </left>
      <right style="thin">
        <color theme="0" tint="-0.34998626667073579"/>
      </right>
      <top style="thin">
        <color indexed="22"/>
      </top>
      <bottom style="thin">
        <color indexed="22"/>
      </bottom>
      <diagonal/>
    </border>
    <border>
      <left/>
      <right style="thin">
        <color theme="0" tint="-0.34998626667073579"/>
      </right>
      <top style="thin">
        <color indexed="22"/>
      </top>
      <bottom style="thin">
        <color indexed="22"/>
      </bottom>
      <diagonal/>
    </border>
    <border>
      <left style="thin">
        <color indexed="9"/>
      </left>
      <right/>
      <top style="thin">
        <color theme="0" tint="-0.499984740745262"/>
      </top>
      <bottom style="thin">
        <color theme="0" tint="-0.34998626667073579"/>
      </bottom>
      <diagonal/>
    </border>
    <border>
      <left/>
      <right style="thin">
        <color indexed="9"/>
      </right>
      <top style="thin">
        <color theme="0" tint="-0.499984740745262"/>
      </top>
      <bottom style="thin">
        <color theme="0" tint="-0.34998626667073579"/>
      </bottom>
      <diagonal/>
    </border>
    <border>
      <left/>
      <right style="thin">
        <color theme="0"/>
      </right>
      <top style="thin">
        <color theme="0" tint="-0.499984740745262"/>
      </top>
      <bottom style="thin">
        <color theme="0" tint="-0.34998626667073579"/>
      </bottom>
      <diagonal/>
    </border>
    <border>
      <left/>
      <right style="thin">
        <color indexed="9"/>
      </right>
      <top style="thin">
        <color theme="0" tint="-0.34998626667073579"/>
      </top>
      <bottom style="thin">
        <color theme="0" tint="-0.24994659260841701"/>
      </bottom>
      <diagonal/>
    </border>
    <border>
      <left style="thin">
        <color theme="0"/>
      </left>
      <right style="hair">
        <color indexed="9"/>
      </right>
      <top/>
      <bottom style="thin">
        <color theme="0" tint="-0.499984740745262"/>
      </bottom>
      <diagonal/>
    </border>
    <border>
      <left style="hair">
        <color indexed="9"/>
      </left>
      <right/>
      <top/>
      <bottom style="thin">
        <color theme="0" tint="-0.499984740745262"/>
      </bottom>
      <diagonal/>
    </border>
    <border>
      <left style="thin">
        <color theme="0"/>
      </left>
      <right/>
      <top style="thin">
        <color theme="0" tint="-0.499984740745262"/>
      </top>
      <bottom style="thin">
        <color theme="0" tint="-0.24994659260841701"/>
      </bottom>
      <diagonal/>
    </border>
    <border>
      <left style="thin">
        <color theme="0"/>
      </left>
      <right/>
      <top/>
      <bottom style="thin">
        <color theme="0" tint="-0.24994659260841701"/>
      </bottom>
      <diagonal/>
    </border>
    <border>
      <left/>
      <right style="thin">
        <color indexed="9"/>
      </right>
      <top/>
      <bottom style="thin">
        <color theme="0" tint="-0.24994659260841701"/>
      </bottom>
      <diagonal/>
    </border>
    <border>
      <left style="thin">
        <color indexed="9"/>
      </left>
      <right style="thin">
        <color theme="0"/>
      </right>
      <top/>
      <bottom/>
      <diagonal/>
    </border>
    <border>
      <left style="thin">
        <color indexed="9"/>
      </left>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34998626667073579"/>
      </left>
      <right/>
      <top/>
      <bottom style="thin">
        <color theme="0" tint="-0.24994659260841701"/>
      </bottom>
      <diagonal/>
    </border>
    <border>
      <left style="thin">
        <color theme="0" tint="-0.24994659260841701"/>
      </left>
      <right/>
      <top style="thin">
        <color theme="0" tint="-0.24994659260841701"/>
      </top>
      <bottom/>
      <diagonal/>
    </border>
    <border>
      <left style="thin">
        <color theme="0" tint="-0.499984740745262"/>
      </left>
      <right/>
      <top style="double">
        <color theme="0" tint="-0.499984740745262"/>
      </top>
      <bottom/>
      <diagonal/>
    </border>
    <border>
      <left/>
      <right/>
      <top style="double">
        <color theme="0" tint="-0.499984740745262"/>
      </top>
      <bottom/>
      <diagonal/>
    </border>
    <border>
      <left style="thin">
        <color theme="0" tint="-0.34998626667073579"/>
      </left>
      <right/>
      <top style="double">
        <color theme="0" tint="-0.499984740745262"/>
      </top>
      <bottom/>
      <diagonal/>
    </border>
    <border>
      <left/>
      <right style="thin">
        <color theme="0" tint="-0.499984740745262"/>
      </right>
      <top style="double">
        <color theme="0" tint="-0.499984740745262"/>
      </top>
      <bottom/>
      <diagonal/>
    </border>
    <border>
      <left style="thin">
        <color rgb="FF333399"/>
      </left>
      <right style="thin">
        <color theme="0" tint="-0.499984740745262"/>
      </right>
      <top style="thin">
        <color theme="0" tint="-0.499984740745262"/>
      </top>
      <bottom style="thin">
        <color theme="0" tint="-0.499984740745262"/>
      </bottom>
      <diagonal/>
    </border>
    <border>
      <left style="thin">
        <color theme="0" tint="-0.34998626667073579"/>
      </left>
      <right style="thin">
        <color rgb="FF333399"/>
      </right>
      <top style="thin">
        <color theme="0" tint="-0.499984740745262"/>
      </top>
      <bottom style="thin">
        <color theme="0" tint="-0.499984740745262"/>
      </bottom>
      <diagonal/>
    </border>
    <border>
      <left/>
      <right style="thin">
        <color theme="0" tint="-0.34998626667073579"/>
      </right>
      <top style="thin">
        <color theme="0" tint="-0.499984740745262"/>
      </top>
      <bottom/>
      <diagonal/>
    </border>
    <border>
      <left/>
      <right style="thin">
        <color theme="0" tint="-0.34998626667073579"/>
      </right>
      <top style="thin">
        <color theme="0" tint="-0.34998626667073579"/>
      </top>
      <bottom style="thin">
        <color theme="0" tint="-0.34998626667073579"/>
      </bottom>
      <diagonal/>
    </border>
    <border>
      <left style="thin">
        <color indexed="55"/>
      </left>
      <right style="thin">
        <color theme="0" tint="-0.499984740745262"/>
      </right>
      <top style="thin">
        <color theme="0" tint="-0.499984740745262"/>
      </top>
      <bottom style="thin">
        <color theme="0" tint="-0.499984740745262"/>
      </bottom>
      <diagonal/>
    </border>
    <border>
      <left style="thin">
        <color theme="0"/>
      </left>
      <right style="thin">
        <color indexed="9"/>
      </right>
      <top style="thin">
        <color theme="0" tint="-0.499984740745262"/>
      </top>
      <bottom style="thin">
        <color theme="0" tint="-0.499984740745262"/>
      </bottom>
      <diagonal/>
    </border>
    <border>
      <left style="thin">
        <color theme="0" tint="-0.499984740745262"/>
      </left>
      <right style="thin">
        <color theme="0"/>
      </right>
      <top/>
      <bottom style="thin">
        <color theme="0" tint="-0.499984740745262"/>
      </bottom>
      <diagonal/>
    </border>
    <border>
      <left style="thin">
        <color theme="0" tint="-0.499984740745262"/>
      </left>
      <right style="thin">
        <color theme="0"/>
      </right>
      <top style="thin">
        <color theme="0" tint="-0.499984740745262"/>
      </top>
      <bottom style="thin">
        <color theme="0" tint="-0.34998626667073579"/>
      </bottom>
      <diagonal/>
    </border>
    <border>
      <left style="thin">
        <color theme="0"/>
      </left>
      <right/>
      <top style="thin">
        <color theme="0" tint="-0.499984740745262"/>
      </top>
      <bottom style="thin">
        <color theme="0" tint="-0.34998626667073579"/>
      </bottom>
      <diagonal/>
    </border>
    <border>
      <left/>
      <right style="thin">
        <color theme="0" tint="-0.34998626667073579"/>
      </right>
      <top style="thin">
        <color theme="0" tint="-0.499984740745262"/>
      </top>
      <bottom style="thin">
        <color theme="0" tint="-0.34998626667073579"/>
      </bottom>
      <diagonal/>
    </border>
    <border>
      <left style="thin">
        <color theme="0" tint="-0.24994659260841701"/>
      </left>
      <right style="thin">
        <color theme="0" tint="-0.499984740745262"/>
      </right>
      <top style="thin">
        <color theme="0" tint="-0.24994659260841701"/>
      </top>
      <bottom style="thin">
        <color theme="0" tint="-0.34998626667073579"/>
      </bottom>
      <diagonal/>
    </border>
    <border>
      <left style="thin">
        <color theme="0" tint="-0.24994659260841701"/>
      </left>
      <right style="thin">
        <color theme="0" tint="-0.499984740745262"/>
      </right>
      <top style="thin">
        <color theme="0"/>
      </top>
      <bottom style="thin">
        <color theme="0"/>
      </bottom>
      <diagonal/>
    </border>
    <border>
      <left/>
      <right style="thin">
        <color theme="0" tint="-0.499984740745262"/>
      </right>
      <top style="thin">
        <color theme="0"/>
      </top>
      <bottom/>
      <diagonal/>
    </border>
    <border>
      <left style="thin">
        <color theme="0" tint="-0.499984740745262"/>
      </left>
      <right style="thin">
        <color theme="0"/>
      </right>
      <top style="thin">
        <color theme="0"/>
      </top>
      <bottom style="thin">
        <color theme="0" tint="-0.499984740745262"/>
      </bottom>
      <diagonal/>
    </border>
    <border>
      <left style="thin">
        <color theme="0"/>
      </left>
      <right style="thin">
        <color theme="0"/>
      </right>
      <top style="thin">
        <color theme="0"/>
      </top>
      <bottom style="thin">
        <color theme="0" tint="-0.499984740745262"/>
      </bottom>
      <diagonal/>
    </border>
    <border>
      <left style="thin">
        <color theme="0" tint="-0.34998626667073579"/>
      </left>
      <right style="thin">
        <color theme="0"/>
      </right>
      <top style="thin">
        <color theme="0"/>
      </top>
      <bottom style="thin">
        <color theme="0" tint="-0.499984740745262"/>
      </bottom>
      <diagonal/>
    </border>
    <border>
      <left style="thin">
        <color theme="0"/>
      </left>
      <right style="thin">
        <color theme="0" tint="-0.499984740745262"/>
      </right>
      <top style="thin">
        <color theme="0"/>
      </top>
      <bottom style="thin">
        <color theme="0" tint="-0.499984740745262"/>
      </bottom>
      <diagonal/>
    </border>
    <border>
      <left style="thin">
        <color theme="0" tint="-0.24994659260841701"/>
      </left>
      <right style="thin">
        <color theme="0" tint="-0.499984740745262"/>
      </right>
      <top style="thin">
        <color theme="0"/>
      </top>
      <bottom/>
      <diagonal/>
    </border>
    <border>
      <left style="thin">
        <color theme="0" tint="-0.24994659260841701"/>
      </left>
      <right style="thin">
        <color theme="0" tint="-0.499984740745262"/>
      </right>
      <top style="thin">
        <color theme="0" tint="-0.24994659260841701"/>
      </top>
      <bottom style="thin">
        <color theme="0"/>
      </bottom>
      <diagonal/>
    </border>
    <border>
      <left style="thin">
        <color theme="0" tint="-0.34998626667073579"/>
      </left>
      <right style="thin">
        <color theme="0"/>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499984740745262"/>
      </left>
      <right style="thin">
        <color indexed="30"/>
      </right>
      <top style="thin">
        <color theme="0" tint="-0.499984740745262"/>
      </top>
      <bottom style="thin">
        <color indexed="30"/>
      </bottom>
      <diagonal/>
    </border>
    <border>
      <left style="thin">
        <color indexed="30"/>
      </left>
      <right style="thin">
        <color theme="0" tint="-0.499984740745262"/>
      </right>
      <top style="thin">
        <color theme="0" tint="-0.499984740745262"/>
      </top>
      <bottom style="thin">
        <color indexed="30"/>
      </bottom>
      <diagonal/>
    </border>
    <border>
      <left style="thin">
        <color theme="0" tint="-0.499984740745262"/>
      </left>
      <right style="thin">
        <color indexed="30"/>
      </right>
      <top style="thin">
        <color indexed="30"/>
      </top>
      <bottom/>
      <diagonal/>
    </border>
    <border>
      <left style="thin">
        <color indexed="30"/>
      </left>
      <right style="thin">
        <color theme="0" tint="-0.499984740745262"/>
      </right>
      <top style="thin">
        <color indexed="30"/>
      </top>
      <bottom/>
      <diagonal/>
    </border>
    <border>
      <left style="thin">
        <color theme="0" tint="-0.499984740745262"/>
      </left>
      <right style="thin">
        <color indexed="30"/>
      </right>
      <top style="thin">
        <color theme="0" tint="-0.24994659260841701"/>
      </top>
      <bottom style="thin">
        <color theme="0" tint="-0.34998626667073579"/>
      </bottom>
      <diagonal/>
    </border>
    <border>
      <left style="thin">
        <color indexed="30"/>
      </left>
      <right style="thin">
        <color indexed="30"/>
      </right>
      <top style="thin">
        <color theme="0" tint="-0.24994659260841701"/>
      </top>
      <bottom style="thin">
        <color theme="0" tint="-0.34998626667073579"/>
      </bottom>
      <diagonal/>
    </border>
    <border>
      <left style="thin">
        <color indexed="30"/>
      </left>
      <right style="thin">
        <color theme="0" tint="-0.499984740745262"/>
      </right>
      <top style="thin">
        <color theme="0" tint="-0.24994659260841701"/>
      </top>
      <bottom style="thin">
        <color theme="0" tint="-0.34998626667073579"/>
      </bottom>
      <diagonal/>
    </border>
    <border>
      <left style="thin">
        <color theme="0" tint="-0.24994659260841701"/>
      </left>
      <right/>
      <top style="thin">
        <color theme="0" tint="-0.499984740745262"/>
      </top>
      <bottom style="thin">
        <color theme="0" tint="-0.24994659260841701"/>
      </bottom>
      <diagonal/>
    </border>
    <border>
      <left style="thin">
        <color theme="0"/>
      </left>
      <right style="thin">
        <color theme="0"/>
      </right>
      <top style="thin">
        <color theme="0" tint="-0.499984740745262"/>
      </top>
      <bottom style="thin">
        <color theme="0"/>
      </bottom>
      <diagonal/>
    </border>
    <border>
      <left style="thin">
        <color theme="4" tint="0.59996337778862885"/>
      </left>
      <right style="thin">
        <color indexed="30"/>
      </right>
      <top/>
      <bottom/>
      <diagonal/>
    </border>
    <border>
      <left style="thin">
        <color theme="4" tint="0.59996337778862885"/>
      </left>
      <right/>
      <top style="thin">
        <color theme="0" tint="-0.24994659260841701"/>
      </top>
      <bottom style="thin">
        <color theme="0" tint="-0.24994659260841701"/>
      </bottom>
      <diagonal/>
    </border>
    <border>
      <left style="thin">
        <color theme="0" tint="-0.499984740745262"/>
      </left>
      <right style="thin">
        <color indexed="30"/>
      </right>
      <top style="thin">
        <color theme="0" tint="-0.24994659260841701"/>
      </top>
      <bottom style="thin">
        <color theme="0" tint="-0.24994659260841701"/>
      </bottom>
      <diagonal/>
    </border>
    <border>
      <left style="thin">
        <color indexed="30"/>
      </left>
      <right style="thin">
        <color indexed="30"/>
      </right>
      <top style="thin">
        <color theme="0" tint="-0.24994659260841701"/>
      </top>
      <bottom style="thin">
        <color theme="0" tint="-0.24994659260841701"/>
      </bottom>
      <diagonal/>
    </border>
    <border>
      <left style="thin">
        <color indexed="30"/>
      </left>
      <right/>
      <top style="thin">
        <color theme="0" tint="-0.24994659260841701"/>
      </top>
      <bottom style="thin">
        <color theme="0" tint="-0.24994659260841701"/>
      </bottom>
      <diagonal/>
    </border>
    <border>
      <left style="thin">
        <color theme="0" tint="-0.24994659260841701"/>
      </left>
      <right style="thin">
        <color theme="0" tint="-0.499984740745262"/>
      </right>
      <top/>
      <bottom style="thin">
        <color theme="0" tint="-0.499984740745262"/>
      </bottom>
      <diagonal/>
    </border>
    <border>
      <left style="thin">
        <color theme="0" tint="-0.499984740745262"/>
      </left>
      <right/>
      <top/>
      <bottom style="thin">
        <color theme="0" tint="-0.34998626667073579"/>
      </bottom>
      <diagonal/>
    </border>
    <border>
      <left/>
      <right style="thin">
        <color theme="0"/>
      </right>
      <top/>
      <bottom style="thin">
        <color theme="0" tint="-0.34998626667073579"/>
      </bottom>
      <diagonal/>
    </border>
    <border>
      <left style="thin">
        <color theme="0"/>
      </left>
      <right style="thin">
        <color theme="0"/>
      </right>
      <top style="thin">
        <color theme="0"/>
      </top>
      <bottom style="thin">
        <color theme="0" tint="-0.34998626667073579"/>
      </bottom>
      <diagonal/>
    </border>
    <border>
      <left/>
      <right style="thin">
        <color theme="0" tint="-0.499984740745262"/>
      </right>
      <top style="thin">
        <color theme="0"/>
      </top>
      <bottom style="thin">
        <color theme="0" tint="-0.34998626667073579"/>
      </bottom>
      <diagonal/>
    </border>
    <border>
      <left style="thin">
        <color theme="0" tint="-0.24994659260841701"/>
      </left>
      <right style="thin">
        <color theme="0" tint="-0.499984740745262"/>
      </right>
      <top style="thin">
        <color theme="0"/>
      </top>
      <bottom style="thin">
        <color theme="0" tint="-0.34998626667073579"/>
      </bottom>
      <diagonal/>
    </border>
    <border>
      <left style="thin">
        <color theme="0"/>
      </left>
      <right style="thin">
        <color theme="0"/>
      </right>
      <top/>
      <bottom style="thin">
        <color theme="0" tint="-0.34998626667073579"/>
      </bottom>
      <diagonal/>
    </border>
    <border>
      <left style="thin">
        <color theme="0" tint="-0.499984740745262"/>
      </left>
      <right/>
      <top style="thin">
        <color theme="0" tint="-0.499984740745262"/>
      </top>
      <bottom style="thin">
        <color indexed="30"/>
      </bottom>
      <diagonal/>
    </border>
    <border>
      <left style="thin">
        <color theme="0" tint="-0.499984740745262"/>
      </left>
      <right/>
      <top style="thin">
        <color indexed="30"/>
      </top>
      <bottom style="thin">
        <color theme="0" tint="-0.34998626667073579"/>
      </bottom>
      <diagonal/>
    </border>
    <border>
      <left style="thin">
        <color theme="0"/>
      </left>
      <right/>
      <top/>
      <bottom style="thin">
        <color theme="0" tint="-0.34998626667073579"/>
      </bottom>
      <diagonal/>
    </border>
    <border>
      <left style="thin">
        <color rgb="FF3366FF"/>
      </left>
      <right style="thin">
        <color rgb="FF3366FF"/>
      </right>
      <top/>
      <bottom style="thin">
        <color theme="0" tint="-0.499984740745262"/>
      </bottom>
      <diagonal/>
    </border>
    <border>
      <left style="thin">
        <color theme="0" tint="-0.24994659260841701"/>
      </left>
      <right style="thin">
        <color theme="0" tint="-0.34998626667073579"/>
      </right>
      <top/>
      <bottom style="thin">
        <color theme="0" tint="-0.499984740745262"/>
      </bottom>
      <diagonal/>
    </border>
    <border>
      <left style="thin">
        <color rgb="FF3366FF"/>
      </left>
      <right style="thin">
        <color rgb="FF3366FF"/>
      </right>
      <top style="thin">
        <color theme="0" tint="-0.24994659260841701"/>
      </top>
      <bottom style="thin">
        <color theme="0" tint="-0.24994659260841701"/>
      </bottom>
      <diagonal/>
    </border>
    <border>
      <left style="thin">
        <color theme="0" tint="-0.34998626667073579"/>
      </left>
      <right style="thin">
        <color rgb="FF3366FF"/>
      </right>
      <top style="thin">
        <color theme="0" tint="-0.34998626667073579"/>
      </top>
      <bottom/>
      <diagonal/>
    </border>
    <border>
      <left style="thin">
        <color rgb="FF3366FF"/>
      </left>
      <right style="thin">
        <color rgb="FF3366FF"/>
      </right>
      <top style="thin">
        <color theme="0" tint="-0.34998626667073579"/>
      </top>
      <bottom/>
      <diagonal/>
    </border>
    <border>
      <left style="thin">
        <color rgb="FF3366FF"/>
      </left>
      <right style="thin">
        <color theme="0" tint="-0.34998626667073579"/>
      </right>
      <top style="thin">
        <color theme="0" tint="-0.34998626667073579"/>
      </top>
      <bottom/>
      <diagonal/>
    </border>
    <border>
      <left style="thin">
        <color theme="0" tint="-0.34998626667073579"/>
      </left>
      <right style="thin">
        <color rgb="FF3366FF"/>
      </right>
      <top style="thin">
        <color theme="0" tint="-0.24994659260841701"/>
      </top>
      <bottom style="thin">
        <color theme="0" tint="-0.24994659260841701"/>
      </bottom>
      <diagonal/>
    </border>
    <border>
      <left style="thin">
        <color rgb="FF3366FF"/>
      </left>
      <right style="thin">
        <color theme="0" tint="-0.34998626667073579"/>
      </right>
      <top style="thin">
        <color theme="0" tint="-0.24994659260841701"/>
      </top>
      <bottom style="thin">
        <color theme="0" tint="-0.24994659260841701"/>
      </bottom>
      <diagonal/>
    </border>
    <border>
      <left style="thin">
        <color theme="0" tint="-0.34998626667073579"/>
      </left>
      <right style="thin">
        <color rgb="FF3366FF"/>
      </right>
      <top/>
      <bottom style="thin">
        <color theme="0" tint="-0.499984740745262"/>
      </bottom>
      <diagonal/>
    </border>
    <border>
      <left style="thin">
        <color rgb="FF3366FF"/>
      </left>
      <right style="thin">
        <color theme="0" tint="-0.34998626667073579"/>
      </right>
      <top/>
      <bottom style="thin">
        <color theme="0" tint="-0.499984740745262"/>
      </bottom>
      <diagonal/>
    </border>
    <border>
      <left style="thin">
        <color theme="0" tint="-0.24994659260841701"/>
      </left>
      <right style="thin">
        <color theme="0" tint="-0.499984740745262"/>
      </right>
      <top/>
      <bottom style="thin">
        <color theme="0" tint="-0.34998626667073579"/>
      </bottom>
      <diagonal/>
    </border>
    <border>
      <left style="thin">
        <color theme="0"/>
      </left>
      <right style="thin">
        <color theme="0"/>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24994659260841701"/>
      </top>
      <bottom style="thin">
        <color theme="0" tint="-0.24994659260841701"/>
      </bottom>
      <diagonal/>
    </border>
    <border>
      <left/>
      <right style="thin">
        <color theme="0" tint="-0.24994659260841701"/>
      </right>
      <top style="thin">
        <color theme="0" tint="-0.499984740745262"/>
      </top>
      <bottom/>
      <diagonal/>
    </border>
    <border>
      <left/>
      <right style="thin">
        <color theme="0" tint="-0.24994659260841701"/>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34998626667073579"/>
      </bottom>
      <diagonal/>
    </border>
    <border>
      <left style="thin">
        <color theme="0" tint="-0.34998626667073579"/>
      </left>
      <right style="thin">
        <color theme="0"/>
      </right>
      <top/>
      <bottom style="thin">
        <color theme="0" tint="-0.49998474074526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indexed="9"/>
      </right>
      <top/>
      <bottom style="thin">
        <color theme="0" tint="-0.499984740745262"/>
      </bottom>
      <diagonal/>
    </border>
    <border>
      <left style="thin">
        <color indexed="9"/>
      </left>
      <right style="thin">
        <color indexed="9"/>
      </right>
      <top style="thin">
        <color theme="0" tint="-0.499984740745262"/>
      </top>
      <bottom style="thin">
        <color theme="0" tint="-0.34998626667073579"/>
      </bottom>
      <diagonal/>
    </border>
    <border>
      <left style="thin">
        <color theme="0" tint="-0.34998626667073579"/>
      </left>
      <right style="thin">
        <color theme="0" tint="-0.34998626667073579"/>
      </right>
      <top style="thin">
        <color theme="0" tint="-0.499984740745262"/>
      </top>
      <bottom style="thin">
        <color theme="0" tint="-0.24994659260841701"/>
      </bottom>
      <diagonal/>
    </border>
    <border>
      <left style="thin">
        <color theme="0" tint="-0.34998626667073579"/>
      </left>
      <right style="thin">
        <color theme="0" tint="-0.34998626667073579"/>
      </right>
      <top/>
      <bottom style="thin">
        <color theme="0" tint="-0.24994659260841701"/>
      </bottom>
      <diagonal/>
    </border>
    <border>
      <left style="thin">
        <color theme="0" tint="-0.24994659260841701"/>
      </left>
      <right style="thin">
        <color theme="0" tint="-0.499984740745262"/>
      </right>
      <top style="thin">
        <color theme="0" tint="-0.34998626667073579"/>
      </top>
      <bottom/>
      <diagonal/>
    </border>
    <border>
      <left style="thin">
        <color theme="0" tint="-0.499984740745262"/>
      </left>
      <right style="thin">
        <color theme="0" tint="-0.24994659260841701"/>
      </right>
      <top/>
      <bottom style="thin">
        <color theme="0" tint="-0.34998626667073579"/>
      </bottom>
      <diagonal/>
    </border>
    <border>
      <left style="thin">
        <color theme="0" tint="-0.499984740745262"/>
      </left>
      <right style="thin">
        <color indexed="55"/>
      </right>
      <top style="thin">
        <color theme="0" tint="-0.34998626667073579"/>
      </top>
      <bottom style="thin">
        <color theme="0" tint="-0.34998626667073579"/>
      </bottom>
      <diagonal/>
    </border>
    <border>
      <left style="thin">
        <color indexed="55"/>
      </left>
      <right style="thin">
        <color indexed="55"/>
      </right>
      <top style="thin">
        <color theme="0" tint="-0.34998626667073579"/>
      </top>
      <bottom style="thin">
        <color theme="0" tint="-0.34998626667073579"/>
      </bottom>
      <diagonal/>
    </border>
    <border>
      <left style="thin">
        <color indexed="55"/>
      </left>
      <right style="thin">
        <color theme="0" tint="-0.499984740745262"/>
      </right>
      <top style="thin">
        <color theme="0" tint="-0.34998626667073579"/>
      </top>
      <bottom style="thin">
        <color theme="0" tint="-0.34998626667073579"/>
      </bottom>
      <diagonal/>
    </border>
    <border>
      <left style="thin">
        <color theme="0" tint="-0.499984740745262"/>
      </left>
      <right style="thin">
        <color indexed="55"/>
      </right>
      <top/>
      <bottom style="thin">
        <color theme="0" tint="-0.499984740745262"/>
      </bottom>
      <diagonal/>
    </border>
    <border>
      <left style="thin">
        <color indexed="55"/>
      </left>
      <right style="thin">
        <color indexed="55"/>
      </right>
      <top/>
      <bottom style="thin">
        <color theme="0" tint="-0.499984740745262"/>
      </bottom>
      <diagonal/>
    </border>
    <border>
      <left style="thin">
        <color indexed="55"/>
      </left>
      <right style="thin">
        <color theme="0" tint="-0.499984740745262"/>
      </right>
      <top/>
      <bottom style="thin">
        <color theme="0" tint="-0.499984740745262"/>
      </bottom>
      <diagonal/>
    </border>
    <border>
      <left style="thin">
        <color theme="0" tint="-0.24994659260841701"/>
      </left>
      <right/>
      <top style="thin">
        <color theme="0" tint="-0.499984740745262"/>
      </top>
      <bottom/>
      <diagonal/>
    </border>
    <border>
      <left style="thin">
        <color theme="0" tint="-0.24994659260841701"/>
      </left>
      <right/>
      <top style="thin">
        <color theme="0" tint="-0.34998626667073579"/>
      </top>
      <bottom/>
      <diagonal/>
    </border>
    <border>
      <left style="thin">
        <color theme="0" tint="-0.24994659260841701"/>
      </left>
      <right/>
      <top/>
      <bottom style="thin">
        <color theme="0" tint="-0.34998626667073579"/>
      </bottom>
      <diagonal/>
    </border>
    <border>
      <left style="thin">
        <color theme="0" tint="-0.24994659260841701"/>
      </left>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34998626667073579"/>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left>
      <right/>
      <top style="thin">
        <color theme="0" tint="-0.24994659260841701"/>
      </top>
      <bottom style="thin">
        <color theme="0" tint="-0.34998626667073579"/>
      </bottom>
      <diagonal/>
    </border>
    <border>
      <left style="thin">
        <color theme="0" tint="-0.24994659260841701"/>
      </left>
      <right style="thin">
        <color theme="0"/>
      </right>
      <top style="thin">
        <color theme="0" tint="-0.24994659260841701"/>
      </top>
      <bottom style="thin">
        <color theme="0" tint="-0.34998626667073579"/>
      </bottom>
      <diagonal/>
    </border>
    <border>
      <left style="thin">
        <color theme="0" tint="-0.499984740745262"/>
      </left>
      <right style="thin">
        <color theme="0" tint="-0.499984740745262"/>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indexed="9"/>
      </right>
      <top/>
      <bottom style="thin">
        <color theme="0" tint="-0.34998626667073579"/>
      </bottom>
      <diagonal/>
    </border>
    <border>
      <left style="thin">
        <color indexed="9"/>
      </left>
      <right style="thin">
        <color indexed="9"/>
      </right>
      <top/>
      <bottom style="thin">
        <color theme="0" tint="-0.34998626667073579"/>
      </bottom>
      <diagonal/>
    </border>
    <border>
      <left style="thin">
        <color indexed="9"/>
      </left>
      <right style="thin">
        <color theme="0" tint="-0.499984740745262"/>
      </right>
      <top/>
      <bottom style="thin">
        <color theme="0" tint="-0.34998626667073579"/>
      </bottom>
      <diagonal/>
    </border>
    <border>
      <left style="thin">
        <color theme="0" tint="-0.499984740745262"/>
      </left>
      <right style="thin">
        <color indexed="9"/>
      </right>
      <top/>
      <bottom style="thin">
        <color theme="0" tint="-0.34998626667073579"/>
      </bottom>
      <diagonal/>
    </border>
    <border>
      <left/>
      <right style="thin">
        <color theme="0" tint="-0.24994659260841701"/>
      </right>
      <top/>
      <bottom style="thin">
        <color theme="0" tint="-0.34998626667073579"/>
      </bottom>
      <diagonal/>
    </border>
    <border>
      <left style="thin">
        <color theme="0" tint="-0.499984740745262"/>
      </left>
      <right style="thin">
        <color theme="0" tint="-0.24994659260841701"/>
      </right>
      <top style="thin">
        <color theme="0"/>
      </top>
      <bottom style="thin">
        <color theme="0" tint="-0.34998626667073579"/>
      </bottom>
      <diagonal/>
    </border>
  </borders>
  <cellStyleXfs count="58">
    <xf numFmtId="173" fontId="0" fillId="0" borderId="1">
      <alignment horizontal="right"/>
    </xf>
    <xf numFmtId="173" fontId="189" fillId="16" borderId="0" applyNumberFormat="0" applyBorder="0" applyAlignment="0" applyProtection="0"/>
    <xf numFmtId="173" fontId="189" fillId="18" borderId="0" applyNumberFormat="0" applyBorder="0" applyAlignment="0" applyProtection="0"/>
    <xf numFmtId="173" fontId="190" fillId="20" borderId="0" applyNumberFormat="0" applyBorder="0" applyAlignment="0" applyProtection="0"/>
    <xf numFmtId="173" fontId="190" fillId="21" borderId="0" applyNumberFormat="0" applyBorder="0" applyAlignment="0" applyProtection="0"/>
    <xf numFmtId="173" fontId="190" fillId="22" borderId="0" applyNumberFormat="0" applyBorder="0" applyAlignment="0" applyProtection="0"/>
    <xf numFmtId="173" fontId="190" fillId="23" borderId="0" applyNumberFormat="0" applyBorder="0" applyAlignment="0" applyProtection="0"/>
    <xf numFmtId="173" fontId="10" fillId="0" borderId="0" applyNumberFormat="0" applyFill="0" applyBorder="0" applyAlignment="0" applyProtection="0">
      <alignment vertical="top"/>
      <protection locked="0"/>
    </xf>
    <xf numFmtId="164" fontId="3" fillId="0" borderId="0" applyFont="0" applyFill="0" applyBorder="0" applyAlignment="0" applyProtection="0"/>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68" fillId="0" borderId="1">
      <alignment horizontal="right"/>
    </xf>
    <xf numFmtId="173" fontId="8" fillId="0" borderId="0"/>
    <xf numFmtId="9" fontId="3" fillId="0" borderId="0" applyFont="0" applyFill="0" applyBorder="0" applyAlignment="0" applyProtection="0"/>
    <xf numFmtId="0" fontId="190" fillId="37" borderId="0" applyNumberFormat="0" applyBorder="0" applyAlignment="0" applyProtection="0"/>
    <xf numFmtId="173" fontId="228" fillId="0" borderId="1" applyNumberFormat="0" applyFill="0" applyBorder="0" applyAlignment="0" applyProtection="0">
      <alignment horizontal="right"/>
    </xf>
    <xf numFmtId="173" fontId="228" fillId="0" borderId="1" applyNumberFormat="0" applyFill="0" applyBorder="0" applyAlignment="0" applyProtection="0">
      <alignment horizontal="right"/>
    </xf>
    <xf numFmtId="0" fontId="190" fillId="47" borderId="0" applyNumberFormat="0" applyBorder="0" applyAlignment="0" applyProtection="0"/>
    <xf numFmtId="173" fontId="68" fillId="0" borderId="103">
      <alignment horizontal="right"/>
    </xf>
    <xf numFmtId="173" fontId="2" fillId="16" borderId="0" applyNumberFormat="0" applyBorder="0" applyAlignment="0" applyProtection="0"/>
    <xf numFmtId="173" fontId="2" fillId="17" borderId="0" applyNumberFormat="0" applyBorder="0" applyAlignment="0" applyProtection="0"/>
    <xf numFmtId="173" fontId="2" fillId="18" borderId="0" applyNumberFormat="0" applyBorder="0" applyAlignment="0" applyProtection="0"/>
    <xf numFmtId="173" fontId="2" fillId="19" borderId="0" applyNumberFormat="0" applyBorder="0" applyAlignment="0" applyProtection="0"/>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173" fontId="68" fillId="0" borderId="103">
      <alignment horizontal="right"/>
    </xf>
    <xf numFmtId="0" fontId="1" fillId="59" borderId="0" applyNumberFormat="0" applyBorder="0" applyAlignment="0" applyProtection="0"/>
    <xf numFmtId="0" fontId="190" fillId="62" borderId="0" applyNumberFormat="0" applyBorder="0" applyAlignment="0" applyProtection="0"/>
  </cellStyleXfs>
  <cellXfs count="3598">
    <xf numFmtId="173" fontId="0" fillId="0" borderId="1" xfId="0">
      <alignment horizontal="right"/>
    </xf>
    <xf numFmtId="173" fontId="12" fillId="0" borderId="0" xfId="0" applyFont="1" applyFill="1" applyBorder="1" applyAlignment="1" applyProtection="1">
      <alignment horizontal="center" vertical="center"/>
      <protection locked="0"/>
    </xf>
    <xf numFmtId="173" fontId="12" fillId="0" borderId="0" xfId="0" applyFont="1" applyFill="1" applyBorder="1" applyAlignment="1" applyProtection="1">
      <alignment horizontal="left" vertical="center"/>
      <protection locked="0"/>
    </xf>
    <xf numFmtId="173" fontId="11" fillId="0" borderId="0" xfId="0" applyFont="1" applyFill="1" applyBorder="1" applyProtection="1">
      <alignment horizontal="right"/>
      <protection locked="0"/>
    </xf>
    <xf numFmtId="173" fontId="13" fillId="0" borderId="0" xfId="0" applyFont="1" applyBorder="1" applyProtection="1">
      <alignment horizontal="right"/>
      <protection locked="0"/>
    </xf>
    <xf numFmtId="173" fontId="13" fillId="0" borderId="0" xfId="0" applyFont="1" applyBorder="1" applyAlignment="1" applyProtection="1">
      <alignment horizontal="center"/>
      <protection locked="0"/>
    </xf>
    <xf numFmtId="173" fontId="13" fillId="0" borderId="0" xfId="0" applyFont="1" applyFill="1" applyBorder="1" applyAlignment="1" applyProtection="1">
      <alignment horizontal="center"/>
      <protection locked="0"/>
    </xf>
    <xf numFmtId="173" fontId="13" fillId="0" borderId="0" xfId="0" applyFont="1" applyBorder="1" applyAlignment="1" applyProtection="1">
      <protection locked="0"/>
    </xf>
    <xf numFmtId="165" fontId="13" fillId="0" borderId="0" xfId="0" applyNumberFormat="1" applyFont="1" applyBorder="1" applyAlignment="1" applyProtection="1">
      <alignment horizontal="center"/>
      <protection locked="0"/>
    </xf>
    <xf numFmtId="165" fontId="13" fillId="0" borderId="0" xfId="0" applyNumberFormat="1" applyFont="1" applyFill="1" applyBorder="1" applyAlignment="1" applyProtection="1">
      <alignment horizontal="center"/>
      <protection locked="0"/>
    </xf>
    <xf numFmtId="165" fontId="13" fillId="0" borderId="0" xfId="0" applyNumberFormat="1" applyFont="1" applyBorder="1" applyProtection="1">
      <alignment horizontal="right"/>
      <protection locked="0"/>
    </xf>
    <xf numFmtId="165" fontId="13" fillId="0" borderId="0" xfId="0" applyNumberFormat="1" applyFont="1" applyFill="1" applyBorder="1" applyAlignment="1" applyProtection="1">
      <alignment horizontal="left"/>
      <protection locked="0"/>
    </xf>
    <xf numFmtId="173" fontId="15" fillId="0" borderId="0" xfId="0" applyFont="1" applyFill="1" applyBorder="1" applyAlignment="1" applyProtection="1">
      <alignment horizontal="center"/>
      <protection locked="0"/>
    </xf>
    <xf numFmtId="173" fontId="17" fillId="0" borderId="0" xfId="0" applyFont="1" applyFill="1" applyBorder="1" applyAlignment="1" applyProtection="1">
      <alignment horizontal="center"/>
      <protection locked="0"/>
    </xf>
    <xf numFmtId="173" fontId="15" fillId="0" borderId="0" xfId="0" applyFont="1" applyBorder="1" applyProtection="1">
      <alignment horizontal="right"/>
      <protection locked="0"/>
    </xf>
    <xf numFmtId="173" fontId="15" fillId="0" borderId="0" xfId="0" applyFont="1" applyFill="1" applyBorder="1" applyProtection="1">
      <alignment horizontal="right"/>
      <protection locked="0"/>
    </xf>
    <xf numFmtId="165" fontId="15" fillId="0" borderId="0" xfId="0" applyNumberFormat="1" applyFont="1" applyFill="1" applyBorder="1" applyAlignment="1" applyProtection="1">
      <alignment horizontal="center"/>
      <protection locked="0"/>
    </xf>
    <xf numFmtId="165" fontId="15" fillId="0" borderId="0" xfId="0" applyNumberFormat="1" applyFont="1" applyFill="1" applyBorder="1" applyAlignment="1" applyProtection="1">
      <alignment horizontal="left"/>
      <protection locked="0"/>
    </xf>
    <xf numFmtId="173" fontId="17" fillId="0" borderId="0" xfId="0" applyFont="1" applyFill="1" applyBorder="1" applyAlignment="1" applyProtection="1">
      <alignment horizontal="center" vertical="center"/>
      <protection locked="0"/>
    </xf>
    <xf numFmtId="165" fontId="15" fillId="0" borderId="0" xfId="0" applyNumberFormat="1" applyFont="1" applyFill="1" applyBorder="1" applyAlignment="1" applyProtection="1">
      <alignment horizontal="center" vertical="center"/>
      <protection locked="0"/>
    </xf>
    <xf numFmtId="165" fontId="15" fillId="0" borderId="0" xfId="0" applyNumberFormat="1" applyFont="1" applyFill="1" applyBorder="1" applyAlignment="1" applyProtection="1">
      <alignment horizontal="left" vertical="center"/>
      <protection locked="0"/>
    </xf>
    <xf numFmtId="173" fontId="15" fillId="0" borderId="0" xfId="0" applyFont="1" applyBorder="1" applyAlignment="1" applyProtection="1">
      <alignment horizontal="right" vertical="center"/>
      <protection locked="0"/>
    </xf>
    <xf numFmtId="165" fontId="19" fillId="0" borderId="0" xfId="0" applyNumberFormat="1" applyFont="1" applyBorder="1" applyAlignment="1" applyProtection="1">
      <alignment horizontal="center"/>
      <protection locked="0"/>
    </xf>
    <xf numFmtId="173" fontId="15" fillId="0" borderId="0" xfId="0" applyFont="1" applyFill="1" applyBorder="1" applyAlignment="1" applyProtection="1">
      <alignment horizontal="left" vertical="center"/>
      <protection locked="0"/>
    </xf>
    <xf numFmtId="165" fontId="17" fillId="0" borderId="0" xfId="0" applyNumberFormat="1" applyFont="1" applyFill="1" applyBorder="1" applyAlignment="1" applyProtection="1">
      <alignment horizontal="center" vertical="center"/>
      <protection locked="0"/>
    </xf>
    <xf numFmtId="165" fontId="17" fillId="0" borderId="0" xfId="0" applyNumberFormat="1" applyFont="1" applyFill="1" applyBorder="1" applyAlignment="1" applyProtection="1">
      <alignment horizontal="left" vertical="center"/>
      <protection locked="0"/>
    </xf>
    <xf numFmtId="173" fontId="17" fillId="0" borderId="0" xfId="0" applyFont="1" applyFill="1" applyBorder="1" applyAlignment="1" applyProtection="1">
      <alignment horizontal="right"/>
      <protection locked="0"/>
    </xf>
    <xf numFmtId="165" fontId="13" fillId="0" borderId="0" xfId="0" applyNumberFormat="1" applyFont="1" applyFill="1" applyBorder="1" applyAlignment="1" applyProtection="1">
      <alignment horizontal="center" vertical="center"/>
      <protection locked="0"/>
    </xf>
    <xf numFmtId="165" fontId="13" fillId="0" borderId="0" xfId="0" applyNumberFormat="1" applyFont="1" applyFill="1" applyBorder="1" applyAlignment="1" applyProtection="1">
      <alignment horizontal="left" vertical="center"/>
      <protection locked="0"/>
    </xf>
    <xf numFmtId="173" fontId="13" fillId="0" borderId="0" xfId="0" applyFont="1" applyBorder="1" applyAlignment="1" applyProtection="1">
      <alignment horizontal="right" vertical="center"/>
      <protection locked="0"/>
    </xf>
    <xf numFmtId="165" fontId="17" fillId="0" borderId="0" xfId="0" applyNumberFormat="1" applyFont="1" applyFill="1" applyBorder="1" applyAlignment="1" applyProtection="1">
      <alignment horizontal="center"/>
      <protection locked="0"/>
    </xf>
    <xf numFmtId="165" fontId="17" fillId="0" borderId="0" xfId="0" applyNumberFormat="1" applyFont="1" applyFill="1" applyBorder="1" applyAlignment="1" applyProtection="1">
      <alignment horizontal="left"/>
      <protection locked="0"/>
    </xf>
    <xf numFmtId="173" fontId="13" fillId="0" borderId="0" xfId="0" applyFont="1" applyFill="1" applyBorder="1" applyProtection="1">
      <alignment horizontal="right"/>
      <protection locked="0"/>
    </xf>
    <xf numFmtId="173" fontId="23" fillId="0" borderId="0" xfId="0" applyFont="1" applyBorder="1" applyAlignment="1" applyProtection="1">
      <alignment horizontal="center"/>
      <protection locked="0"/>
    </xf>
    <xf numFmtId="173" fontId="23" fillId="0" borderId="0" xfId="0" applyFont="1" applyFill="1" applyBorder="1" applyAlignment="1" applyProtection="1">
      <alignment horizontal="center"/>
      <protection locked="0"/>
    </xf>
    <xf numFmtId="173" fontId="15" fillId="0" borderId="0" xfId="0" applyFont="1" applyFill="1" applyBorder="1" applyAlignment="1" applyProtection="1">
      <alignment horizontal="right" vertical="center"/>
      <protection locked="0"/>
    </xf>
    <xf numFmtId="173" fontId="17" fillId="0" borderId="0" xfId="0" applyFont="1" applyFill="1" applyBorder="1" applyProtection="1">
      <alignment horizontal="right"/>
      <protection locked="0"/>
    </xf>
    <xf numFmtId="173" fontId="28" fillId="0" borderId="0" xfId="0" applyFont="1" applyBorder="1" applyProtection="1">
      <alignment horizontal="right"/>
      <protection locked="0"/>
    </xf>
    <xf numFmtId="173" fontId="17" fillId="0" borderId="0" xfId="0" applyFont="1" applyBorder="1" applyProtection="1">
      <alignment horizontal="right"/>
      <protection locked="0"/>
    </xf>
    <xf numFmtId="166" fontId="15" fillId="0" borderId="0" xfId="0" applyNumberFormat="1" applyFont="1" applyBorder="1" applyAlignment="1" applyProtection="1">
      <protection locked="0"/>
    </xf>
    <xf numFmtId="165" fontId="15" fillId="0" borderId="0" xfId="0" applyNumberFormat="1" applyFont="1" applyBorder="1" applyAlignment="1" applyProtection="1">
      <alignment horizontal="center"/>
      <protection locked="0"/>
    </xf>
    <xf numFmtId="173" fontId="17" fillId="0" borderId="0" xfId="0" applyFont="1" applyFill="1" applyBorder="1" applyAlignment="1" applyProtection="1">
      <alignment horizontal="right" vertical="center"/>
      <protection locked="0"/>
    </xf>
    <xf numFmtId="173" fontId="23" fillId="0" borderId="0" xfId="0" applyFont="1" applyBorder="1" applyAlignment="1" applyProtection="1">
      <alignment horizontal="right"/>
      <protection locked="0"/>
    </xf>
    <xf numFmtId="167" fontId="13" fillId="0" borderId="0" xfId="0" applyNumberFormat="1" applyFont="1" applyBorder="1" applyAlignment="1" applyProtection="1">
      <protection locked="0"/>
    </xf>
    <xf numFmtId="167" fontId="13" fillId="0" borderId="0" xfId="0" applyNumberFormat="1" applyFont="1" applyBorder="1" applyProtection="1">
      <alignment horizontal="right"/>
      <protection locked="0"/>
    </xf>
    <xf numFmtId="173" fontId="15" fillId="0" borderId="0" xfId="0" applyFont="1" applyBorder="1">
      <alignment horizontal="right"/>
    </xf>
    <xf numFmtId="173" fontId="15" fillId="0" borderId="0" xfId="0" applyFont="1" applyFill="1" applyBorder="1">
      <alignment horizontal="right"/>
    </xf>
    <xf numFmtId="173" fontId="15" fillId="0" borderId="0" xfId="0" applyFont="1" applyBorder="1" applyAlignment="1">
      <alignment horizontal="right" vertical="center"/>
    </xf>
    <xf numFmtId="173" fontId="22" fillId="0" borderId="0" xfId="0" applyFont="1" applyFill="1" applyBorder="1" applyAlignment="1">
      <alignment horizontal="center" vertical="center"/>
    </xf>
    <xf numFmtId="167" fontId="15" fillId="0" borderId="0" xfId="0" applyNumberFormat="1" applyFont="1" applyFill="1" applyBorder="1" applyAlignment="1" applyProtection="1">
      <protection locked="0"/>
    </xf>
    <xf numFmtId="167" fontId="47" fillId="0" borderId="0" xfId="0" applyNumberFormat="1" applyFont="1" applyFill="1" applyBorder="1" applyAlignment="1" applyProtection="1">
      <protection locked="0"/>
    </xf>
    <xf numFmtId="167" fontId="15" fillId="0" borderId="0" xfId="0" applyNumberFormat="1" applyFont="1" applyBorder="1" applyAlignment="1" applyProtection="1">
      <alignment vertical="center"/>
      <protection locked="0"/>
    </xf>
    <xf numFmtId="167" fontId="15" fillId="0" borderId="0" xfId="0" applyNumberFormat="1" applyFont="1" applyFill="1" applyBorder="1" applyAlignment="1" applyProtection="1">
      <alignment vertical="center"/>
      <protection locked="0"/>
    </xf>
    <xf numFmtId="173" fontId="15" fillId="0" borderId="0" xfId="0" applyFont="1" applyFill="1" applyBorder="1" applyAlignment="1" applyProtection="1">
      <alignment horizontal="left" indent="1"/>
      <protection locked="0"/>
    </xf>
    <xf numFmtId="173" fontId="15" fillId="0" borderId="0" xfId="0" applyFont="1" applyBorder="1" applyAlignment="1" applyProtection="1">
      <alignment horizontal="center" vertical="center"/>
      <protection locked="0"/>
    </xf>
    <xf numFmtId="173" fontId="19" fillId="0" borderId="0" xfId="0" applyFont="1" applyBorder="1" applyAlignment="1" applyProtection="1">
      <alignment horizontal="left" vertical="center" indent="1"/>
      <protection locked="0"/>
    </xf>
    <xf numFmtId="173" fontId="15" fillId="0" borderId="0" xfId="0" applyFont="1" applyBorder="1" applyAlignment="1" applyProtection="1">
      <alignment horizontal="left" vertical="center" indent="1"/>
      <protection locked="0"/>
    </xf>
    <xf numFmtId="167" fontId="15" fillId="0" borderId="0" xfId="0" applyNumberFormat="1" applyFont="1" applyBorder="1" applyAlignment="1" applyProtection="1">
      <alignment horizontal="center" vertical="center"/>
      <protection locked="0"/>
    </xf>
    <xf numFmtId="173" fontId="15" fillId="0" borderId="0" xfId="0" applyFont="1" applyBorder="1" applyAlignment="1" applyProtection="1">
      <alignment horizontal="left" vertical="center"/>
      <protection locked="0"/>
    </xf>
    <xf numFmtId="3" fontId="19" fillId="0" borderId="0" xfId="0" applyNumberFormat="1" applyFont="1" applyBorder="1" applyAlignment="1">
      <alignment vertical="center"/>
    </xf>
    <xf numFmtId="9" fontId="17" fillId="0" borderId="0" xfId="0" applyNumberFormat="1" applyFont="1" applyFill="1" applyBorder="1" applyAlignment="1">
      <alignment horizontal="center"/>
    </xf>
    <xf numFmtId="167" fontId="17" fillId="0" borderId="0" xfId="0" applyNumberFormat="1" applyFont="1" applyFill="1" applyBorder="1">
      <alignment horizontal="right"/>
    </xf>
    <xf numFmtId="9" fontId="37" fillId="0" borderId="0" xfId="0" applyNumberFormat="1" applyFont="1" applyFill="1" applyBorder="1" applyAlignment="1" applyProtection="1">
      <alignment horizontal="center" vertical="center"/>
      <protection locked="0"/>
    </xf>
    <xf numFmtId="169" fontId="57" fillId="0" borderId="0" xfId="0" applyNumberFormat="1" applyFont="1" applyBorder="1" applyAlignment="1">
      <alignment horizontal="center" vertical="center"/>
    </xf>
    <xf numFmtId="2" fontId="57" fillId="0" borderId="0" xfId="0" applyNumberFormat="1" applyFont="1" applyBorder="1" applyAlignment="1">
      <alignment horizontal="center" vertical="center"/>
    </xf>
    <xf numFmtId="2" fontId="57" fillId="0" borderId="0" xfId="0" applyNumberFormat="1" applyFont="1" applyBorder="1" applyAlignment="1" applyProtection="1">
      <alignment horizontal="center" vertical="center"/>
      <protection locked="0"/>
    </xf>
    <xf numFmtId="2" fontId="57" fillId="0" borderId="0" xfId="0" applyNumberFormat="1" applyFont="1" applyBorder="1" applyAlignment="1" applyProtection="1">
      <alignment horizontal="center" vertical="center"/>
      <protection hidden="1"/>
    </xf>
    <xf numFmtId="173" fontId="15" fillId="0" borderId="0" xfId="0" applyFont="1" applyBorder="1" applyAlignment="1">
      <alignment horizontal="right" vertical="top"/>
    </xf>
    <xf numFmtId="173" fontId="21" fillId="0" borderId="0" xfId="0" applyFont="1" applyBorder="1" applyAlignment="1" applyProtection="1">
      <alignment horizontal="right" vertical="center" indent="1"/>
      <protection hidden="1"/>
    </xf>
    <xf numFmtId="167" fontId="15" fillId="0" borderId="0" xfId="0" applyNumberFormat="1" applyFont="1" applyBorder="1">
      <alignment horizontal="right"/>
    </xf>
    <xf numFmtId="173" fontId="15" fillId="0" borderId="0" xfId="0" applyFont="1" applyBorder="1" applyProtection="1">
      <alignment horizontal="right"/>
      <protection hidden="1"/>
    </xf>
    <xf numFmtId="168" fontId="62" fillId="0" borderId="0" xfId="0" applyNumberFormat="1" applyFont="1" applyFill="1" applyBorder="1" applyAlignment="1" applyProtection="1">
      <protection locked="0"/>
    </xf>
    <xf numFmtId="168" fontId="38" fillId="0" borderId="0" xfId="0" applyNumberFormat="1" applyFont="1" applyFill="1" applyBorder="1" applyAlignment="1" applyProtection="1">
      <protection locked="0"/>
    </xf>
    <xf numFmtId="173" fontId="57" fillId="0" borderId="0" xfId="0" applyFont="1" applyFill="1" applyBorder="1" applyProtection="1">
      <alignment horizontal="right"/>
      <protection locked="0"/>
    </xf>
    <xf numFmtId="167" fontId="15" fillId="0" borderId="0" xfId="0" applyNumberFormat="1" applyFont="1" applyBorder="1" applyAlignment="1" applyProtection="1">
      <alignment horizontal="right" indent="1"/>
      <protection locked="0"/>
    </xf>
    <xf numFmtId="167" fontId="58" fillId="0" borderId="0" xfId="0" applyNumberFormat="1" applyFont="1" applyBorder="1" applyAlignment="1" applyProtection="1">
      <alignment horizontal="center"/>
      <protection locked="0"/>
    </xf>
    <xf numFmtId="173" fontId="13" fillId="0" borderId="0" xfId="0" applyFont="1" applyFill="1" applyBorder="1" applyAlignment="1" applyProtection="1">
      <alignment horizontal="right" vertical="center"/>
      <protection locked="0"/>
    </xf>
    <xf numFmtId="3" fontId="23" fillId="0" borderId="0" xfId="0" applyNumberFormat="1" applyFont="1" applyFill="1" applyBorder="1" applyAlignment="1" applyProtection="1">
      <alignment horizontal="right" vertical="center" indent="1"/>
      <protection locked="0"/>
    </xf>
    <xf numFmtId="173" fontId="19" fillId="0" borderId="0" xfId="0" applyFont="1" applyFill="1" applyBorder="1" applyProtection="1">
      <alignment horizontal="right"/>
      <protection hidden="1"/>
    </xf>
    <xf numFmtId="173" fontId="19" fillId="0" borderId="0" xfId="0" applyFont="1" applyBorder="1" applyAlignment="1" applyProtection="1">
      <alignment horizontal="left" vertical="center" wrapText="1" indent="1" shrinkToFit="1"/>
      <protection hidden="1"/>
    </xf>
    <xf numFmtId="173" fontId="15" fillId="0" borderId="0" xfId="0" applyFont="1" applyBorder="1" applyAlignment="1" applyProtection="1">
      <alignment horizontal="left" wrapText="1" indent="1" shrinkToFit="1"/>
      <protection hidden="1"/>
    </xf>
    <xf numFmtId="173" fontId="11" fillId="0" borderId="0" xfId="0" applyFont="1" applyBorder="1" applyProtection="1">
      <alignment horizontal="right"/>
      <protection hidden="1"/>
    </xf>
    <xf numFmtId="173" fontId="19" fillId="0" borderId="0" xfId="0" applyFont="1" applyBorder="1" applyAlignment="1" applyProtection="1">
      <alignment horizontal="left" vertical="center" indent="1"/>
      <protection hidden="1"/>
    </xf>
    <xf numFmtId="173" fontId="26" fillId="0" borderId="0" xfId="0" applyFont="1" applyFill="1" applyBorder="1" applyAlignment="1" applyProtection="1">
      <alignment horizontal="left" vertical="center" wrapText="1" indent="1" shrinkToFit="1"/>
      <protection hidden="1"/>
    </xf>
    <xf numFmtId="173" fontId="19" fillId="0" borderId="0" xfId="0" applyFont="1" applyFill="1" applyBorder="1" applyAlignment="1" applyProtection="1">
      <alignment horizontal="left" vertical="center" indent="1"/>
      <protection hidden="1"/>
    </xf>
    <xf numFmtId="173" fontId="19" fillId="0" borderId="0" xfId="0" applyFont="1" applyBorder="1" applyProtection="1">
      <alignment horizontal="right"/>
      <protection hidden="1"/>
    </xf>
    <xf numFmtId="173" fontId="14" fillId="0" borderId="0" xfId="7" applyFont="1" applyBorder="1" applyAlignment="1" applyProtection="1">
      <alignment horizontal="left" wrapText="1" indent="1" shrinkToFit="1"/>
      <protection hidden="1"/>
    </xf>
    <xf numFmtId="173" fontId="15" fillId="0" borderId="0" xfId="0" applyFont="1" applyFill="1" applyBorder="1" applyProtection="1">
      <alignment horizontal="right"/>
      <protection hidden="1"/>
    </xf>
    <xf numFmtId="173" fontId="12" fillId="0" borderId="0" xfId="0" applyFont="1" applyFill="1" applyBorder="1" applyAlignment="1" applyProtection="1">
      <alignment horizontal="left" vertical="center" wrapText="1" indent="1" shrinkToFit="1"/>
      <protection hidden="1"/>
    </xf>
    <xf numFmtId="173" fontId="15" fillId="0" borderId="0" xfId="0" applyFont="1" applyBorder="1" applyAlignment="1" applyProtection="1">
      <alignment horizontal="right" vertical="center"/>
      <protection hidden="1"/>
    </xf>
    <xf numFmtId="173" fontId="41" fillId="0" borderId="0" xfId="0" applyFont="1" applyFill="1" applyBorder="1" applyAlignment="1" applyProtection="1">
      <alignment horizontal="left" vertical="center" wrapText="1" indent="1" shrinkToFit="1"/>
      <protection hidden="1"/>
    </xf>
    <xf numFmtId="173" fontId="16" fillId="0" borderId="0" xfId="0" applyFont="1" applyFill="1" applyBorder="1" applyAlignment="1" applyProtection="1">
      <alignment horizontal="right" vertical="center"/>
      <protection hidden="1"/>
    </xf>
    <xf numFmtId="173" fontId="15" fillId="0" borderId="0" xfId="0" applyFont="1" applyFill="1" applyBorder="1" applyAlignment="1" applyProtection="1">
      <alignment horizontal="right" vertical="center"/>
      <protection hidden="1"/>
    </xf>
    <xf numFmtId="173" fontId="19" fillId="0" borderId="0" xfId="0" applyFont="1" applyBorder="1" applyAlignment="1" applyProtection="1">
      <alignment horizontal="left" vertical="center" wrapText="1" indent="1"/>
      <protection hidden="1"/>
    </xf>
    <xf numFmtId="173" fontId="15" fillId="0" borderId="0" xfId="0" applyFont="1" applyBorder="1" applyAlignment="1" applyProtection="1">
      <alignment horizontal="left" indent="1"/>
      <protection hidden="1"/>
    </xf>
    <xf numFmtId="173" fontId="22" fillId="0" borderId="0" xfId="0" applyFont="1" applyFill="1" applyBorder="1" applyAlignment="1" applyProtection="1">
      <alignment horizontal="left" vertical="center" wrapText="1" indent="1" shrinkToFit="1"/>
      <protection hidden="1"/>
    </xf>
    <xf numFmtId="173" fontId="19" fillId="0" borderId="0" xfId="0" applyFont="1" applyFill="1" applyBorder="1" applyAlignment="1" applyProtection="1">
      <alignment horizontal="left" vertical="center" wrapText="1" indent="1"/>
      <protection hidden="1"/>
    </xf>
    <xf numFmtId="173" fontId="15" fillId="0" borderId="0" xfId="0" applyFont="1" applyFill="1" applyBorder="1" applyAlignment="1" applyProtection="1">
      <alignment horizontal="left" indent="1"/>
      <protection hidden="1"/>
    </xf>
    <xf numFmtId="173" fontId="19" fillId="0" borderId="0" xfId="0" applyFont="1" applyBorder="1" applyAlignment="1" applyProtection="1">
      <alignment horizontal="left" vertical="center" wrapText="1"/>
      <protection hidden="1"/>
    </xf>
    <xf numFmtId="173" fontId="22" fillId="0" borderId="0" xfId="0" applyFont="1" applyBorder="1" applyAlignment="1" applyProtection="1">
      <alignment horizontal="left" vertical="center" wrapText="1" indent="1" shrinkToFit="1"/>
      <protection hidden="1"/>
    </xf>
    <xf numFmtId="173" fontId="14" fillId="0" borderId="0" xfId="7" applyFont="1" applyBorder="1" applyAlignment="1" applyProtection="1">
      <alignment horizontal="left" indent="1"/>
      <protection hidden="1"/>
    </xf>
    <xf numFmtId="173" fontId="12" fillId="0" borderId="0" xfId="0" applyFont="1" applyFill="1" applyBorder="1" applyAlignment="1" applyProtection="1">
      <alignment horizontal="left" wrapText="1" indent="1" shrinkToFit="1"/>
      <protection hidden="1"/>
    </xf>
    <xf numFmtId="173" fontId="17" fillId="0" borderId="0" xfId="0" applyFont="1" applyBorder="1" applyProtection="1">
      <alignment horizontal="right"/>
      <protection hidden="1"/>
    </xf>
    <xf numFmtId="173" fontId="85" fillId="0" borderId="0" xfId="0" applyFont="1" applyFill="1" applyBorder="1" applyAlignment="1" applyProtection="1">
      <alignment horizontal="left" vertical="center" wrapText="1" indent="1" shrinkToFit="1"/>
      <protection hidden="1"/>
    </xf>
    <xf numFmtId="173" fontId="17" fillId="0" borderId="0" xfId="0" applyFont="1" applyFill="1" applyBorder="1" applyAlignment="1" applyProtection="1">
      <alignment horizontal="left" vertical="center" indent="1"/>
      <protection hidden="1"/>
    </xf>
    <xf numFmtId="173" fontId="17" fillId="0" borderId="0" xfId="0" applyFont="1" applyFill="1" applyBorder="1" applyProtection="1">
      <alignment horizontal="right"/>
      <protection hidden="1"/>
    </xf>
    <xf numFmtId="173" fontId="17" fillId="0" borderId="0" xfId="0" applyFont="1" applyBorder="1" applyAlignment="1" applyProtection="1">
      <alignment horizontal="left" wrapText="1" indent="1" shrinkToFit="1"/>
      <protection hidden="1"/>
    </xf>
    <xf numFmtId="173" fontId="11" fillId="0" borderId="0" xfId="0" applyFont="1" applyFill="1" applyBorder="1" applyAlignment="1" applyProtection="1">
      <alignment horizontal="left" wrapText="1" indent="1" shrinkToFit="1"/>
      <protection hidden="1"/>
    </xf>
    <xf numFmtId="173" fontId="15" fillId="0" borderId="0" xfId="0" applyFont="1" applyBorder="1" applyAlignment="1" applyProtection="1">
      <alignment horizontal="left" vertical="center" indent="1"/>
      <protection hidden="1"/>
    </xf>
    <xf numFmtId="173" fontId="86" fillId="0" borderId="0" xfId="0" applyFont="1" applyFill="1" applyBorder="1" applyAlignment="1" applyProtection="1">
      <alignment horizontal="left" wrapText="1" indent="1" shrinkToFit="1"/>
      <protection hidden="1"/>
    </xf>
    <xf numFmtId="173" fontId="19" fillId="0" borderId="0" xfId="0" applyFont="1" applyBorder="1" applyAlignment="1" applyProtection="1">
      <alignment horizontal="right" vertical="center"/>
      <protection hidden="1"/>
    </xf>
    <xf numFmtId="173" fontId="19" fillId="0" borderId="0" xfId="0" applyFont="1" applyFill="1" applyBorder="1" applyAlignment="1" applyProtection="1">
      <alignment horizontal="right" vertical="center"/>
      <protection hidden="1"/>
    </xf>
    <xf numFmtId="173" fontId="15" fillId="0" borderId="0" xfId="0" applyFont="1" applyBorder="1" applyAlignment="1" applyProtection="1">
      <alignment horizontal="left" vertical="center"/>
      <protection hidden="1"/>
    </xf>
    <xf numFmtId="173" fontId="19" fillId="0" borderId="0" xfId="0" applyFont="1" applyBorder="1" applyAlignment="1" applyProtection="1">
      <alignment horizontal="left" vertical="center"/>
      <protection hidden="1"/>
    </xf>
    <xf numFmtId="173" fontId="15" fillId="0" borderId="0" xfId="0" applyFont="1" applyBorder="1" applyAlignment="1" applyProtection="1">
      <alignment horizontal="left"/>
      <protection hidden="1"/>
    </xf>
    <xf numFmtId="173" fontId="19" fillId="0" borderId="0" xfId="0" applyFont="1" applyFill="1" applyBorder="1" applyAlignment="1" applyProtection="1">
      <alignment horizontal="left" vertical="center"/>
      <protection hidden="1"/>
    </xf>
    <xf numFmtId="173" fontId="19" fillId="0" borderId="0" xfId="0" applyFont="1" applyBorder="1" applyAlignment="1" applyProtection="1">
      <alignment horizontal="left"/>
      <protection hidden="1"/>
    </xf>
    <xf numFmtId="173" fontId="22" fillId="0" borderId="0" xfId="0" applyFont="1" applyBorder="1" applyAlignment="1" applyProtection="1">
      <alignment horizontal="left" vertical="center" wrapText="1" shrinkToFit="1"/>
      <protection hidden="1"/>
    </xf>
    <xf numFmtId="173" fontId="19" fillId="0" borderId="0" xfId="0" applyFont="1" applyBorder="1" applyAlignment="1" applyProtection="1">
      <alignment horizontal="left" vertical="center" wrapText="1" shrinkToFit="1"/>
      <protection hidden="1"/>
    </xf>
    <xf numFmtId="173" fontId="19" fillId="0" borderId="0" xfId="0" quotePrefix="1" applyFont="1" applyBorder="1" applyAlignment="1" applyProtection="1">
      <alignment horizontal="left" vertical="center" wrapText="1" shrinkToFit="1"/>
      <protection hidden="1"/>
    </xf>
    <xf numFmtId="173" fontId="19" fillId="0" borderId="0" xfId="0" applyFont="1" applyBorder="1" applyAlignment="1">
      <alignment horizontal="left" vertical="center" wrapText="1" shrinkToFit="1"/>
    </xf>
    <xf numFmtId="173" fontId="12" fillId="0" borderId="0" xfId="0" applyFont="1" applyFill="1" applyBorder="1" applyAlignment="1" applyProtection="1">
      <alignment horizontal="left" vertical="center" wrapText="1" shrinkToFit="1"/>
      <protection hidden="1"/>
    </xf>
    <xf numFmtId="173" fontId="12" fillId="0" borderId="0" xfId="0" applyFont="1" applyFill="1" applyBorder="1" applyAlignment="1" applyProtection="1">
      <alignment horizontal="left" wrapText="1" shrinkToFit="1"/>
      <protection hidden="1"/>
    </xf>
    <xf numFmtId="173" fontId="84" fillId="0" borderId="0" xfId="0" applyFont="1" applyFill="1" applyBorder="1" applyAlignment="1" applyProtection="1">
      <alignment horizontal="left" wrapText="1" shrinkToFit="1"/>
      <protection hidden="1"/>
    </xf>
    <xf numFmtId="173" fontId="19" fillId="0" borderId="0" xfId="0" applyFont="1" applyFill="1" applyBorder="1" applyAlignment="1" applyProtection="1">
      <alignment horizontal="left" vertical="center" wrapText="1" shrinkToFit="1"/>
      <protection hidden="1"/>
    </xf>
    <xf numFmtId="173" fontId="22" fillId="0" borderId="0" xfId="0" applyFont="1" applyBorder="1" applyAlignment="1" applyProtection="1">
      <alignment horizontal="left" vertical="center"/>
      <protection hidden="1"/>
    </xf>
    <xf numFmtId="173" fontId="17" fillId="0" borderId="0" xfId="0" applyFont="1" applyBorder="1" applyAlignment="1" applyProtection="1">
      <alignment horizontal="left" wrapText="1" shrinkToFit="1"/>
      <protection hidden="1"/>
    </xf>
    <xf numFmtId="173" fontId="27" fillId="0" borderId="0" xfId="0" applyFont="1" applyBorder="1" applyAlignment="1" applyProtection="1">
      <alignment horizontal="left" vertical="center" wrapText="1" shrinkToFit="1"/>
      <protection hidden="1"/>
    </xf>
    <xf numFmtId="169" fontId="51" fillId="0" borderId="0" xfId="0" applyNumberFormat="1" applyFont="1" applyBorder="1" applyAlignment="1" applyProtection="1">
      <alignment horizontal="center"/>
      <protection locked="0"/>
    </xf>
    <xf numFmtId="173" fontId="19" fillId="0" borderId="0" xfId="0" applyFont="1" applyBorder="1" applyAlignment="1" applyProtection="1">
      <alignment vertical="center" wrapText="1" shrinkToFit="1"/>
      <protection hidden="1"/>
    </xf>
    <xf numFmtId="173" fontId="27" fillId="0" borderId="0" xfId="0" applyFont="1" applyBorder="1" applyAlignment="1" applyProtection="1">
      <alignment horizontal="left" vertical="center"/>
      <protection hidden="1"/>
    </xf>
    <xf numFmtId="173" fontId="19" fillId="0" borderId="0" xfId="0" quotePrefix="1" applyFont="1" applyFill="1" applyBorder="1" applyAlignment="1" applyProtection="1">
      <alignment horizontal="left" vertical="center" wrapText="1" shrinkToFit="1"/>
      <protection hidden="1"/>
    </xf>
    <xf numFmtId="173" fontId="22" fillId="0" borderId="0" xfId="0" applyFont="1" applyFill="1" applyBorder="1" applyAlignment="1" applyProtection="1">
      <alignment horizontal="left" vertical="center" wrapText="1" shrinkToFit="1"/>
      <protection hidden="1"/>
    </xf>
    <xf numFmtId="173" fontId="14" fillId="0" borderId="0" xfId="7" applyFont="1" applyBorder="1" applyAlignment="1" applyProtection="1">
      <alignment horizontal="left" wrapText="1" shrinkToFit="1"/>
      <protection hidden="1"/>
    </xf>
    <xf numFmtId="173" fontId="10" fillId="0" borderId="0" xfId="7" applyBorder="1" applyAlignment="1" applyProtection="1">
      <alignment horizontal="left" wrapText="1" shrinkToFit="1"/>
      <protection hidden="1"/>
    </xf>
    <xf numFmtId="173" fontId="14" fillId="0" borderId="0" xfId="7" applyFont="1" applyBorder="1" applyAlignment="1" applyProtection="1">
      <alignment horizontal="left" vertical="center" wrapText="1" shrinkToFit="1"/>
      <protection hidden="1"/>
    </xf>
    <xf numFmtId="173" fontId="30" fillId="0" borderId="0" xfId="0" applyFont="1" applyBorder="1" applyAlignment="1" applyProtection="1">
      <alignment horizontal="left" vertical="center"/>
      <protection locked="0"/>
    </xf>
    <xf numFmtId="173" fontId="19" fillId="0" borderId="0" xfId="0" applyFont="1" applyFill="1" applyBorder="1" applyAlignment="1" applyProtection="1">
      <alignment horizontal="left" vertical="center" indent="1"/>
      <protection locked="0"/>
    </xf>
    <xf numFmtId="173" fontId="13" fillId="0" borderId="0" xfId="0" applyFont="1" applyFill="1" applyBorder="1" applyAlignment="1" applyProtection="1">
      <alignment horizontal="left"/>
      <protection locked="0"/>
    </xf>
    <xf numFmtId="165" fontId="78" fillId="0" borderId="0" xfId="0" applyNumberFormat="1" applyFont="1" applyFill="1" applyBorder="1" applyAlignment="1" applyProtection="1">
      <alignment horizontal="center" vertical="center"/>
      <protection locked="0"/>
    </xf>
    <xf numFmtId="165" fontId="78" fillId="0" borderId="0" xfId="0" applyNumberFormat="1" applyFont="1" applyFill="1" applyBorder="1" applyAlignment="1" applyProtection="1">
      <alignment horizontal="left" vertical="center"/>
      <protection locked="0"/>
    </xf>
    <xf numFmtId="167" fontId="16" fillId="0" borderId="0" xfId="0" applyNumberFormat="1" applyFont="1" applyFill="1" applyBorder="1" applyAlignment="1" applyProtection="1">
      <alignment horizontal="right" vertical="center"/>
      <protection locked="0"/>
    </xf>
    <xf numFmtId="169" fontId="31" fillId="0" borderId="0" xfId="0" applyNumberFormat="1" applyFont="1" applyFill="1" applyBorder="1" applyAlignment="1" applyProtection="1">
      <alignment horizontal="center" vertical="center"/>
      <protection hidden="1"/>
    </xf>
    <xf numFmtId="174" fontId="53" fillId="0" borderId="0" xfId="0" applyNumberFormat="1" applyFont="1" applyFill="1" applyBorder="1" applyAlignment="1" applyProtection="1">
      <alignment horizontal="center" vertical="center"/>
      <protection locked="0"/>
    </xf>
    <xf numFmtId="167" fontId="45" fillId="0" borderId="0" xfId="0" applyNumberFormat="1" applyFont="1" applyFill="1" applyBorder="1" applyAlignment="1" applyProtection="1">
      <alignment horizontal="right" vertical="center"/>
      <protection locked="0"/>
    </xf>
    <xf numFmtId="173" fontId="67" fillId="0" borderId="0" xfId="0" applyFont="1" applyFill="1" applyBorder="1" applyAlignment="1" applyProtection="1">
      <alignment vertical="center"/>
      <protection locked="0"/>
    </xf>
    <xf numFmtId="173" fontId="19" fillId="0" borderId="0" xfId="0" applyFont="1" applyFill="1" applyBorder="1" applyProtection="1">
      <alignment horizontal="right"/>
      <protection locked="0"/>
    </xf>
    <xf numFmtId="173" fontId="19" fillId="0" borderId="0" xfId="0" applyFont="1" applyFill="1" applyBorder="1" applyAlignment="1" applyProtection="1">
      <alignment horizontal="left" vertical="top"/>
      <protection locked="0"/>
    </xf>
    <xf numFmtId="173" fontId="19" fillId="0" borderId="0" xfId="0" applyFont="1" applyBorder="1" applyProtection="1">
      <alignment horizontal="right"/>
      <protection locked="0"/>
    </xf>
    <xf numFmtId="173" fontId="35" fillId="0" borderId="0" xfId="0" applyFont="1" applyFill="1" applyBorder="1" applyAlignment="1" applyProtection="1">
      <alignment horizontal="left" vertical="center" indent="1"/>
      <protection locked="0"/>
    </xf>
    <xf numFmtId="173" fontId="19" fillId="0" borderId="0" xfId="0" applyFont="1" applyFill="1" applyBorder="1" applyAlignment="1" applyProtection="1">
      <alignment horizontal="right" vertical="center"/>
      <protection locked="0"/>
    </xf>
    <xf numFmtId="173" fontId="19" fillId="0" borderId="0" xfId="0" applyFont="1" applyFill="1" applyBorder="1" applyAlignment="1" applyProtection="1">
      <alignment horizontal="left"/>
      <protection locked="0"/>
    </xf>
    <xf numFmtId="173" fontId="81" fillId="0" borderId="0" xfId="0" applyFont="1" applyFill="1" applyBorder="1" applyAlignment="1" applyProtection="1">
      <alignment horizontal="left" vertical="center"/>
      <protection locked="0"/>
    </xf>
    <xf numFmtId="173" fontId="19" fillId="0" borderId="0" xfId="0" applyFont="1" applyFill="1" applyBorder="1" applyAlignment="1" applyProtection="1">
      <alignment horizontal="left" wrapText="1" indent="1"/>
      <protection locked="0"/>
    </xf>
    <xf numFmtId="173" fontId="19" fillId="0" borderId="0" xfId="0" applyFont="1" applyBorder="1" applyAlignment="1" applyProtection="1">
      <alignment horizontal="left" wrapText="1" indent="1"/>
      <protection locked="0"/>
    </xf>
    <xf numFmtId="173" fontId="19" fillId="0" borderId="0" xfId="0" applyFont="1" applyFill="1" applyBorder="1" applyAlignment="1" applyProtection="1">
      <alignment horizontal="right" wrapText="1"/>
      <protection locked="0"/>
    </xf>
    <xf numFmtId="173" fontId="19" fillId="0" borderId="0" xfId="0" applyFont="1" applyBorder="1" applyAlignment="1" applyProtection="1">
      <alignment horizontal="right" wrapText="1"/>
      <protection locked="0"/>
    </xf>
    <xf numFmtId="173" fontId="19" fillId="0" borderId="0" xfId="0" applyFont="1" applyBorder="1" applyAlignment="1" applyProtection="1">
      <alignment horizontal="left" vertical="center"/>
      <protection locked="0"/>
    </xf>
    <xf numFmtId="173" fontId="81" fillId="0" borderId="0" xfId="0" applyFont="1" applyBorder="1" applyAlignment="1" applyProtection="1">
      <alignment horizontal="right" vertical="center"/>
      <protection locked="0"/>
    </xf>
    <xf numFmtId="173" fontId="19" fillId="0" borderId="0" xfId="0" applyFont="1" applyFill="1" applyBorder="1" applyAlignment="1" applyProtection="1">
      <alignment horizontal="left" indent="1"/>
      <protection locked="0"/>
    </xf>
    <xf numFmtId="173" fontId="81" fillId="0" borderId="0" xfId="0" applyFont="1" applyFill="1" applyBorder="1" applyAlignment="1" applyProtection="1">
      <alignment horizontal="right" vertical="center"/>
      <protection locked="0"/>
    </xf>
    <xf numFmtId="173" fontId="19" fillId="0" borderId="0" xfId="0" applyFont="1" applyFill="1" applyBorder="1" applyAlignment="1" applyProtection="1">
      <alignment horizontal="left" vertical="top" wrapText="1" indent="1"/>
      <protection locked="0"/>
    </xf>
    <xf numFmtId="173" fontId="19" fillId="0" borderId="0" xfId="0" applyFont="1" applyBorder="1" applyAlignment="1" applyProtection="1">
      <alignment horizontal="right"/>
      <protection locked="0"/>
    </xf>
    <xf numFmtId="173" fontId="19" fillId="0" borderId="0" xfId="0" applyFont="1" applyFill="1" applyBorder="1" applyAlignment="1" applyProtection="1">
      <protection locked="0"/>
    </xf>
    <xf numFmtId="173" fontId="81" fillId="0" borderId="0" xfId="0" applyFont="1" applyFill="1" applyBorder="1" applyAlignment="1" applyProtection="1">
      <alignment horizontal="left" vertical="center" wrapText="1"/>
      <protection locked="0"/>
    </xf>
    <xf numFmtId="173" fontId="81" fillId="0" borderId="0" xfId="0" applyFont="1" applyBorder="1" applyAlignment="1" applyProtection="1">
      <alignment horizontal="left" vertical="center" wrapText="1"/>
      <protection locked="0"/>
    </xf>
    <xf numFmtId="173" fontId="67" fillId="0" borderId="0" xfId="0" applyFont="1" applyFill="1" applyBorder="1" applyAlignment="1" applyProtection="1">
      <alignment horizontal="left" vertical="center"/>
      <protection locked="0"/>
    </xf>
    <xf numFmtId="173" fontId="19" fillId="0" borderId="0" xfId="0" applyFont="1" applyFill="1" applyBorder="1" applyAlignment="1" applyProtection="1">
      <alignment horizontal="left" vertical="center"/>
      <protection locked="0"/>
    </xf>
    <xf numFmtId="173" fontId="19" fillId="0" borderId="0" xfId="0" applyFont="1" applyBorder="1" applyAlignment="1" applyProtection="1">
      <alignment horizontal="right" vertical="center"/>
      <protection locked="0"/>
    </xf>
    <xf numFmtId="9" fontId="92" fillId="0" borderId="0" xfId="0" applyNumberFormat="1" applyFont="1" applyFill="1" applyBorder="1" applyAlignment="1" applyProtection="1">
      <alignment horizontal="center" vertical="center"/>
      <protection locked="0"/>
    </xf>
    <xf numFmtId="173" fontId="101" fillId="0" borderId="0" xfId="0" applyFont="1" applyBorder="1" applyAlignment="1" applyProtection="1">
      <alignment horizontal="left" vertical="center" indent="1"/>
      <protection hidden="1"/>
    </xf>
    <xf numFmtId="3" fontId="48" fillId="0" borderId="0" xfId="0" applyNumberFormat="1" applyFont="1" applyFill="1" applyBorder="1" applyAlignment="1" applyProtection="1">
      <alignment horizontal="right" vertical="center" indent="1"/>
      <protection locked="0"/>
    </xf>
    <xf numFmtId="173" fontId="25" fillId="0" borderId="0" xfId="0" applyFont="1" applyFill="1" applyBorder="1" applyProtection="1">
      <alignment horizontal="right"/>
      <protection locked="0"/>
    </xf>
    <xf numFmtId="173" fontId="25" fillId="0" borderId="0" xfId="0" applyFont="1" applyBorder="1" applyProtection="1">
      <alignment horizontal="right"/>
      <protection locked="0"/>
    </xf>
    <xf numFmtId="173" fontId="25" fillId="0" borderId="0" xfId="0" applyFont="1" applyFill="1" applyBorder="1" applyAlignment="1" applyProtection="1">
      <alignment horizontal="left" wrapText="1" indent="1"/>
      <protection locked="0"/>
    </xf>
    <xf numFmtId="173" fontId="25" fillId="0" borderId="0" xfId="0" applyFont="1" applyBorder="1" applyAlignment="1" applyProtection="1">
      <alignment horizontal="left" wrapText="1" indent="1"/>
      <protection locked="0"/>
    </xf>
    <xf numFmtId="173" fontId="25" fillId="0" borderId="0" xfId="0" applyFont="1" applyFill="1" applyBorder="1" applyAlignment="1" applyProtection="1">
      <alignment horizontal="center" wrapText="1"/>
      <protection locked="0"/>
    </xf>
    <xf numFmtId="173" fontId="25" fillId="0" borderId="0" xfId="0" applyFont="1" applyFill="1" applyBorder="1" applyAlignment="1" applyProtection="1">
      <alignment horizontal="right" wrapText="1"/>
      <protection locked="0"/>
    </xf>
    <xf numFmtId="173" fontId="43" fillId="0" borderId="0" xfId="0" applyFont="1" applyFill="1" applyBorder="1" applyAlignment="1" applyProtection="1">
      <alignment horizontal="left" vertical="center" indent="1"/>
      <protection locked="0"/>
    </xf>
    <xf numFmtId="173" fontId="25" fillId="0" borderId="0" xfId="0" applyFont="1" applyFill="1" applyBorder="1" applyAlignment="1" applyProtection="1">
      <alignment horizontal="right" vertical="center"/>
      <protection locked="0"/>
    </xf>
    <xf numFmtId="173" fontId="30" fillId="0" borderId="0" xfId="0" applyFont="1" applyBorder="1" applyProtection="1">
      <alignment horizontal="right"/>
      <protection locked="0"/>
    </xf>
    <xf numFmtId="173" fontId="25" fillId="0" borderId="0" xfId="0" applyFont="1" applyBorder="1" applyAlignment="1" applyProtection="1">
      <alignment horizontal="right" wrapText="1"/>
      <protection locked="0"/>
    </xf>
    <xf numFmtId="173" fontId="25" fillId="0" borderId="0" xfId="0" applyFont="1" applyFill="1" applyBorder="1" applyAlignment="1" applyProtection="1">
      <alignment horizontal="left"/>
      <protection locked="0"/>
    </xf>
    <xf numFmtId="173" fontId="25" fillId="0" borderId="0" xfId="0" applyFont="1" applyBorder="1" applyAlignment="1" applyProtection="1">
      <alignment horizontal="left" vertical="top" indent="1"/>
      <protection locked="0"/>
    </xf>
    <xf numFmtId="173" fontId="25" fillId="0" borderId="0" xfId="0" applyFont="1" applyFill="1" applyBorder="1" applyAlignment="1" applyProtection="1">
      <alignment horizontal="left" vertical="top" indent="1"/>
      <protection locked="0"/>
    </xf>
    <xf numFmtId="173" fontId="30" fillId="0" borderId="0" xfId="0" applyFont="1" applyFill="1" applyBorder="1" applyAlignment="1" applyProtection="1">
      <alignment horizontal="left" vertical="center"/>
      <protection locked="0"/>
    </xf>
    <xf numFmtId="173" fontId="25" fillId="0" borderId="0" xfId="0" applyFont="1" applyBorder="1" applyAlignment="1" applyProtection="1">
      <alignment horizontal="left" vertical="center"/>
      <protection locked="0"/>
    </xf>
    <xf numFmtId="173" fontId="25" fillId="0" borderId="0" xfId="0" applyFont="1" applyFill="1" applyBorder="1" applyAlignment="1" applyProtection="1">
      <alignment horizontal="left" vertical="center"/>
      <protection locked="0"/>
    </xf>
    <xf numFmtId="173" fontId="25" fillId="0" borderId="0" xfId="0" applyFont="1" applyBorder="1" applyAlignment="1" applyProtection="1">
      <alignment horizontal="left" indent="1"/>
      <protection locked="0"/>
    </xf>
    <xf numFmtId="173" fontId="25" fillId="0" borderId="0" xfId="0" applyFont="1" applyBorder="1" applyAlignment="1" applyProtection="1">
      <protection locked="0"/>
    </xf>
    <xf numFmtId="173" fontId="25" fillId="0" borderId="0" xfId="0" applyFont="1" applyFill="1" applyBorder="1" applyAlignment="1" applyProtection="1">
      <alignment horizontal="left" indent="1"/>
      <protection locked="0"/>
    </xf>
    <xf numFmtId="173" fontId="25" fillId="0" borderId="0" xfId="0" applyFont="1" applyBorder="1" applyAlignment="1" applyProtection="1">
      <alignment horizontal="right" vertical="center"/>
      <protection locked="0"/>
    </xf>
    <xf numFmtId="173" fontId="25" fillId="0" borderId="0" xfId="0" applyFont="1" applyFill="1" applyBorder="1" applyAlignment="1" applyProtection="1">
      <alignment horizontal="left" vertical="top" wrapText="1" indent="1"/>
      <protection locked="0"/>
    </xf>
    <xf numFmtId="173" fontId="25" fillId="0" borderId="0" xfId="27" applyFont="1" applyAlignment="1" applyProtection="1">
      <alignment horizontal="left" vertical="center"/>
      <protection locked="0"/>
    </xf>
    <xf numFmtId="173" fontId="13" fillId="0" borderId="6" xfId="0" applyFont="1" applyBorder="1" applyAlignment="1" applyProtection="1">
      <alignment horizontal="center" vertical="center"/>
      <protection locked="0" hidden="1"/>
    </xf>
    <xf numFmtId="170" fontId="39" fillId="0" borderId="4" xfId="0" applyNumberFormat="1" applyFont="1" applyFill="1" applyBorder="1" applyAlignment="1" applyProtection="1">
      <alignment horizontal="center" vertical="center"/>
      <protection locked="0"/>
    </xf>
    <xf numFmtId="173" fontId="106" fillId="0" borderId="0" xfId="0" applyFont="1" applyBorder="1" applyAlignment="1" applyProtection="1">
      <alignment horizontal="right" vertical="center"/>
      <protection locked="0"/>
    </xf>
    <xf numFmtId="165" fontId="106" fillId="0" borderId="0" xfId="0" applyNumberFormat="1" applyFont="1" applyFill="1" applyBorder="1" applyAlignment="1" applyProtection="1">
      <alignment horizontal="center" vertical="center"/>
      <protection locked="0"/>
    </xf>
    <xf numFmtId="165" fontId="106" fillId="0" borderId="0" xfId="0" applyNumberFormat="1" applyFont="1" applyFill="1" applyBorder="1" applyAlignment="1" applyProtection="1">
      <alignment horizontal="left" vertical="center"/>
      <protection locked="0"/>
    </xf>
    <xf numFmtId="173" fontId="106" fillId="0" borderId="0" xfId="0" applyFont="1" applyFill="1" applyBorder="1" applyAlignment="1" applyProtection="1">
      <alignment horizontal="right" vertical="center"/>
      <protection locked="0"/>
    </xf>
    <xf numFmtId="173" fontId="15" fillId="0" borderId="0" xfId="0" applyFont="1" applyFill="1" applyBorder="1" applyAlignment="1" applyProtection="1">
      <alignment horizontal="center" vertical="center"/>
      <protection locked="0"/>
    </xf>
    <xf numFmtId="173" fontId="19" fillId="0" borderId="0" xfId="0" applyFont="1" applyBorder="1" applyAlignment="1" applyProtection="1">
      <alignment horizontal="right"/>
      <protection hidden="1"/>
    </xf>
    <xf numFmtId="173" fontId="28" fillId="0" borderId="0" xfId="0" applyFont="1" applyBorder="1" applyAlignment="1" applyProtection="1">
      <alignment horizontal="right" vertical="center"/>
      <protection locked="0"/>
    </xf>
    <xf numFmtId="173" fontId="74" fillId="0" borderId="0" xfId="0" applyFont="1" applyBorder="1" applyProtection="1">
      <alignment horizontal="right"/>
      <protection locked="0"/>
    </xf>
    <xf numFmtId="173" fontId="25" fillId="0" borderId="0" xfId="0" applyFont="1" applyBorder="1" applyAlignment="1" applyProtection="1">
      <alignment horizontal="center" vertical="center"/>
      <protection locked="0"/>
    </xf>
    <xf numFmtId="173" fontId="11" fillId="0" borderId="0" xfId="0" applyFont="1" applyBorder="1" applyProtection="1">
      <alignment horizontal="right"/>
      <protection locked="0"/>
    </xf>
    <xf numFmtId="167" fontId="19" fillId="0" borderId="0" xfId="0" applyNumberFormat="1" applyFont="1" applyBorder="1" applyAlignment="1" applyProtection="1">
      <alignment vertical="center"/>
      <protection locked="0"/>
    </xf>
    <xf numFmtId="9" fontId="19" fillId="0" borderId="0" xfId="0" applyNumberFormat="1" applyFont="1" applyBorder="1" applyAlignment="1" applyProtection="1">
      <alignment horizontal="center" vertical="center"/>
      <protection locked="0"/>
    </xf>
    <xf numFmtId="185" fontId="19" fillId="0" borderId="0" xfId="0" applyNumberFormat="1" applyFont="1" applyBorder="1" applyAlignment="1" applyProtection="1">
      <alignment horizontal="center" vertical="center"/>
      <protection locked="0"/>
    </xf>
    <xf numFmtId="167" fontId="15" fillId="0" borderId="0" xfId="0" applyNumberFormat="1" applyFont="1" applyBorder="1" applyProtection="1">
      <alignment horizontal="right"/>
      <protection locked="0"/>
    </xf>
    <xf numFmtId="167" fontId="15" fillId="0" borderId="0" xfId="0" applyNumberFormat="1" applyFont="1" applyFill="1" applyBorder="1" applyProtection="1">
      <alignment horizontal="right"/>
      <protection locked="0"/>
    </xf>
    <xf numFmtId="173" fontId="15" fillId="0" borderId="0" xfId="0" applyFont="1" applyBorder="1" applyAlignment="1" applyProtection="1">
      <alignment horizontal="center"/>
      <protection locked="0"/>
    </xf>
    <xf numFmtId="167" fontId="17" fillId="0" borderId="0" xfId="0" applyNumberFormat="1" applyFont="1" applyFill="1" applyBorder="1" applyAlignment="1" applyProtection="1">
      <alignment horizontal="center"/>
      <protection locked="0"/>
    </xf>
    <xf numFmtId="167" fontId="16" fillId="0" borderId="0" xfId="0" applyNumberFormat="1" applyFont="1" applyFill="1" applyBorder="1" applyAlignment="1" applyProtection="1">
      <alignment horizontal="center" vertical="center"/>
      <protection locked="0"/>
    </xf>
    <xf numFmtId="173" fontId="36" fillId="0" borderId="0" xfId="0" applyFont="1" applyFill="1" applyBorder="1" applyAlignment="1" applyProtection="1">
      <alignment horizontal="center" vertical="center" textRotation="90"/>
      <protection locked="0"/>
    </xf>
    <xf numFmtId="167" fontId="42" fillId="0" borderId="0" xfId="0" applyNumberFormat="1" applyFont="1" applyFill="1" applyBorder="1" applyAlignment="1" applyProtection="1">
      <alignment horizontal="center" vertical="center"/>
      <protection locked="0"/>
    </xf>
    <xf numFmtId="173" fontId="44" fillId="0" borderId="0" xfId="0" applyFont="1" applyFill="1" applyBorder="1" applyAlignment="1" applyProtection="1">
      <alignment horizontal="left" vertical="center" indent="1"/>
      <protection locked="0"/>
    </xf>
    <xf numFmtId="173" fontId="17" fillId="0" borderId="0" xfId="0" applyFont="1" applyFill="1" applyBorder="1" applyAlignment="1" applyProtection="1">
      <alignment horizontal="left" vertical="center" indent="1"/>
      <protection locked="0"/>
    </xf>
    <xf numFmtId="167" fontId="17" fillId="0" borderId="0" xfId="0" applyNumberFormat="1" applyFont="1" applyFill="1" applyBorder="1" applyAlignment="1" applyProtection="1">
      <alignment horizontal="center" vertical="center"/>
      <protection locked="0"/>
    </xf>
    <xf numFmtId="167" fontId="15" fillId="0" borderId="0" xfId="0" applyNumberFormat="1" applyFont="1" applyFill="1" applyBorder="1" applyAlignment="1" applyProtection="1">
      <alignment horizontal="center"/>
      <protection locked="0"/>
    </xf>
    <xf numFmtId="167" fontId="47" fillId="0" borderId="0" xfId="0" applyNumberFormat="1" applyFont="1" applyFill="1" applyBorder="1" applyAlignment="1" applyProtection="1">
      <alignment horizontal="right" vertical="center" indent="1"/>
      <protection locked="0"/>
    </xf>
    <xf numFmtId="173" fontId="0" fillId="0" borderId="0" xfId="0" applyBorder="1" applyProtection="1">
      <alignment horizontal="right"/>
      <protection locked="0"/>
    </xf>
    <xf numFmtId="173" fontId="41" fillId="0" borderId="0" xfId="0" applyFont="1" applyFill="1" applyBorder="1" applyAlignment="1" applyProtection="1">
      <alignment horizontal="center" vertical="center" wrapText="1"/>
      <protection locked="0"/>
    </xf>
    <xf numFmtId="173" fontId="0" fillId="0" borderId="0" xfId="0" applyFill="1" applyBorder="1" applyAlignment="1" applyProtection="1">
      <alignment horizontal="right" vertical="center" indent="1"/>
      <protection locked="0"/>
    </xf>
    <xf numFmtId="173" fontId="45" fillId="0" borderId="0" xfId="0" applyFont="1" applyFill="1" applyBorder="1" applyAlignment="1" applyProtection="1">
      <alignment horizontal="left" vertical="center" wrapText="1" indent="2"/>
      <protection locked="0"/>
    </xf>
    <xf numFmtId="167" fontId="45" fillId="0" borderId="0" xfId="0" applyNumberFormat="1" applyFont="1" applyFill="1" applyBorder="1" applyAlignment="1" applyProtection="1">
      <alignment vertical="center"/>
      <protection locked="0"/>
    </xf>
    <xf numFmtId="173" fontId="22" fillId="0" borderId="0" xfId="0" applyFont="1" applyFill="1" applyBorder="1" applyAlignment="1" applyProtection="1">
      <alignment horizontal="right" vertical="center" indent="1"/>
      <protection locked="0"/>
    </xf>
    <xf numFmtId="167" fontId="47" fillId="0" borderId="0" xfId="0" applyNumberFormat="1" applyFont="1" applyFill="1" applyBorder="1" applyAlignment="1" applyProtection="1">
      <alignment vertical="center"/>
      <protection locked="0"/>
    </xf>
    <xf numFmtId="173" fontId="48" fillId="0" borderId="0" xfId="0" applyFont="1" applyFill="1" applyBorder="1" applyAlignment="1" applyProtection="1">
      <alignment horizontal="right" vertical="center"/>
      <protection locked="0"/>
    </xf>
    <xf numFmtId="167" fontId="56" fillId="0" borderId="0" xfId="0" applyNumberFormat="1" applyFont="1" applyFill="1" applyBorder="1" applyAlignment="1" applyProtection="1">
      <alignment horizontal="right" vertical="center" indent="1"/>
      <protection locked="0"/>
    </xf>
    <xf numFmtId="173" fontId="30" fillId="0" borderId="0" xfId="0" applyFont="1" applyFill="1" applyBorder="1" applyAlignment="1" applyProtection="1">
      <alignment horizontal="right" vertical="center" indent="1"/>
      <protection locked="0"/>
    </xf>
    <xf numFmtId="3" fontId="30" fillId="0" borderId="0" xfId="0" applyNumberFormat="1" applyFont="1" applyFill="1" applyBorder="1" applyAlignment="1" applyProtection="1">
      <alignment vertical="center"/>
      <protection locked="0"/>
    </xf>
    <xf numFmtId="3" fontId="22" fillId="0" borderId="0" xfId="0" applyNumberFormat="1" applyFont="1" applyFill="1" applyBorder="1" applyAlignment="1" applyProtection="1">
      <alignment vertical="center"/>
      <protection locked="0"/>
    </xf>
    <xf numFmtId="173" fontId="0" fillId="0" borderId="0" xfId="0" applyBorder="1" applyAlignment="1" applyProtection="1">
      <alignment horizontal="left" vertical="center" indent="1"/>
      <protection locked="0"/>
    </xf>
    <xf numFmtId="173" fontId="19" fillId="0" borderId="0" xfId="0" applyFont="1" applyBorder="1" applyAlignment="1" applyProtection="1">
      <alignment vertical="center"/>
      <protection locked="0"/>
    </xf>
    <xf numFmtId="173" fontId="17" fillId="0" borderId="0" xfId="0" applyFont="1" applyBorder="1" applyAlignment="1" applyProtection="1">
      <alignment horizontal="right" vertical="center" indent="1"/>
      <protection locked="0"/>
    </xf>
    <xf numFmtId="173" fontId="15" fillId="0" borderId="0" xfId="0" applyFont="1" applyBorder="1" applyAlignment="1" applyProtection="1">
      <alignment horizontal="right" vertical="center" indent="1"/>
      <protection locked="0"/>
    </xf>
    <xf numFmtId="167" fontId="52" fillId="0" borderId="0" xfId="0" applyNumberFormat="1" applyFont="1" applyFill="1" applyBorder="1" applyAlignment="1" applyProtection="1">
      <alignment vertical="center"/>
      <protection locked="0"/>
    </xf>
    <xf numFmtId="173" fontId="30" fillId="0" borderId="0" xfId="0" applyFont="1" applyFill="1" applyBorder="1" applyAlignment="1" applyProtection="1">
      <alignment horizontal="right" vertical="center"/>
      <protection locked="0"/>
    </xf>
    <xf numFmtId="173" fontId="15" fillId="0" borderId="0" xfId="0" applyFont="1" applyFill="1" applyBorder="1" applyAlignment="1" applyProtection="1">
      <alignment horizontal="right" vertical="center" indent="1"/>
      <protection locked="0"/>
    </xf>
    <xf numFmtId="167" fontId="38" fillId="0" borderId="0" xfId="0" applyNumberFormat="1" applyFont="1" applyBorder="1" applyAlignment="1" applyProtection="1">
      <alignment horizontal="right" vertical="center" indent="1"/>
      <protection locked="0"/>
    </xf>
    <xf numFmtId="183" fontId="92" fillId="0" borderId="0" xfId="0" applyNumberFormat="1" applyFont="1" applyBorder="1" applyAlignment="1" applyProtection="1">
      <alignment horizontal="center" vertical="center"/>
      <protection locked="0"/>
    </xf>
    <xf numFmtId="183" fontId="62" fillId="0" borderId="0" xfId="0" applyNumberFormat="1" applyFont="1" applyBorder="1" applyAlignment="1" applyProtection="1">
      <alignment horizontal="center" vertical="center"/>
      <protection locked="0"/>
    </xf>
    <xf numFmtId="167" fontId="15" fillId="0" borderId="0" xfId="0" applyNumberFormat="1" applyFont="1" applyBorder="1" applyAlignment="1" applyProtection="1">
      <alignment horizontal="center"/>
      <protection locked="0"/>
    </xf>
    <xf numFmtId="167" fontId="116" fillId="0" borderId="0" xfId="0" applyNumberFormat="1" applyFont="1" applyBorder="1" applyProtection="1">
      <alignment horizontal="right"/>
      <protection hidden="1"/>
    </xf>
    <xf numFmtId="173" fontId="96" fillId="0" borderId="0" xfId="0" applyFont="1" applyBorder="1" applyAlignment="1" applyProtection="1">
      <alignment horizontal="left" vertical="center" wrapText="1" indent="9"/>
      <protection locked="0"/>
    </xf>
    <xf numFmtId="173" fontId="96" fillId="0" borderId="0" xfId="0" applyFont="1" applyBorder="1" applyAlignment="1" applyProtection="1">
      <alignment horizontal="left" vertical="center" wrapText="1" indent="1"/>
      <protection locked="0"/>
    </xf>
    <xf numFmtId="173" fontId="97" fillId="0" borderId="0" xfId="0" applyFont="1" applyBorder="1" applyAlignment="1" applyProtection="1">
      <alignment horizontal="left" vertical="center" indent="1"/>
      <protection locked="0"/>
    </xf>
    <xf numFmtId="173" fontId="18" fillId="11" borderId="0" xfId="0" applyFont="1" applyFill="1" applyBorder="1" applyAlignment="1" applyProtection="1">
      <alignment horizontal="center" vertical="center"/>
      <protection locked="0"/>
    </xf>
    <xf numFmtId="173" fontId="28" fillId="11" borderId="0" xfId="0" applyFont="1" applyFill="1" applyBorder="1" applyProtection="1">
      <alignment horizontal="right"/>
      <protection locked="0"/>
    </xf>
    <xf numFmtId="173" fontId="15" fillId="11" borderId="0" xfId="0" applyFont="1" applyFill="1" applyBorder="1" applyProtection="1">
      <alignment horizontal="right"/>
      <protection locked="0"/>
    </xf>
    <xf numFmtId="173" fontId="14" fillId="0" borderId="0" xfId="7" applyFont="1" applyBorder="1" applyAlignment="1" applyProtection="1">
      <alignment vertical="center"/>
      <protection locked="0"/>
    </xf>
    <xf numFmtId="173" fontId="28" fillId="11" borderId="0" xfId="0" applyFont="1" applyFill="1" applyBorder="1" applyAlignment="1" applyProtection="1">
      <alignment horizontal="right" vertical="center"/>
      <protection locked="0"/>
    </xf>
    <xf numFmtId="173" fontId="15" fillId="11" borderId="0" xfId="0" applyFont="1" applyFill="1" applyBorder="1" applyAlignment="1" applyProtection="1">
      <alignment horizontal="right" vertical="center"/>
      <protection locked="0"/>
    </xf>
    <xf numFmtId="173" fontId="50" fillId="0" borderId="0" xfId="0" applyFont="1" applyBorder="1" applyAlignment="1" applyProtection="1">
      <alignment horizontal="center"/>
      <protection locked="0"/>
    </xf>
    <xf numFmtId="173" fontId="15" fillId="2" borderId="0" xfId="0" applyFont="1" applyFill="1" applyBorder="1" applyProtection="1">
      <alignment horizontal="right"/>
      <protection locked="0"/>
    </xf>
    <xf numFmtId="173" fontId="15" fillId="2" borderId="0" xfId="0" applyFont="1" applyFill="1" applyBorder="1" applyAlignment="1" applyProtection="1">
      <alignment horizontal="center" vertical="center"/>
      <protection locked="0"/>
    </xf>
    <xf numFmtId="173" fontId="18" fillId="0" borderId="0" xfId="0" applyFont="1" applyBorder="1" applyAlignment="1" applyProtection="1">
      <alignment horizontal="center"/>
      <protection locked="0"/>
    </xf>
    <xf numFmtId="173" fontId="64" fillId="2" borderId="0" xfId="0" applyFont="1" applyFill="1" applyBorder="1" applyProtection="1">
      <alignment horizontal="right"/>
      <protection locked="0"/>
    </xf>
    <xf numFmtId="173" fontId="28" fillId="2" borderId="0" xfId="0" applyFont="1" applyFill="1" applyBorder="1" applyProtection="1">
      <alignment horizontal="right"/>
      <protection locked="0"/>
    </xf>
    <xf numFmtId="173" fontId="65" fillId="0" borderId="0" xfId="0" applyFont="1" applyFill="1" applyBorder="1" applyAlignment="1" applyProtection="1">
      <alignment horizontal="left"/>
      <protection locked="0"/>
    </xf>
    <xf numFmtId="173" fontId="50" fillId="0" borderId="0" xfId="0" applyFont="1" applyFill="1" applyBorder="1" applyAlignment="1" applyProtection="1">
      <alignment horizontal="right"/>
      <protection locked="0"/>
    </xf>
    <xf numFmtId="170" fontId="17" fillId="0" borderId="0" xfId="0" applyNumberFormat="1" applyFont="1" applyFill="1" applyBorder="1" applyAlignment="1" applyProtection="1">
      <alignment horizontal="center"/>
      <protection locked="0"/>
    </xf>
    <xf numFmtId="173" fontId="64" fillId="0" borderId="0" xfId="0" applyFont="1" applyFill="1" applyBorder="1" applyProtection="1">
      <alignment horizontal="right"/>
      <protection locked="0"/>
    </xf>
    <xf numFmtId="173" fontId="28" fillId="0" borderId="0" xfId="0" applyFont="1" applyFill="1" applyBorder="1" applyProtection="1">
      <alignment horizontal="right"/>
      <protection locked="0"/>
    </xf>
    <xf numFmtId="173" fontId="112" fillId="0" borderId="0" xfId="0" applyFont="1" applyBorder="1" applyProtection="1">
      <alignment horizontal="right"/>
      <protection locked="0"/>
    </xf>
    <xf numFmtId="170" fontId="109" fillId="0" borderId="0" xfId="0" applyNumberFormat="1" applyFont="1" applyFill="1" applyBorder="1" applyAlignment="1" applyProtection="1">
      <alignment horizontal="center"/>
      <protection locked="0"/>
    </xf>
    <xf numFmtId="173" fontId="112" fillId="0" borderId="0" xfId="0" applyFont="1" applyBorder="1" applyAlignment="1" applyProtection="1">
      <alignment horizontal="right"/>
      <protection locked="0"/>
    </xf>
    <xf numFmtId="173" fontId="111" fillId="0" borderId="0" xfId="0" applyFont="1" applyBorder="1" applyProtection="1">
      <alignment horizontal="right"/>
      <protection locked="0"/>
    </xf>
    <xf numFmtId="170" fontId="110" fillId="0" borderId="0" xfId="0" applyNumberFormat="1" applyFont="1" applyFill="1" applyBorder="1" applyAlignment="1" applyProtection="1">
      <alignment horizontal="center"/>
      <protection locked="0"/>
    </xf>
    <xf numFmtId="173" fontId="111" fillId="2" borderId="0" xfId="0" applyFont="1" applyFill="1" applyBorder="1" applyProtection="1">
      <alignment horizontal="right"/>
      <protection locked="0"/>
    </xf>
    <xf numFmtId="173" fontId="112" fillId="2" borderId="0" xfId="0" applyFont="1" applyFill="1" applyBorder="1" applyProtection="1">
      <alignment horizontal="right"/>
      <protection locked="0"/>
    </xf>
    <xf numFmtId="173" fontId="21" fillId="0" borderId="0" xfId="0" applyFont="1" applyBorder="1" applyAlignment="1" applyProtection="1">
      <alignment horizontal="left"/>
      <protection locked="0"/>
    </xf>
    <xf numFmtId="173" fontId="18" fillId="0" borderId="0" xfId="0" applyFont="1" applyBorder="1" applyAlignment="1" applyProtection="1">
      <alignment horizontal="right"/>
      <protection locked="0"/>
    </xf>
    <xf numFmtId="173" fontId="17" fillId="0" borderId="0" xfId="0" applyFont="1" applyBorder="1" applyAlignment="1" applyProtection="1">
      <protection locked="0"/>
    </xf>
    <xf numFmtId="173" fontId="15" fillId="2" borderId="0" xfId="0" applyFont="1" applyFill="1" applyBorder="1" applyAlignment="1" applyProtection="1">
      <alignment horizontal="right" vertical="center"/>
      <protection locked="0"/>
    </xf>
    <xf numFmtId="173" fontId="78" fillId="0" borderId="0" xfId="0" applyFont="1" applyBorder="1" applyAlignment="1" applyProtection="1">
      <alignment horizontal="right" vertical="center"/>
      <protection locked="0"/>
    </xf>
    <xf numFmtId="173" fontId="28" fillId="0" borderId="0" xfId="0" applyFont="1" applyBorder="1" applyAlignment="1" applyProtection="1">
      <alignment horizontal="left" vertical="center"/>
      <protection locked="0"/>
    </xf>
    <xf numFmtId="173" fontId="105" fillId="0" borderId="0" xfId="0" applyFont="1" applyBorder="1" applyAlignment="1" applyProtection="1">
      <alignment horizontal="right" vertical="center"/>
      <protection locked="0"/>
    </xf>
    <xf numFmtId="173" fontId="105" fillId="2" borderId="0" xfId="0" applyFont="1" applyFill="1" applyBorder="1" applyAlignment="1" applyProtection="1">
      <alignment horizontal="right" vertical="center"/>
      <protection locked="0"/>
    </xf>
    <xf numFmtId="173" fontId="105" fillId="0" borderId="0" xfId="0" applyFont="1" applyBorder="1" applyAlignment="1" applyProtection="1">
      <alignment horizontal="left" vertical="center"/>
      <protection locked="0"/>
    </xf>
    <xf numFmtId="173" fontId="78" fillId="0" borderId="0" xfId="0" applyFont="1" applyBorder="1" applyProtection="1">
      <alignment horizontal="right"/>
      <protection locked="0"/>
    </xf>
    <xf numFmtId="167" fontId="28" fillId="0" borderId="0" xfId="0" applyNumberFormat="1" applyFont="1" applyBorder="1" applyProtection="1">
      <alignment horizontal="right"/>
      <protection locked="0"/>
    </xf>
    <xf numFmtId="173" fontId="10" fillId="0" borderId="0" xfId="7" applyFill="1" applyBorder="1" applyAlignment="1" applyProtection="1">
      <alignment horizontal="left" wrapText="1" shrinkToFit="1"/>
      <protection hidden="1"/>
    </xf>
    <xf numFmtId="173" fontId="116" fillId="0" borderId="0" xfId="0" applyFont="1" applyBorder="1" applyProtection="1">
      <alignment horizontal="right"/>
      <protection locked="0"/>
    </xf>
    <xf numFmtId="167" fontId="48" fillId="0" borderId="0" xfId="0" applyNumberFormat="1" applyFont="1" applyFill="1" applyBorder="1" applyAlignment="1" applyProtection="1">
      <alignment horizontal="center" vertical="center"/>
      <protection locked="0"/>
    </xf>
    <xf numFmtId="173" fontId="16" fillId="0" borderId="0" xfId="0" quotePrefix="1" applyFont="1" applyFill="1" applyBorder="1" applyAlignment="1" applyProtection="1">
      <alignment horizontal="center" vertical="center"/>
      <protection locked="0"/>
    </xf>
    <xf numFmtId="3" fontId="15" fillId="0" borderId="0" xfId="0" applyNumberFormat="1" applyFont="1" applyFill="1" applyBorder="1" applyAlignment="1" applyProtection="1">
      <alignment horizontal="right" indent="1"/>
      <protection locked="0"/>
    </xf>
    <xf numFmtId="167" fontId="48" fillId="0" borderId="0" xfId="0" applyNumberFormat="1" applyFont="1" applyFill="1" applyBorder="1" applyAlignment="1" applyProtection="1">
      <alignment horizontal="right" vertical="center" indent="1"/>
      <protection locked="0"/>
    </xf>
    <xf numFmtId="173" fontId="56" fillId="0" borderId="0" xfId="0" applyFont="1" applyFill="1" applyBorder="1" applyAlignment="1" applyProtection="1">
      <alignment horizontal="right" vertical="center"/>
      <protection locked="0"/>
    </xf>
    <xf numFmtId="3" fontId="45" fillId="0" borderId="0" xfId="0" applyNumberFormat="1" applyFont="1" applyFill="1" applyBorder="1" applyAlignment="1" applyProtection="1">
      <alignment horizontal="left" vertical="center" indent="1"/>
      <protection locked="0"/>
    </xf>
    <xf numFmtId="169" fontId="72" fillId="0" borderId="0" xfId="0" applyNumberFormat="1" applyFont="1" applyFill="1" applyBorder="1" applyAlignment="1" applyProtection="1">
      <alignment horizontal="center" vertical="center"/>
      <protection locked="0"/>
    </xf>
    <xf numFmtId="3" fontId="34" fillId="0" borderId="0" xfId="0" applyNumberFormat="1" applyFont="1" applyFill="1" applyBorder="1" applyAlignment="1" applyProtection="1">
      <alignment horizontal="right" vertical="center" indent="1"/>
      <protection locked="0"/>
    </xf>
    <xf numFmtId="173" fontId="91" fillId="0" borderId="0" xfId="0" applyFont="1" applyFill="1" applyBorder="1" applyProtection="1">
      <alignment horizontal="right"/>
      <protection locked="0"/>
    </xf>
    <xf numFmtId="9" fontId="31" fillId="0" borderId="0" xfId="0" applyNumberFormat="1" applyFont="1" applyFill="1" applyBorder="1" applyAlignment="1" applyProtection="1">
      <alignment horizontal="center" vertical="center"/>
      <protection locked="0"/>
    </xf>
    <xf numFmtId="169" fontId="87" fillId="0" borderId="0" xfId="0" applyNumberFormat="1" applyFont="1" applyFill="1" applyBorder="1" applyAlignment="1" applyProtection="1">
      <alignment horizontal="center" vertical="center"/>
      <protection locked="0"/>
    </xf>
    <xf numFmtId="173" fontId="79" fillId="0" borderId="0" xfId="7" applyFont="1" applyFill="1" applyBorder="1" applyAlignment="1" applyProtection="1">
      <alignment horizontal="right" vertical="center" indent="1"/>
      <protection locked="0"/>
    </xf>
    <xf numFmtId="173" fontId="68" fillId="0" borderId="0" xfId="0" applyFont="1" applyBorder="1" applyProtection="1">
      <alignment horizontal="right"/>
      <protection locked="0"/>
    </xf>
    <xf numFmtId="173" fontId="68" fillId="0" borderId="0" xfId="0" applyFont="1" applyFill="1" applyBorder="1" applyProtection="1">
      <alignment horizontal="right"/>
      <protection locked="0"/>
    </xf>
    <xf numFmtId="173" fontId="0" fillId="0" borderId="0" xfId="0" applyBorder="1" applyAlignment="1" applyProtection="1">
      <alignment vertical="center"/>
      <protection locked="0"/>
    </xf>
    <xf numFmtId="167" fontId="100" fillId="0" borderId="0" xfId="0" applyNumberFormat="1" applyFont="1" applyFill="1" applyBorder="1" applyAlignment="1" applyProtection="1">
      <alignment horizontal="center" vertical="center"/>
      <protection locked="0"/>
    </xf>
    <xf numFmtId="167" fontId="28" fillId="0" borderId="0" xfId="0" applyNumberFormat="1" applyFont="1" applyFill="1" applyBorder="1" applyProtection="1">
      <alignment horizontal="right"/>
      <protection locked="0"/>
    </xf>
    <xf numFmtId="3" fontId="28" fillId="0" borderId="0" xfId="0" applyNumberFormat="1" applyFont="1" applyBorder="1" applyAlignment="1" applyProtection="1">
      <alignment horizontal="right" indent="1"/>
      <protection locked="0"/>
    </xf>
    <xf numFmtId="3" fontId="28" fillId="0" borderId="0" xfId="0" applyNumberFormat="1" applyFont="1" applyFill="1" applyBorder="1" applyAlignment="1" applyProtection="1">
      <alignment horizontal="right" indent="1"/>
      <protection locked="0"/>
    </xf>
    <xf numFmtId="167" fontId="28" fillId="0" borderId="0" xfId="0" applyNumberFormat="1" applyFont="1" applyBorder="1" applyAlignment="1" applyProtection="1">
      <alignment horizontal="right"/>
      <protection locked="0"/>
    </xf>
    <xf numFmtId="173" fontId="28" fillId="0" borderId="0" xfId="0" applyFont="1" applyFill="1" applyBorder="1" applyAlignment="1" applyProtection="1">
      <alignment horizontal="right"/>
      <protection locked="0"/>
    </xf>
    <xf numFmtId="167" fontId="28" fillId="0" borderId="0" xfId="0" applyNumberFormat="1" applyFont="1" applyFill="1" applyBorder="1" applyAlignment="1" applyProtection="1">
      <alignment horizontal="right"/>
      <protection locked="0"/>
    </xf>
    <xf numFmtId="173" fontId="13" fillId="0" borderId="0" xfId="0" applyFont="1" applyFill="1" applyBorder="1" applyAlignment="1" applyProtection="1">
      <alignment horizontal="left" vertical="center" indent="1"/>
      <protection locked="0"/>
    </xf>
    <xf numFmtId="173" fontId="13" fillId="0" borderId="0" xfId="0" applyFont="1" applyFill="1" applyBorder="1" applyAlignment="1" applyProtection="1">
      <alignment horizontal="left" indent="1"/>
      <protection locked="0"/>
    </xf>
    <xf numFmtId="173" fontId="90" fillId="0" borderId="0" xfId="0" applyFont="1" applyBorder="1" applyProtection="1">
      <alignment horizontal="right"/>
      <protection locked="0"/>
    </xf>
    <xf numFmtId="173" fontId="20" fillId="0" borderId="0" xfId="0" applyFont="1" applyBorder="1" applyProtection="1">
      <alignment horizontal="right"/>
      <protection locked="0"/>
    </xf>
    <xf numFmtId="3" fontId="20" fillId="0" borderId="0" xfId="0" applyNumberFormat="1" applyFont="1" applyBorder="1" applyAlignment="1" applyProtection="1">
      <alignment horizontal="right" indent="1"/>
      <protection locked="0"/>
    </xf>
    <xf numFmtId="3" fontId="20" fillId="0" borderId="0" xfId="0" applyNumberFormat="1" applyFont="1" applyFill="1" applyBorder="1" applyAlignment="1" applyProtection="1">
      <alignment horizontal="right" indent="1"/>
      <protection locked="0"/>
    </xf>
    <xf numFmtId="173" fontId="117" fillId="0" borderId="0" xfId="0" applyFont="1" applyBorder="1" applyProtection="1">
      <alignment horizontal="right"/>
      <protection locked="0"/>
    </xf>
    <xf numFmtId="173" fontId="118" fillId="0" borderId="0" xfId="0" applyFont="1" applyFill="1" applyBorder="1" applyProtection="1">
      <alignment horizontal="right"/>
      <protection locked="0"/>
    </xf>
    <xf numFmtId="173" fontId="55" fillId="0" borderId="0" xfId="0" applyFont="1" applyFill="1" applyBorder="1" applyAlignment="1" applyProtection="1">
      <alignment vertical="center"/>
      <protection locked="0"/>
    </xf>
    <xf numFmtId="167" fontId="16" fillId="0" borderId="0" xfId="0" quotePrefix="1" applyNumberFormat="1" applyFont="1" applyFill="1" applyBorder="1" applyAlignment="1" applyProtection="1">
      <alignment horizontal="center" vertical="center"/>
      <protection locked="0"/>
    </xf>
    <xf numFmtId="167" fontId="38" fillId="0" borderId="0" xfId="0" applyNumberFormat="1" applyFont="1" applyFill="1" applyBorder="1" applyAlignment="1" applyProtection="1">
      <alignment horizontal="center" vertical="center"/>
      <protection locked="0"/>
    </xf>
    <xf numFmtId="173" fontId="116" fillId="11" borderId="0" xfId="0" applyFont="1" applyFill="1" applyBorder="1" applyProtection="1">
      <alignment horizontal="right"/>
      <protection locked="0"/>
    </xf>
    <xf numFmtId="169" fontId="45" fillId="0" borderId="0" xfId="0" applyNumberFormat="1" applyFont="1" applyFill="1" applyBorder="1" applyAlignment="1" applyProtection="1">
      <alignment horizontal="center" vertical="center"/>
      <protection locked="0"/>
    </xf>
    <xf numFmtId="173" fontId="15" fillId="0" borderId="0" xfId="0" applyFont="1" applyFill="1" applyBorder="1" applyAlignment="1" applyProtection="1">
      <alignment horizontal="left"/>
      <protection locked="0"/>
    </xf>
    <xf numFmtId="167" fontId="0" fillId="0" borderId="0" xfId="0" applyNumberFormat="1" applyBorder="1" applyAlignment="1" applyProtection="1">
      <alignment vertical="center"/>
      <protection locked="0"/>
    </xf>
    <xf numFmtId="173" fontId="115" fillId="0" borderId="0" xfId="0" applyFont="1" applyBorder="1" applyAlignment="1" applyProtection="1">
      <alignment horizontal="right" vertical="top"/>
      <protection hidden="1"/>
    </xf>
    <xf numFmtId="173" fontId="0" fillId="0" borderId="0" xfId="0" applyFill="1" applyBorder="1" applyAlignment="1">
      <alignment horizontal="right"/>
    </xf>
    <xf numFmtId="173" fontId="113" fillId="0" borderId="0" xfId="0" applyFont="1" applyBorder="1" applyProtection="1">
      <alignment horizontal="right"/>
      <protection locked="0"/>
    </xf>
    <xf numFmtId="167" fontId="15" fillId="0" borderId="0" xfId="0" applyNumberFormat="1" applyFont="1" applyBorder="1" applyAlignment="1" applyProtection="1">
      <protection locked="0"/>
    </xf>
    <xf numFmtId="10" fontId="77" fillId="0" borderId="0" xfId="0" applyNumberFormat="1" applyFont="1" applyFill="1" applyBorder="1" applyAlignment="1" applyProtection="1">
      <alignment horizontal="center" vertical="center"/>
      <protection locked="0"/>
    </xf>
    <xf numFmtId="173" fontId="44" fillId="0" borderId="0" xfId="0" applyFont="1" applyFill="1" applyBorder="1" applyAlignment="1" applyProtection="1">
      <alignment horizontal="left"/>
      <protection locked="0"/>
    </xf>
    <xf numFmtId="3" fontId="15" fillId="0" borderId="0" xfId="0" applyNumberFormat="1" applyFont="1" applyBorder="1" applyAlignment="1" applyProtection="1">
      <alignment horizontal="right" indent="1"/>
      <protection locked="0"/>
    </xf>
    <xf numFmtId="176" fontId="17" fillId="0" borderId="0" xfId="0" applyNumberFormat="1" applyFont="1" applyBorder="1" applyAlignment="1" applyProtection="1">
      <alignment horizontal="center" vertical="center"/>
      <protection locked="0"/>
    </xf>
    <xf numFmtId="173" fontId="121" fillId="0" borderId="0" xfId="0" applyFont="1" applyFill="1" applyBorder="1" applyAlignment="1" applyProtection="1">
      <alignment horizontal="center"/>
      <protection locked="0"/>
    </xf>
    <xf numFmtId="173" fontId="122" fillId="0" borderId="0" xfId="0" applyFont="1" applyFill="1" applyBorder="1" applyProtection="1">
      <alignment horizontal="right"/>
      <protection locked="0"/>
    </xf>
    <xf numFmtId="173" fontId="121" fillId="0" borderId="0" xfId="0" applyFont="1" applyFill="1" applyBorder="1" applyAlignment="1" applyProtection="1">
      <alignment horizontal="left" indent="1"/>
      <protection locked="0"/>
    </xf>
    <xf numFmtId="171" fontId="121" fillId="0" borderId="0" xfId="0" applyNumberFormat="1" applyFont="1" applyFill="1" applyBorder="1" applyAlignment="1" applyProtection="1">
      <alignment horizontal="center" vertical="center"/>
      <protection locked="0"/>
    </xf>
    <xf numFmtId="173" fontId="19" fillId="0" borderId="0" xfId="7" applyFont="1" applyBorder="1" applyAlignment="1" applyProtection="1">
      <alignment horizontal="left" vertical="center" wrapText="1"/>
      <protection hidden="1"/>
    </xf>
    <xf numFmtId="173" fontId="0" fillId="0" borderId="0" xfId="0" applyBorder="1" applyAlignment="1">
      <alignment horizontal="right" vertical="center"/>
    </xf>
    <xf numFmtId="173" fontId="16" fillId="0" borderId="0" xfId="0" applyFont="1" applyFill="1" applyBorder="1" applyAlignment="1" applyProtection="1">
      <alignment horizontal="center" vertical="center"/>
      <protection hidden="1"/>
    </xf>
    <xf numFmtId="173" fontId="144" fillId="0" borderId="0" xfId="0" applyFont="1" applyBorder="1" applyAlignment="1" applyProtection="1">
      <alignment horizontal="left" vertical="center" indent="1"/>
      <protection locked="0"/>
    </xf>
    <xf numFmtId="173" fontId="145" fillId="0" borderId="0" xfId="0" applyFont="1" applyBorder="1" applyProtection="1">
      <alignment horizontal="right"/>
      <protection hidden="1"/>
    </xf>
    <xf numFmtId="173" fontId="145" fillId="0" borderId="0" xfId="0" applyFont="1" applyFill="1" applyBorder="1" applyAlignment="1" applyProtection="1">
      <alignment horizontal="right" vertical="center"/>
      <protection hidden="1"/>
    </xf>
    <xf numFmtId="173" fontId="143" fillId="0" borderId="0" xfId="0" applyFont="1" applyFill="1" applyBorder="1" applyProtection="1">
      <alignment horizontal="right"/>
      <protection hidden="1"/>
    </xf>
    <xf numFmtId="173" fontId="145" fillId="0" borderId="0" xfId="0" applyFont="1" applyBorder="1" applyAlignment="1" applyProtection="1">
      <alignment horizontal="right" vertical="center"/>
      <protection hidden="1"/>
    </xf>
    <xf numFmtId="173" fontId="145" fillId="0" borderId="0" xfId="0" applyFont="1" applyFill="1" applyBorder="1" applyProtection="1">
      <alignment horizontal="right"/>
      <protection hidden="1"/>
    </xf>
    <xf numFmtId="173" fontId="146" fillId="0" borderId="0" xfId="0" applyFont="1" applyBorder="1" applyProtection="1">
      <alignment horizontal="right"/>
      <protection hidden="1"/>
    </xf>
    <xf numFmtId="167" fontId="147" fillId="0" borderId="0" xfId="0" applyNumberFormat="1" applyFont="1" applyBorder="1" applyAlignment="1" applyProtection="1">
      <alignment horizontal="left" vertical="top"/>
      <protection hidden="1"/>
    </xf>
    <xf numFmtId="173" fontId="15" fillId="0" borderId="0" xfId="0" applyFont="1" applyBorder="1" applyAlignment="1" applyProtection="1">
      <alignment horizontal="right" vertical="top"/>
      <protection hidden="1"/>
    </xf>
    <xf numFmtId="173" fontId="15" fillId="0" borderId="0" xfId="0" applyFont="1" applyBorder="1" applyAlignment="1" applyProtection="1">
      <alignment horizontal="center" vertical="top"/>
      <protection hidden="1"/>
    </xf>
    <xf numFmtId="173" fontId="15" fillId="0" borderId="0" xfId="0" applyFont="1" applyFill="1" applyBorder="1" applyAlignment="1" applyProtection="1">
      <alignment horizontal="right" vertical="top"/>
      <protection hidden="1"/>
    </xf>
    <xf numFmtId="167" fontId="15" fillId="0" borderId="0" xfId="0" applyNumberFormat="1" applyFont="1" applyBorder="1" applyAlignment="1" applyProtection="1">
      <alignment horizontal="right" vertical="top"/>
      <protection hidden="1"/>
    </xf>
    <xf numFmtId="167" fontId="15" fillId="0" borderId="0" xfId="0" applyNumberFormat="1" applyFont="1" applyFill="1" applyBorder="1" applyAlignment="1" applyProtection="1">
      <alignment horizontal="right" vertical="top"/>
      <protection hidden="1"/>
    </xf>
    <xf numFmtId="167" fontId="147" fillId="0" borderId="0" xfId="0" applyNumberFormat="1" applyFont="1" applyBorder="1" applyAlignment="1" applyProtection="1">
      <alignment horizontal="right" vertical="top"/>
      <protection hidden="1"/>
    </xf>
    <xf numFmtId="167" fontId="147" fillId="0" borderId="0" xfId="0" applyNumberFormat="1" applyFont="1" applyFill="1" applyBorder="1" applyAlignment="1" applyProtection="1">
      <alignment horizontal="right" vertical="top"/>
      <protection hidden="1"/>
    </xf>
    <xf numFmtId="173" fontId="145" fillId="0" borderId="0" xfId="0" applyFont="1" applyBorder="1" applyAlignment="1" applyProtection="1">
      <alignment horizontal="right" vertical="top"/>
      <protection hidden="1"/>
    </xf>
    <xf numFmtId="173" fontId="15" fillId="0" borderId="0" xfId="0" applyFont="1" applyBorder="1" applyAlignment="1" applyProtection="1">
      <alignment horizontal="right" vertical="top"/>
      <protection locked="0"/>
    </xf>
    <xf numFmtId="173" fontId="15" fillId="0" borderId="0" xfId="0" applyFont="1" applyBorder="1" applyAlignment="1" applyProtection="1">
      <alignment horizontal="center" vertical="top"/>
      <protection locked="0"/>
    </xf>
    <xf numFmtId="171" fontId="31" fillId="0" borderId="0" xfId="0" applyNumberFormat="1" applyFont="1" applyBorder="1" applyAlignment="1" applyProtection="1">
      <alignment horizontal="center" vertical="top"/>
      <protection locked="0"/>
    </xf>
    <xf numFmtId="173" fontId="15" fillId="0" borderId="0" xfId="0" applyFont="1" applyFill="1" applyBorder="1" applyAlignment="1" applyProtection="1">
      <alignment horizontal="right" vertical="top"/>
      <protection locked="0"/>
    </xf>
    <xf numFmtId="167" fontId="15" fillId="0" borderId="0" xfId="0" applyNumberFormat="1" applyFont="1" applyBorder="1" applyAlignment="1" applyProtection="1">
      <alignment horizontal="right" vertical="top"/>
      <protection locked="0"/>
    </xf>
    <xf numFmtId="167" fontId="15" fillId="0" borderId="0" xfId="0" applyNumberFormat="1" applyFont="1" applyFill="1" applyBorder="1" applyAlignment="1" applyProtection="1">
      <alignment horizontal="right" vertical="top"/>
      <protection locked="0"/>
    </xf>
    <xf numFmtId="173" fontId="151" fillId="0" borderId="0" xfId="0" applyFont="1" applyBorder="1" applyAlignment="1" applyProtection="1">
      <alignment horizontal="right" vertical="center"/>
      <protection hidden="1"/>
    </xf>
    <xf numFmtId="173" fontId="16" fillId="0" borderId="0" xfId="0" quotePrefix="1" applyFont="1" applyFill="1" applyBorder="1" applyAlignment="1" applyProtection="1">
      <alignment horizontal="center" vertical="center"/>
      <protection hidden="1"/>
    </xf>
    <xf numFmtId="173" fontId="50" fillId="0" borderId="0" xfId="0" applyFont="1" applyFill="1" applyBorder="1" applyAlignment="1" applyProtection="1">
      <alignment horizontal="center"/>
      <protection locked="0"/>
    </xf>
    <xf numFmtId="173" fontId="126" fillId="11" borderId="0" xfId="0" applyFont="1" applyFill="1" applyBorder="1" applyProtection="1">
      <alignment horizontal="right"/>
      <protection locked="0"/>
    </xf>
    <xf numFmtId="173" fontId="128" fillId="0" borderId="0" xfId="0" applyFont="1" applyBorder="1" applyProtection="1">
      <alignment horizontal="right"/>
      <protection locked="0"/>
    </xf>
    <xf numFmtId="173" fontId="128" fillId="0" borderId="0" xfId="0" applyFont="1" applyFill="1" applyBorder="1" applyProtection="1">
      <alignment horizontal="right"/>
      <protection locked="0"/>
    </xf>
    <xf numFmtId="173" fontId="127" fillId="0" borderId="0" xfId="7" applyFont="1" applyBorder="1" applyAlignment="1" applyProtection="1">
      <alignment vertical="top"/>
      <protection locked="0"/>
    </xf>
    <xf numFmtId="173" fontId="126" fillId="0" borderId="0" xfId="0" applyFont="1" applyBorder="1" applyProtection="1">
      <alignment horizontal="right"/>
      <protection locked="0"/>
    </xf>
    <xf numFmtId="173" fontId="128" fillId="0" borderId="0" xfId="0" applyFont="1" applyBorder="1" applyAlignment="1" applyProtection="1">
      <alignment horizontal="right" vertical="center"/>
      <protection locked="0"/>
    </xf>
    <xf numFmtId="173" fontId="126" fillId="2" borderId="0" xfId="0" applyFont="1" applyFill="1" applyBorder="1" applyProtection="1">
      <alignment horizontal="right"/>
      <protection locked="0"/>
    </xf>
    <xf numFmtId="173" fontId="126" fillId="0" borderId="0" xfId="0" applyFont="1" applyFill="1" applyBorder="1" applyProtection="1">
      <alignment horizontal="right"/>
      <protection locked="0"/>
    </xf>
    <xf numFmtId="173" fontId="126" fillId="0" borderId="0" xfId="0" applyFont="1" applyBorder="1" applyAlignment="1" applyProtection="1">
      <alignment horizontal="right" vertical="center"/>
      <protection locked="0"/>
    </xf>
    <xf numFmtId="173" fontId="129" fillId="0" borderId="0" xfId="0" applyFont="1" applyBorder="1" applyAlignment="1" applyProtection="1">
      <alignment horizontal="right" vertical="center"/>
      <protection locked="0"/>
    </xf>
    <xf numFmtId="173" fontId="128" fillId="0" borderId="0" xfId="0" applyFont="1" applyBorder="1" applyAlignment="1" applyProtection="1">
      <alignment horizontal="center" vertical="center"/>
      <protection locked="0"/>
    </xf>
    <xf numFmtId="173" fontId="130" fillId="0" borderId="0" xfId="0" applyFont="1" applyBorder="1" applyAlignment="1" applyProtection="1">
      <alignment horizontal="right" vertical="center"/>
      <protection locked="0"/>
    </xf>
    <xf numFmtId="173" fontId="145" fillId="0" borderId="0" xfId="0" applyFont="1" applyBorder="1" applyProtection="1">
      <alignment horizontal="right"/>
      <protection locked="0" hidden="1"/>
    </xf>
    <xf numFmtId="173" fontId="156" fillId="0" borderId="0" xfId="0" applyFont="1" applyBorder="1" applyProtection="1">
      <alignment horizontal="right"/>
      <protection locked="0" hidden="1"/>
    </xf>
    <xf numFmtId="173" fontId="156" fillId="11" borderId="0" xfId="0" applyFont="1" applyFill="1" applyBorder="1" applyProtection="1">
      <alignment horizontal="right"/>
      <protection locked="0" hidden="1"/>
    </xf>
    <xf numFmtId="173" fontId="28" fillId="0" borderId="0" xfId="0" applyFont="1" applyFill="1" applyBorder="1" applyAlignment="1" applyProtection="1">
      <alignment horizontal="right" vertical="center"/>
      <protection locked="0"/>
    </xf>
    <xf numFmtId="173" fontId="67" fillId="0" borderId="0" xfId="0" applyFont="1" applyFill="1" applyBorder="1" applyAlignment="1" applyProtection="1">
      <alignment horizontal="left" vertical="center"/>
      <protection hidden="1"/>
    </xf>
    <xf numFmtId="173" fontId="79" fillId="0" borderId="0" xfId="0" applyFont="1" applyFill="1" applyBorder="1" applyAlignment="1" applyProtection="1">
      <alignment horizontal="center" vertical="center"/>
      <protection locked="0" hidden="1"/>
    </xf>
    <xf numFmtId="173" fontId="43" fillId="0" borderId="0" xfId="0" applyFont="1" applyFill="1" applyBorder="1" applyAlignment="1" applyProtection="1">
      <alignment horizontal="left" vertical="center"/>
      <protection locked="0"/>
    </xf>
    <xf numFmtId="173" fontId="126" fillId="0" borderId="0" xfId="0" applyFont="1" applyFill="1" applyBorder="1" applyAlignment="1" applyProtection="1">
      <alignment horizontal="right" vertical="center"/>
      <protection locked="0"/>
    </xf>
    <xf numFmtId="173" fontId="157" fillId="0" borderId="0" xfId="0" applyFont="1" applyBorder="1" applyAlignment="1" applyProtection="1">
      <alignment horizontal="center" vertical="center"/>
      <protection hidden="1"/>
    </xf>
    <xf numFmtId="173" fontId="25" fillId="0" borderId="0" xfId="0" applyFont="1" applyBorder="1" applyAlignment="1" applyProtection="1">
      <alignment horizontal="right" vertical="center" indent="1"/>
      <protection hidden="1"/>
    </xf>
    <xf numFmtId="173" fontId="25" fillId="0" borderId="0" xfId="0" applyFont="1" applyBorder="1" applyAlignment="1" applyProtection="1">
      <alignment horizontal="right" vertical="center"/>
      <protection hidden="1"/>
    </xf>
    <xf numFmtId="173" fontId="25" fillId="0" borderId="0" xfId="0" quotePrefix="1" applyFont="1" applyBorder="1" applyAlignment="1" applyProtection="1">
      <alignment horizontal="left" vertical="center"/>
      <protection hidden="1"/>
    </xf>
    <xf numFmtId="173" fontId="54" fillId="0" borderId="0" xfId="0" applyFont="1" applyFill="1" applyBorder="1" applyAlignment="1" applyProtection="1">
      <alignment horizontal="left" vertical="center"/>
      <protection hidden="1"/>
    </xf>
    <xf numFmtId="173" fontId="25" fillId="0" borderId="0" xfId="0" applyFont="1" applyBorder="1" applyAlignment="1" applyProtection="1">
      <alignment vertical="center"/>
      <protection hidden="1"/>
    </xf>
    <xf numFmtId="173" fontId="64" fillId="0" borderId="0" xfId="0" applyFont="1" applyBorder="1" applyAlignment="1" applyProtection="1">
      <alignment horizontal="right" vertical="center"/>
      <protection locked="0"/>
    </xf>
    <xf numFmtId="173" fontId="64" fillId="0" borderId="0" xfId="0" applyFont="1" applyFill="1" applyBorder="1" applyAlignment="1" applyProtection="1">
      <alignment horizontal="right" vertical="center"/>
      <protection locked="0"/>
    </xf>
    <xf numFmtId="173" fontId="14" fillId="0" borderId="0" xfId="7" applyFont="1" applyFill="1" applyBorder="1" applyAlignment="1" applyProtection="1">
      <alignment horizontal="center"/>
      <protection locked="0"/>
    </xf>
    <xf numFmtId="173" fontId="14" fillId="0" borderId="0" xfId="7" applyFont="1" applyFill="1" applyBorder="1" applyAlignment="1" applyProtection="1">
      <alignment horizontal="left" vertical="top" indent="1"/>
      <protection locked="0"/>
    </xf>
    <xf numFmtId="173" fontId="131" fillId="0" borderId="0" xfId="0" applyFont="1" applyFill="1" applyBorder="1" applyAlignment="1" applyProtection="1">
      <alignment horizontal="right" vertical="center"/>
      <protection locked="0"/>
    </xf>
    <xf numFmtId="9" fontId="133" fillId="0" borderId="0" xfId="0" applyNumberFormat="1" applyFont="1" applyFill="1" applyBorder="1" applyAlignment="1" applyProtection="1">
      <alignment horizontal="center" vertical="center"/>
      <protection locked="0"/>
    </xf>
    <xf numFmtId="10" fontId="159" fillId="0" borderId="0" xfId="0" applyNumberFormat="1" applyFont="1" applyFill="1" applyBorder="1" applyAlignment="1" applyProtection="1">
      <alignment horizontal="center" vertical="center"/>
      <protection locked="0"/>
    </xf>
    <xf numFmtId="173" fontId="132" fillId="0" borderId="0" xfId="0" applyFont="1" applyBorder="1" applyProtection="1">
      <alignment horizontal="right"/>
      <protection locked="0"/>
    </xf>
    <xf numFmtId="173" fontId="64" fillId="0" borderId="0" xfId="0" applyFont="1" applyBorder="1" applyProtection="1">
      <alignment horizontal="right"/>
      <protection locked="0"/>
    </xf>
    <xf numFmtId="173" fontId="24" fillId="0" borderId="0" xfId="0" applyFont="1" applyFill="1" applyBorder="1" applyAlignment="1" applyProtection="1">
      <alignment horizontal="center" vertical="center"/>
      <protection hidden="1"/>
    </xf>
    <xf numFmtId="9" fontId="160" fillId="0" borderId="0" xfId="0" applyNumberFormat="1" applyFont="1" applyFill="1" applyBorder="1" applyAlignment="1" applyProtection="1">
      <alignment horizontal="center" vertical="center"/>
      <protection locked="0"/>
    </xf>
    <xf numFmtId="173" fontId="162" fillId="0" borderId="0" xfId="0" applyFont="1" applyBorder="1" applyProtection="1">
      <alignment horizontal="right"/>
      <protection locked="0"/>
    </xf>
    <xf numFmtId="3" fontId="162" fillId="0" borderId="0" xfId="0" applyNumberFormat="1" applyFont="1" applyFill="1" applyBorder="1" applyAlignment="1" applyProtection="1">
      <alignment vertical="center"/>
      <protection locked="0"/>
    </xf>
    <xf numFmtId="173" fontId="101" fillId="0" borderId="0" xfId="0" applyFont="1" applyFill="1" applyBorder="1" applyProtection="1">
      <alignment horizontal="right"/>
      <protection locked="0"/>
    </xf>
    <xf numFmtId="173" fontId="105" fillId="0" borderId="0" xfId="0" applyFont="1" applyBorder="1" applyProtection="1">
      <alignment horizontal="right"/>
      <protection locked="0"/>
    </xf>
    <xf numFmtId="173" fontId="136" fillId="0" borderId="0" xfId="0" applyFont="1" applyBorder="1" applyProtection="1">
      <alignment horizontal="right"/>
      <protection locked="0"/>
    </xf>
    <xf numFmtId="173" fontId="161" fillId="0" borderId="0" xfId="0" applyFont="1" applyFill="1" applyBorder="1" applyAlignment="1" applyProtection="1">
      <alignment horizontal="right" vertical="center"/>
      <protection locked="0"/>
    </xf>
    <xf numFmtId="173" fontId="161" fillId="0" borderId="0" xfId="0" applyFont="1" applyFill="1" applyBorder="1" applyProtection="1">
      <alignment horizontal="right"/>
      <protection locked="0"/>
    </xf>
    <xf numFmtId="173" fontId="164" fillId="0" borderId="0" xfId="0" applyFont="1" applyFill="1" applyBorder="1" applyAlignment="1" applyProtection="1">
      <alignment horizontal="center" vertical="center" wrapText="1"/>
      <protection locked="0"/>
    </xf>
    <xf numFmtId="173" fontId="164" fillId="0" borderId="0" xfId="0" applyFont="1" applyFill="1" applyBorder="1" applyProtection="1">
      <alignment horizontal="right"/>
      <protection locked="0"/>
    </xf>
    <xf numFmtId="173" fontId="165" fillId="0" borderId="0" xfId="0" applyFont="1" applyFill="1" applyBorder="1" applyProtection="1">
      <alignment horizontal="right"/>
      <protection locked="0"/>
    </xf>
    <xf numFmtId="173" fontId="60" fillId="0" borderId="0" xfId="0" applyFont="1" applyFill="1" applyBorder="1" applyProtection="1">
      <alignment horizontal="right"/>
      <protection locked="0"/>
    </xf>
    <xf numFmtId="173" fontId="22" fillId="0" borderId="0" xfId="0" applyFont="1" applyFill="1" applyBorder="1" applyAlignment="1" applyProtection="1">
      <alignment horizontal="center"/>
      <protection locked="0"/>
    </xf>
    <xf numFmtId="171" fontId="143" fillId="0" borderId="0" xfId="0" applyNumberFormat="1" applyFont="1" applyFill="1" applyBorder="1" applyAlignment="1" applyProtection="1">
      <alignment horizontal="right" vertical="top"/>
      <protection hidden="1"/>
    </xf>
    <xf numFmtId="167" fontId="47" fillId="0" borderId="0" xfId="0" applyNumberFormat="1" applyFont="1" applyFill="1" applyBorder="1" applyAlignment="1" applyProtection="1">
      <alignment horizontal="right" indent="1"/>
      <protection locked="0"/>
    </xf>
    <xf numFmtId="173" fontId="132" fillId="0" borderId="0" xfId="0" applyFont="1" applyFill="1" applyBorder="1" applyAlignment="1" applyProtection="1">
      <alignment horizontal="right" vertical="top"/>
      <protection hidden="1"/>
    </xf>
    <xf numFmtId="167" fontId="140" fillId="0" borderId="0" xfId="0" applyNumberFormat="1" applyFont="1" applyFill="1" applyBorder="1" applyAlignment="1" applyProtection="1">
      <alignment horizontal="right" vertical="center" indent="1"/>
      <protection locked="0"/>
    </xf>
    <xf numFmtId="173" fontId="172" fillId="0" borderId="0" xfId="0" applyFont="1" applyBorder="1" applyAlignment="1" applyProtection="1">
      <alignment horizontal="right" vertical="top"/>
      <protection hidden="1"/>
    </xf>
    <xf numFmtId="173" fontId="132" fillId="0" borderId="0" xfId="0" applyFont="1" applyBorder="1" applyAlignment="1" applyProtection="1">
      <alignment horizontal="right" vertical="top"/>
      <protection hidden="1"/>
    </xf>
    <xf numFmtId="167" fontId="140" fillId="0" borderId="0" xfId="0" applyNumberFormat="1" applyFont="1" applyFill="1" applyBorder="1" applyAlignment="1" applyProtection="1">
      <alignment vertical="center"/>
      <protection locked="0"/>
    </xf>
    <xf numFmtId="173" fontId="173" fillId="0" borderId="0" xfId="0" applyFont="1" applyBorder="1" applyAlignment="1" applyProtection="1">
      <alignment horizontal="right" vertical="center"/>
      <protection hidden="1"/>
    </xf>
    <xf numFmtId="173" fontId="103" fillId="0" borderId="0" xfId="0" applyFont="1" applyFill="1" applyBorder="1" applyAlignment="1" applyProtection="1">
      <alignment horizontal="left" vertical="center" indent="1"/>
      <protection locked="0"/>
    </xf>
    <xf numFmtId="173" fontId="64" fillId="0" borderId="0" xfId="0" applyFont="1" applyFill="1" applyBorder="1" applyAlignment="1" applyProtection="1">
      <alignment horizontal="left" vertical="center" indent="1"/>
      <protection locked="0"/>
    </xf>
    <xf numFmtId="167" fontId="138" fillId="0" borderId="0" xfId="0" applyNumberFormat="1" applyFont="1" applyFill="1" applyBorder="1" applyAlignment="1" applyProtection="1">
      <alignment vertical="center"/>
      <protection locked="0"/>
    </xf>
    <xf numFmtId="173" fontId="103" fillId="0" borderId="0" xfId="0" applyFont="1" applyFill="1" applyBorder="1" applyAlignment="1" applyProtection="1">
      <alignment horizontal="right" indent="2"/>
      <protection locked="0"/>
    </xf>
    <xf numFmtId="173" fontId="64" fillId="0" borderId="0" xfId="0" applyFont="1" applyBorder="1" applyAlignment="1" applyProtection="1">
      <alignment horizontal="right" vertical="top"/>
      <protection locked="0"/>
    </xf>
    <xf numFmtId="173" fontId="64" fillId="0" borderId="0" xfId="0" applyFont="1" applyFill="1" applyBorder="1" applyAlignment="1" applyProtection="1">
      <alignment horizontal="right" vertical="top"/>
      <protection locked="0"/>
    </xf>
    <xf numFmtId="173" fontId="173" fillId="0" borderId="0" xfId="0" applyFont="1" applyBorder="1" applyAlignment="1" applyProtection="1">
      <alignment horizontal="right" vertical="top"/>
      <protection hidden="1"/>
    </xf>
    <xf numFmtId="181" fontId="15" fillId="0" borderId="0" xfId="0" applyNumberFormat="1" applyFont="1" applyBorder="1" applyAlignment="1" applyProtection="1">
      <alignment horizontal="right" vertical="center"/>
      <protection hidden="1"/>
    </xf>
    <xf numFmtId="173" fontId="64" fillId="0" borderId="0" xfId="0" applyFont="1" applyFill="1" applyBorder="1">
      <alignment horizontal="right"/>
    </xf>
    <xf numFmtId="173" fontId="177" fillId="0" borderId="0" xfId="0" applyFont="1" applyBorder="1" applyAlignment="1" applyProtection="1">
      <alignment horizontal="right" vertical="center"/>
      <protection locked="0"/>
    </xf>
    <xf numFmtId="170" fontId="17" fillId="0" borderId="0" xfId="0" applyNumberFormat="1" applyFont="1" applyFill="1" applyBorder="1" applyAlignment="1" applyProtection="1">
      <alignment horizontal="center" vertical="center"/>
      <protection locked="0"/>
    </xf>
    <xf numFmtId="173" fontId="19" fillId="0" borderId="0" xfId="0" applyFont="1" applyBorder="1" applyAlignment="1" applyProtection="1">
      <alignment horizontal="left" vertical="top" wrapText="1"/>
      <protection locked="0"/>
    </xf>
    <xf numFmtId="173" fontId="19" fillId="0" borderId="0" xfId="0" applyFont="1" applyBorder="1" applyAlignment="1" applyProtection="1">
      <alignment horizontal="right" vertical="top"/>
      <protection locked="0"/>
    </xf>
    <xf numFmtId="173" fontId="87" fillId="0" borderId="0" xfId="0" applyFont="1" applyFill="1" applyBorder="1" applyAlignment="1" applyProtection="1">
      <alignment horizontal="center" vertical="center" wrapText="1"/>
      <protection locked="0"/>
    </xf>
    <xf numFmtId="169" fontId="180" fillId="0" borderId="0" xfId="0" applyNumberFormat="1" applyFont="1" applyFill="1" applyBorder="1" applyAlignment="1" applyProtection="1">
      <alignment horizontal="center" vertical="center"/>
      <protection locked="0"/>
    </xf>
    <xf numFmtId="3" fontId="181" fillId="0" borderId="0" xfId="0" applyNumberFormat="1" applyFont="1" applyFill="1" applyBorder="1" applyAlignment="1" applyProtection="1">
      <alignment horizontal="right" vertical="center" indent="1"/>
      <protection locked="0"/>
    </xf>
    <xf numFmtId="169" fontId="59" fillId="0" borderId="0" xfId="0" applyNumberFormat="1" applyFont="1" applyFill="1" applyBorder="1" applyAlignment="1" applyProtection="1">
      <alignment horizontal="center" vertical="center"/>
      <protection locked="0"/>
    </xf>
    <xf numFmtId="167" fontId="34" fillId="0" borderId="0" xfId="0" applyNumberFormat="1" applyFont="1" applyFill="1" applyBorder="1" applyAlignment="1" applyProtection="1">
      <alignment vertical="center" wrapText="1"/>
      <protection hidden="1"/>
    </xf>
    <xf numFmtId="167" fontId="163" fillId="0" borderId="0" xfId="0" quotePrefix="1" applyNumberFormat="1" applyFont="1" applyBorder="1" applyAlignment="1" applyProtection="1">
      <alignment vertical="center"/>
      <protection locked="0"/>
    </xf>
    <xf numFmtId="167" fontId="163" fillId="0" borderId="0" xfId="0" quotePrefix="1" applyNumberFormat="1" applyFont="1" applyBorder="1" applyAlignment="1" applyProtection="1">
      <alignment vertical="center"/>
      <protection locked="0" hidden="1"/>
    </xf>
    <xf numFmtId="173" fontId="90" fillId="0" borderId="0" xfId="0" applyFont="1" applyFill="1" applyBorder="1" applyProtection="1">
      <alignment horizontal="right"/>
      <protection locked="0"/>
    </xf>
    <xf numFmtId="3" fontId="32" fillId="0" borderId="0" xfId="0" applyNumberFormat="1" applyFont="1" applyFill="1" applyBorder="1" applyAlignment="1" applyProtection="1">
      <alignment horizontal="right" vertical="center" indent="1"/>
      <protection locked="0"/>
    </xf>
    <xf numFmtId="9" fontId="62" fillId="0" borderId="0" xfId="0" applyNumberFormat="1" applyFont="1" applyFill="1" applyBorder="1" applyAlignment="1" applyProtection="1">
      <alignment horizontal="center" vertical="center"/>
      <protection locked="0"/>
    </xf>
    <xf numFmtId="173" fontId="46" fillId="0" borderId="28" xfId="0" applyFont="1" applyFill="1" applyBorder="1" applyAlignment="1" applyProtection="1">
      <alignment horizontal="center" vertical="center"/>
      <protection locked="0"/>
    </xf>
    <xf numFmtId="173" fontId="46" fillId="0" borderId="29" xfId="0" applyFont="1" applyFill="1" applyBorder="1" applyAlignment="1" applyProtection="1">
      <alignment horizontal="center" vertical="center"/>
      <protection locked="0"/>
    </xf>
    <xf numFmtId="173" fontId="46" fillId="0" borderId="30" xfId="0" applyFont="1" applyFill="1" applyBorder="1" applyAlignment="1" applyProtection="1">
      <alignment horizontal="center" vertical="center"/>
      <protection locked="0"/>
    </xf>
    <xf numFmtId="173" fontId="46" fillId="0" borderId="32" xfId="0" applyFont="1" applyFill="1" applyBorder="1" applyAlignment="1" applyProtection="1">
      <alignment horizontal="center" vertical="center"/>
      <protection locked="0"/>
    </xf>
    <xf numFmtId="173" fontId="19" fillId="0" borderId="35" xfId="0" applyFont="1" applyBorder="1" applyAlignment="1" applyProtection="1">
      <alignment horizontal="left" vertical="center" indent="1"/>
      <protection hidden="1"/>
    </xf>
    <xf numFmtId="173" fontId="46" fillId="0" borderId="35" xfId="0" applyFont="1" applyFill="1" applyBorder="1" applyAlignment="1" applyProtection="1">
      <alignment horizontal="center" vertical="center"/>
      <protection locked="0"/>
    </xf>
    <xf numFmtId="167" fontId="15" fillId="0" borderId="31" xfId="0" applyNumberFormat="1" applyFont="1" applyBorder="1" applyAlignment="1" applyProtection="1">
      <alignment vertical="center"/>
      <protection locked="0"/>
    </xf>
    <xf numFmtId="167" fontId="15" fillId="0" borderId="42" xfId="0" applyNumberFormat="1" applyFont="1" applyBorder="1" applyAlignment="1" applyProtection="1">
      <alignment vertical="center"/>
      <protection locked="0"/>
    </xf>
    <xf numFmtId="167" fontId="15" fillId="0" borderId="43" xfId="0" applyNumberFormat="1" applyFont="1" applyBorder="1" applyAlignment="1" applyProtection="1">
      <alignment vertical="center"/>
      <protection locked="0"/>
    </xf>
    <xf numFmtId="167" fontId="15" fillId="0" borderId="39" xfId="0" applyNumberFormat="1" applyFont="1" applyBorder="1" applyAlignment="1" applyProtection="1">
      <alignment vertical="center"/>
      <protection locked="0"/>
    </xf>
    <xf numFmtId="167" fontId="15" fillId="0" borderId="44" xfId="0" applyNumberFormat="1" applyFont="1" applyBorder="1" applyAlignment="1" applyProtection="1">
      <alignment vertical="center"/>
      <protection locked="0"/>
    </xf>
    <xf numFmtId="167" fontId="15" fillId="0" borderId="37" xfId="0" applyNumberFormat="1" applyFont="1" applyBorder="1" applyAlignment="1" applyProtection="1">
      <alignment vertical="center"/>
      <protection locked="0"/>
    </xf>
    <xf numFmtId="167" fontId="15" fillId="0" borderId="34" xfId="0" applyNumberFormat="1" applyFont="1" applyBorder="1" applyAlignment="1" applyProtection="1">
      <alignment vertical="center"/>
      <protection locked="0"/>
    </xf>
    <xf numFmtId="167" fontId="195" fillId="24" borderId="46" xfId="0" applyNumberFormat="1" applyFont="1" applyFill="1" applyBorder="1" applyAlignment="1" applyProtection="1">
      <alignment vertical="center"/>
      <protection locked="0"/>
    </xf>
    <xf numFmtId="173" fontId="196" fillId="26" borderId="58" xfId="0" applyFont="1" applyFill="1" applyBorder="1" applyAlignment="1" applyProtection="1">
      <alignment horizontal="center" vertical="center"/>
      <protection hidden="1"/>
    </xf>
    <xf numFmtId="9" fontId="196" fillId="26" borderId="61" xfId="0" applyNumberFormat="1" applyFont="1" applyFill="1" applyBorder="1" applyAlignment="1" applyProtection="1">
      <alignment horizontal="center" vertical="center"/>
      <protection hidden="1"/>
    </xf>
    <xf numFmtId="167" fontId="195" fillId="26" borderId="62" xfId="0" applyNumberFormat="1" applyFont="1" applyFill="1" applyBorder="1" applyAlignment="1" applyProtection="1">
      <alignment vertical="center"/>
      <protection hidden="1"/>
    </xf>
    <xf numFmtId="173" fontId="194" fillId="25" borderId="28" xfId="0" applyFont="1" applyFill="1" applyBorder="1" applyAlignment="1" applyProtection="1">
      <alignment horizontal="left" vertical="center" indent="1"/>
      <protection locked="0"/>
    </xf>
    <xf numFmtId="173" fontId="198" fillId="0" borderId="32" xfId="0" applyFont="1" applyBorder="1" applyAlignment="1" applyProtection="1">
      <alignment horizontal="left" vertical="center" indent="1"/>
      <protection hidden="1"/>
    </xf>
    <xf numFmtId="190" fontId="198" fillId="0" borderId="32" xfId="0" applyNumberFormat="1" applyFont="1" applyFill="1" applyBorder="1" applyAlignment="1" applyProtection="1">
      <alignment horizontal="right" vertical="center"/>
      <protection locked="0"/>
    </xf>
    <xf numFmtId="190" fontId="198" fillId="0" borderId="65" xfId="0" applyNumberFormat="1" applyFont="1" applyFill="1" applyBorder="1" applyAlignment="1" applyProtection="1">
      <alignment horizontal="right" vertical="center"/>
      <protection locked="0"/>
    </xf>
    <xf numFmtId="173" fontId="194" fillId="25" borderId="32" xfId="0" applyFont="1" applyFill="1" applyBorder="1" applyAlignment="1" applyProtection="1">
      <alignment horizontal="left" vertical="center" indent="1"/>
      <protection locked="0"/>
    </xf>
    <xf numFmtId="173" fontId="194" fillId="25" borderId="35" xfId="0" applyFont="1" applyFill="1" applyBorder="1" applyAlignment="1" applyProtection="1">
      <alignment horizontal="left" vertical="center" indent="1"/>
      <protection locked="0"/>
    </xf>
    <xf numFmtId="173" fontId="99" fillId="0" borderId="0" xfId="0" applyFont="1" applyBorder="1" applyProtection="1">
      <alignment horizontal="right"/>
      <protection hidden="1"/>
    </xf>
    <xf numFmtId="173" fontId="194" fillId="25" borderId="71" xfId="0" applyFont="1" applyFill="1" applyBorder="1" applyAlignment="1" applyProtection="1">
      <alignment horizontal="right" vertical="center" indent="1"/>
      <protection locked="0"/>
    </xf>
    <xf numFmtId="173" fontId="200" fillId="0" borderId="0" xfId="0" applyFont="1" applyFill="1" applyBorder="1" applyProtection="1">
      <alignment horizontal="right"/>
      <protection locked="0"/>
    </xf>
    <xf numFmtId="173" fontId="68" fillId="0" borderId="0" xfId="0" applyFont="1" applyBorder="1" applyAlignment="1" applyProtection="1">
      <alignment horizontal="left" vertical="center" indent="1"/>
      <protection locked="0"/>
    </xf>
    <xf numFmtId="173" fontId="31" fillId="0" borderId="0" xfId="7" applyFont="1" applyFill="1" applyBorder="1" applyAlignment="1" applyProtection="1">
      <alignment horizontal="right" vertical="center" indent="1"/>
      <protection locked="0"/>
    </xf>
    <xf numFmtId="169" fontId="53" fillId="0" borderId="0" xfId="0" applyNumberFormat="1" applyFont="1" applyFill="1" applyBorder="1" applyAlignment="1" applyProtection="1">
      <alignment horizontal="center" vertical="center"/>
      <protection locked="0"/>
    </xf>
    <xf numFmtId="167" fontId="16" fillId="0" borderId="0" xfId="0" applyNumberFormat="1" applyFont="1" applyFill="1" applyBorder="1" applyAlignment="1" applyProtection="1">
      <alignment vertical="center"/>
      <protection locked="0"/>
    </xf>
    <xf numFmtId="169" fontId="16" fillId="0" borderId="0" xfId="0" applyNumberFormat="1" applyFont="1" applyFill="1" applyBorder="1" applyAlignment="1" applyProtection="1">
      <alignment horizontal="center" vertical="center"/>
      <protection locked="0"/>
    </xf>
    <xf numFmtId="167" fontId="15" fillId="0" borderId="39" xfId="0" applyNumberFormat="1" applyFont="1" applyFill="1" applyBorder="1" applyAlignment="1" applyProtection="1">
      <alignment horizontal="right" vertical="center"/>
      <protection locked="0"/>
    </xf>
    <xf numFmtId="167" fontId="15" fillId="0" borderId="34" xfId="0" applyNumberFormat="1" applyFont="1" applyFill="1" applyBorder="1" applyAlignment="1" applyProtection="1">
      <alignment horizontal="right" vertical="center"/>
      <protection locked="0"/>
    </xf>
    <xf numFmtId="173" fontId="132" fillId="0" borderId="0" xfId="0" applyFont="1" applyFill="1" applyBorder="1" applyAlignment="1" applyProtection="1">
      <alignment horizontal="center" textRotation="90"/>
      <protection locked="0"/>
    </xf>
    <xf numFmtId="173" fontId="132" fillId="0" borderId="0" xfId="0" applyFont="1" applyFill="1" applyBorder="1" applyAlignment="1" applyProtection="1">
      <alignment horizontal="center" vertical="center" textRotation="90"/>
      <protection locked="0"/>
    </xf>
    <xf numFmtId="173" fontId="99" fillId="0" borderId="0" xfId="0" applyFont="1" applyBorder="1" applyAlignment="1" applyProtection="1">
      <alignment horizontal="right" vertical="center"/>
      <protection hidden="1"/>
    </xf>
    <xf numFmtId="173" fontId="25" fillId="0" borderId="0" xfId="0" applyFont="1" applyBorder="1" applyAlignment="1" applyProtection="1">
      <alignment horizontal="left" vertical="center"/>
      <protection hidden="1"/>
    </xf>
    <xf numFmtId="173" fontId="69" fillId="0" borderId="0" xfId="0" applyFont="1" applyBorder="1" applyAlignment="1" applyProtection="1">
      <alignment horizontal="left" vertical="center"/>
      <protection hidden="1"/>
    </xf>
    <xf numFmtId="173" fontId="30" fillId="0" borderId="0" xfId="0" applyFont="1" applyBorder="1" applyAlignment="1" applyProtection="1">
      <alignment horizontal="left" vertical="center" indent="2"/>
      <protection locked="0"/>
    </xf>
    <xf numFmtId="173" fontId="25" fillId="0" borderId="6" xfId="0" applyFont="1" applyBorder="1" applyAlignment="1" applyProtection="1">
      <alignment horizontal="center" vertical="center"/>
      <protection locked="0" hidden="1"/>
    </xf>
    <xf numFmtId="14" fontId="25" fillId="0" borderId="6" xfId="0" applyNumberFormat="1" applyFont="1" applyBorder="1" applyAlignment="1" applyProtection="1">
      <alignment horizontal="center" vertical="center"/>
      <protection locked="0"/>
    </xf>
    <xf numFmtId="173" fontId="69" fillId="0" borderId="0" xfId="0" applyFont="1" applyBorder="1" applyAlignment="1" applyProtection="1">
      <alignment horizontal="left" vertical="center" wrapText="1"/>
      <protection locked="0"/>
    </xf>
    <xf numFmtId="173" fontId="43" fillId="0" borderId="0" xfId="0" applyFont="1" applyFill="1" applyBorder="1" applyAlignment="1" applyProtection="1">
      <alignment vertical="center"/>
      <protection locked="0"/>
    </xf>
    <xf numFmtId="173" fontId="25" fillId="0" borderId="0" xfId="0" applyFont="1" applyBorder="1" applyAlignment="1" applyProtection="1">
      <alignment horizontal="right" vertical="center" indent="1"/>
      <protection locked="0"/>
    </xf>
    <xf numFmtId="173" fontId="25" fillId="0" borderId="0" xfId="0" applyFont="1" applyBorder="1" applyAlignment="1" applyProtection="1">
      <alignment horizontal="left" vertical="top" wrapText="1"/>
      <protection locked="0"/>
    </xf>
    <xf numFmtId="173" fontId="69" fillId="0" borderId="0" xfId="0" applyFont="1" applyBorder="1" applyAlignment="1" applyProtection="1">
      <alignment horizontal="left" vertical="top" wrapText="1"/>
      <protection locked="0"/>
    </xf>
    <xf numFmtId="173" fontId="69" fillId="0" borderId="0" xfId="0" applyFont="1" applyBorder="1" applyAlignment="1" applyProtection="1">
      <alignment vertical="center" wrapText="1"/>
      <protection hidden="1"/>
    </xf>
    <xf numFmtId="173" fontId="25" fillId="0" borderId="0" xfId="0" applyFont="1" applyBorder="1" applyAlignment="1" applyProtection="1">
      <alignment horizontal="left" vertical="top"/>
      <protection locked="0"/>
    </xf>
    <xf numFmtId="173" fontId="81" fillId="0" borderId="0" xfId="0" applyFont="1" applyFill="1" applyBorder="1" applyProtection="1">
      <alignment horizontal="right"/>
      <protection locked="0"/>
    </xf>
    <xf numFmtId="173" fontId="81" fillId="0" borderId="0" xfId="0" applyFont="1" applyBorder="1" applyProtection="1">
      <alignment horizontal="right"/>
      <protection locked="0"/>
    </xf>
    <xf numFmtId="173" fontId="0" fillId="0" borderId="0" xfId="0" applyBorder="1" applyAlignment="1">
      <alignment vertical="center"/>
    </xf>
    <xf numFmtId="173" fontId="69" fillId="0" borderId="0" xfId="0" applyFont="1" applyBorder="1" applyAlignment="1" applyProtection="1">
      <alignment horizontal="left" vertical="top" wrapText="1"/>
      <protection locked="0"/>
    </xf>
    <xf numFmtId="173" fontId="25" fillId="0" borderId="0" xfId="0" applyFont="1" applyBorder="1" applyAlignment="1" applyProtection="1">
      <alignment horizontal="left" vertical="top" wrapText="1"/>
      <protection locked="0"/>
    </xf>
    <xf numFmtId="173" fontId="69" fillId="0" borderId="0" xfId="0" applyFont="1" applyBorder="1" applyAlignment="1" applyProtection="1">
      <alignment vertical="top" wrapText="1"/>
      <protection locked="0"/>
    </xf>
    <xf numFmtId="173" fontId="0" fillId="0" borderId="0" xfId="0" applyBorder="1" applyAlignment="1">
      <alignment horizontal="left" vertical="top" wrapText="1"/>
    </xf>
    <xf numFmtId="173" fontId="25" fillId="0" borderId="0" xfId="0" applyFont="1" applyBorder="1" applyAlignment="1" applyProtection="1">
      <alignment vertical="center"/>
      <protection locked="0"/>
    </xf>
    <xf numFmtId="172" fontId="25" fillId="0" borderId="0" xfId="0" applyNumberFormat="1" applyFont="1" applyBorder="1" applyAlignment="1" applyProtection="1">
      <alignment horizontal="left" vertical="center"/>
      <protection locked="0"/>
    </xf>
    <xf numFmtId="173" fontId="0" fillId="0" borderId="0" xfId="0" applyBorder="1" applyAlignment="1"/>
    <xf numFmtId="173" fontId="23" fillId="0" borderId="6" xfId="0" applyFont="1" applyBorder="1" applyAlignment="1" applyProtection="1">
      <alignment horizontal="center" vertical="center"/>
      <protection locked="0" hidden="1"/>
    </xf>
    <xf numFmtId="173" fontId="25" fillId="0" borderId="86" xfId="0" applyFont="1" applyBorder="1" applyAlignment="1" applyProtection="1">
      <alignment horizontal="center" vertical="center"/>
      <protection locked="0" hidden="1"/>
    </xf>
    <xf numFmtId="173" fontId="25" fillId="0" borderId="87" xfId="0" applyFont="1" applyBorder="1" applyAlignment="1" applyProtection="1">
      <alignment vertical="center"/>
      <protection locked="0" hidden="1"/>
    </xf>
    <xf numFmtId="173" fontId="15" fillId="32" borderId="0" xfId="0" applyFont="1" applyFill="1" applyBorder="1" applyProtection="1">
      <alignment horizontal="right"/>
      <protection hidden="1"/>
    </xf>
    <xf numFmtId="189" fontId="158" fillId="32" borderId="0" xfId="0" applyNumberFormat="1" applyFont="1" applyFill="1" applyBorder="1">
      <alignment horizontal="right"/>
    </xf>
    <xf numFmtId="173" fontId="15" fillId="32" borderId="0" xfId="0" applyFont="1" applyFill="1" applyBorder="1">
      <alignment horizontal="right"/>
    </xf>
    <xf numFmtId="173" fontId="73" fillId="32" borderId="0" xfId="0" applyFont="1" applyFill="1" applyBorder="1" applyAlignment="1" applyProtection="1">
      <alignment horizontal="center" vertical="center"/>
      <protection hidden="1"/>
    </xf>
    <xf numFmtId="173" fontId="192" fillId="32" borderId="0" xfId="7" applyFont="1" applyFill="1" applyBorder="1" applyAlignment="1" applyProtection="1">
      <alignment horizontal="left" vertical="center" indent="1"/>
      <protection locked="0"/>
    </xf>
    <xf numFmtId="173" fontId="15" fillId="32" borderId="0" xfId="0" applyFont="1" applyFill="1" applyBorder="1" applyAlignment="1">
      <alignment horizontal="right" vertical="center"/>
    </xf>
    <xf numFmtId="173" fontId="74" fillId="32" borderId="0" xfId="0" applyFont="1" applyFill="1" applyBorder="1">
      <alignment horizontal="right"/>
    </xf>
    <xf numFmtId="173" fontId="15" fillId="32" borderId="89" xfId="0" applyFont="1" applyFill="1" applyBorder="1" applyProtection="1">
      <alignment horizontal="right"/>
      <protection hidden="1"/>
    </xf>
    <xf numFmtId="173" fontId="15" fillId="32" borderId="90" xfId="0" applyFont="1" applyFill="1" applyBorder="1" applyProtection="1">
      <alignment horizontal="right"/>
      <protection hidden="1"/>
    </xf>
    <xf numFmtId="173" fontId="15" fillId="32" borderId="91" xfId="0" applyFont="1" applyFill="1" applyBorder="1" applyProtection="1">
      <alignment horizontal="right"/>
      <protection hidden="1"/>
    </xf>
    <xf numFmtId="173" fontId="15" fillId="32" borderId="92" xfId="0" applyFont="1" applyFill="1" applyBorder="1" applyProtection="1">
      <alignment horizontal="right"/>
      <protection hidden="1"/>
    </xf>
    <xf numFmtId="173" fontId="15" fillId="32" borderId="93" xfId="0" applyFont="1" applyFill="1" applyBorder="1" applyProtection="1">
      <alignment horizontal="right"/>
      <protection hidden="1"/>
    </xf>
    <xf numFmtId="173" fontId="15" fillId="32" borderId="92" xfId="0" applyFont="1" applyFill="1" applyBorder="1" applyAlignment="1" applyProtection="1">
      <alignment horizontal="right" vertical="center"/>
      <protection hidden="1"/>
    </xf>
    <xf numFmtId="173" fontId="15" fillId="32" borderId="95" xfId="0" applyFont="1" applyFill="1" applyBorder="1" applyProtection="1">
      <alignment horizontal="right"/>
      <protection hidden="1"/>
    </xf>
    <xf numFmtId="173" fontId="15" fillId="32" borderId="96" xfId="0" applyFont="1" applyFill="1" applyBorder="1" applyProtection="1">
      <alignment horizontal="right"/>
      <protection hidden="1"/>
    </xf>
    <xf numFmtId="173" fontId="210" fillId="0" borderId="0" xfId="0" applyFont="1" applyFill="1" applyBorder="1" applyAlignment="1" applyProtection="1">
      <alignment horizontal="left"/>
      <protection locked="0"/>
    </xf>
    <xf numFmtId="173" fontId="211" fillId="0" borderId="0" xfId="0" applyFont="1" applyBorder="1" applyAlignment="1" applyProtection="1">
      <alignment vertical="center"/>
      <protection locked="0"/>
    </xf>
    <xf numFmtId="9" fontId="211" fillId="0" borderId="0" xfId="0" applyNumberFormat="1" applyFont="1" applyBorder="1" applyAlignment="1" applyProtection="1">
      <alignment horizontal="left" vertical="center" indent="1"/>
      <protection hidden="1"/>
    </xf>
    <xf numFmtId="175" fontId="211" fillId="0" borderId="0" xfId="0" applyNumberFormat="1" applyFont="1" applyFill="1" applyBorder="1" applyAlignment="1" applyProtection="1">
      <alignment horizontal="left" vertical="center"/>
      <protection hidden="1"/>
    </xf>
    <xf numFmtId="173" fontId="11" fillId="0" borderId="0" xfId="0" applyFont="1" applyBorder="1">
      <alignment horizontal="right"/>
    </xf>
    <xf numFmtId="173" fontId="216" fillId="0" borderId="0" xfId="0" applyFont="1" applyBorder="1" applyProtection="1">
      <alignment horizontal="right"/>
      <protection hidden="1"/>
    </xf>
    <xf numFmtId="173" fontId="19" fillId="0" borderId="0" xfId="0" applyFont="1" applyBorder="1" applyAlignment="1" applyProtection="1">
      <alignment horizontal="left" vertical="center" wrapText="1"/>
      <protection hidden="1"/>
    </xf>
    <xf numFmtId="173" fontId="15" fillId="0" borderId="0" xfId="0" applyFont="1" applyBorder="1" applyAlignment="1" applyProtection="1">
      <alignment horizontal="left" vertical="center"/>
      <protection hidden="1"/>
    </xf>
    <xf numFmtId="173" fontId="19" fillId="0" borderId="0" xfId="0" applyFont="1" applyBorder="1" applyAlignment="1" applyProtection="1">
      <alignment horizontal="left" vertical="center"/>
      <protection hidden="1"/>
    </xf>
    <xf numFmtId="173" fontId="19" fillId="0" borderId="0" xfId="0" applyFont="1" applyBorder="1" applyAlignment="1" applyProtection="1">
      <alignment horizontal="right" vertical="center"/>
      <protection hidden="1"/>
    </xf>
    <xf numFmtId="167" fontId="12" fillId="0" borderId="0" xfId="0" applyNumberFormat="1" applyFont="1" applyFill="1" applyBorder="1" applyAlignment="1" applyProtection="1">
      <alignment horizontal="center"/>
      <protection locked="0"/>
    </xf>
    <xf numFmtId="173" fontId="17" fillId="2" borderId="0" xfId="0" applyFont="1" applyFill="1" applyBorder="1" applyProtection="1">
      <alignment horizontal="right"/>
      <protection locked="0"/>
    </xf>
    <xf numFmtId="169" fontId="224" fillId="0" borderId="0" xfId="0" applyNumberFormat="1" applyFont="1" applyFill="1" applyBorder="1" applyAlignment="1" applyProtection="1">
      <alignment horizontal="center" vertical="center"/>
      <protection locked="0"/>
    </xf>
    <xf numFmtId="173" fontId="22" fillId="0" borderId="32" xfId="0" applyFont="1" applyBorder="1" applyAlignment="1" applyProtection="1">
      <alignment horizontal="center" vertical="center"/>
      <protection locked="0"/>
    </xf>
    <xf numFmtId="173" fontId="22" fillId="0" borderId="28" xfId="0" applyFont="1" applyBorder="1" applyAlignment="1" applyProtection="1">
      <alignment horizontal="center" vertical="center"/>
      <protection locked="0"/>
    </xf>
    <xf numFmtId="173" fontId="22" fillId="0" borderId="35" xfId="0" applyFont="1" applyBorder="1" applyAlignment="1" applyProtection="1">
      <alignment horizontal="center" vertical="center"/>
      <protection locked="0"/>
    </xf>
    <xf numFmtId="173" fontId="22" fillId="0" borderId="30" xfId="0" applyFont="1" applyBorder="1" applyAlignment="1" applyProtection="1">
      <alignment horizontal="center" vertical="center"/>
      <protection locked="0"/>
    </xf>
    <xf numFmtId="173" fontId="22" fillId="0" borderId="29" xfId="0" applyFont="1" applyBorder="1" applyAlignment="1" applyProtection="1">
      <alignment horizontal="center" vertical="center"/>
      <protection locked="0"/>
    </xf>
    <xf numFmtId="173" fontId="226" fillId="32" borderId="0" xfId="0" applyFont="1" applyFill="1" applyBorder="1" applyAlignment="1" applyProtection="1">
      <alignment horizontal="left"/>
      <protection hidden="1"/>
    </xf>
    <xf numFmtId="179" fontId="194" fillId="0" borderId="49" xfId="0" applyNumberFormat="1" applyFont="1" applyFill="1" applyBorder="1" applyAlignment="1" applyProtection="1">
      <alignment horizontal="right" vertical="center"/>
      <protection locked="0"/>
    </xf>
    <xf numFmtId="179" fontId="194" fillId="0" borderId="28" xfId="0" applyNumberFormat="1" applyFont="1" applyFill="1" applyBorder="1" applyAlignment="1" applyProtection="1">
      <alignment horizontal="right" vertical="center"/>
      <protection locked="0"/>
    </xf>
    <xf numFmtId="191" fontId="194" fillId="0" borderId="66" xfId="0" applyNumberFormat="1" applyFont="1" applyFill="1" applyBorder="1" applyAlignment="1" applyProtection="1">
      <alignment horizontal="center" vertical="center"/>
      <protection locked="0"/>
    </xf>
    <xf numFmtId="191" fontId="194" fillId="0" borderId="69" xfId="0" applyNumberFormat="1" applyFont="1" applyFill="1" applyBorder="1" applyAlignment="1" applyProtection="1">
      <alignment horizontal="center" vertical="center"/>
      <protection locked="0"/>
    </xf>
    <xf numFmtId="191" fontId="194" fillId="0" borderId="51" xfId="0" applyNumberFormat="1" applyFont="1" applyFill="1" applyBorder="1" applyAlignment="1" applyProtection="1">
      <alignment horizontal="center" vertical="center"/>
      <protection locked="0"/>
    </xf>
    <xf numFmtId="167" fontId="134" fillId="0" borderId="112" xfId="0" applyNumberFormat="1" applyFont="1" applyFill="1" applyBorder="1" applyAlignment="1" applyProtection="1">
      <alignment vertical="center"/>
      <protection hidden="1"/>
    </xf>
    <xf numFmtId="9" fontId="134" fillId="0" borderId="113" xfId="0" applyNumberFormat="1" applyFont="1" applyFill="1" applyBorder="1" applyAlignment="1" applyProtection="1">
      <alignment horizontal="center" vertical="center"/>
      <protection hidden="1"/>
    </xf>
    <xf numFmtId="167" fontId="178" fillId="0" borderId="114" xfId="0" applyNumberFormat="1" applyFont="1" applyFill="1" applyBorder="1" applyAlignment="1" applyProtection="1">
      <alignment vertical="center"/>
      <protection hidden="1"/>
    </xf>
    <xf numFmtId="167" fontId="178" fillId="0" borderId="112" xfId="0" applyNumberFormat="1" applyFont="1" applyFill="1" applyBorder="1" applyAlignment="1" applyProtection="1">
      <alignment vertical="center"/>
      <protection hidden="1"/>
    </xf>
    <xf numFmtId="173" fontId="209" fillId="40" borderId="88" xfId="0" applyFont="1" applyFill="1" applyBorder="1" applyAlignment="1" applyProtection="1">
      <alignment horizontal="center" vertical="center"/>
      <protection hidden="1"/>
    </xf>
    <xf numFmtId="173" fontId="28" fillId="32" borderId="0" xfId="0" applyFont="1" applyFill="1" applyBorder="1">
      <alignment horizontal="right"/>
    </xf>
    <xf numFmtId="173" fontId="15" fillId="43" borderId="0" xfId="0" applyFont="1" applyFill="1" applyBorder="1" applyProtection="1">
      <alignment horizontal="right"/>
      <protection hidden="1"/>
    </xf>
    <xf numFmtId="173" fontId="15" fillId="43" borderId="116" xfId="0" applyFont="1" applyFill="1" applyBorder="1">
      <alignment horizontal="right"/>
    </xf>
    <xf numFmtId="173" fontId="15" fillId="43" borderId="117" xfId="0" applyFont="1" applyFill="1" applyBorder="1" applyProtection="1">
      <alignment horizontal="right"/>
      <protection hidden="1"/>
    </xf>
    <xf numFmtId="173" fontId="15" fillId="43" borderId="117" xfId="0" applyFont="1" applyFill="1" applyBorder="1">
      <alignment horizontal="right"/>
    </xf>
    <xf numFmtId="173" fontId="193" fillId="43" borderId="117" xfId="7" applyFont="1" applyFill="1" applyBorder="1" applyAlignment="1" applyProtection="1">
      <alignment horizontal="left" vertical="center" wrapText="1" indent="1"/>
      <protection locked="0"/>
    </xf>
    <xf numFmtId="173" fontId="15" fillId="43" borderId="118" xfId="0" applyFont="1" applyFill="1" applyBorder="1" applyProtection="1">
      <alignment horizontal="right"/>
      <protection hidden="1"/>
    </xf>
    <xf numFmtId="173" fontId="15" fillId="43" borderId="119" xfId="0" applyFont="1" applyFill="1" applyBorder="1">
      <alignment horizontal="right"/>
    </xf>
    <xf numFmtId="173" fontId="15" fillId="43" borderId="120" xfId="0" applyFont="1" applyFill="1" applyBorder="1" applyProtection="1">
      <alignment horizontal="right"/>
      <protection hidden="1"/>
    </xf>
    <xf numFmtId="173" fontId="15" fillId="43" borderId="119" xfId="0" applyFont="1" applyFill="1" applyBorder="1" applyProtection="1">
      <alignment horizontal="right"/>
      <protection hidden="1"/>
    </xf>
    <xf numFmtId="172" fontId="212" fillId="0" borderId="0" xfId="0" applyNumberFormat="1" applyFont="1" applyBorder="1" applyAlignment="1" applyProtection="1">
      <alignment horizontal="center" vertical="center" wrapText="1"/>
      <protection hidden="1"/>
    </xf>
    <xf numFmtId="173" fontId="106" fillId="0" borderId="0" xfId="0" applyFont="1" applyFill="1" applyBorder="1" applyAlignment="1" applyProtection="1">
      <alignment horizontal="center" vertical="center"/>
      <protection locked="0"/>
    </xf>
    <xf numFmtId="3" fontId="238" fillId="0" borderId="0" xfId="0" applyNumberFormat="1" applyFont="1" applyFill="1" applyBorder="1" applyAlignment="1" applyProtection="1">
      <alignment horizontal="left" vertical="center" indent="1"/>
      <protection hidden="1"/>
    </xf>
    <xf numFmtId="175" fontId="240" fillId="0" borderId="0" xfId="0" applyNumberFormat="1" applyFont="1" applyFill="1" applyBorder="1" applyAlignment="1" applyProtection="1">
      <alignment horizontal="right" indent="3"/>
      <protection hidden="1"/>
    </xf>
    <xf numFmtId="175" fontId="238" fillId="0" borderId="0" xfId="0" applyNumberFormat="1" applyFont="1" applyFill="1" applyBorder="1" applyAlignment="1" applyProtection="1">
      <alignment horizontal="right" vertical="center" indent="3"/>
      <protection hidden="1"/>
    </xf>
    <xf numFmtId="175" fontId="201" fillId="0" borderId="0" xfId="0" applyNumberFormat="1" applyFont="1" applyFill="1" applyBorder="1" applyAlignment="1" applyProtection="1">
      <alignment horizontal="right" vertical="center" indent="3"/>
      <protection hidden="1"/>
    </xf>
    <xf numFmtId="173" fontId="200" fillId="0" borderId="0" xfId="0" applyFont="1" applyBorder="1" applyAlignment="1">
      <alignment vertical="center"/>
    </xf>
    <xf numFmtId="3" fontId="40" fillId="0" borderId="0" xfId="0" applyNumberFormat="1" applyFont="1" applyFill="1" applyBorder="1" applyAlignment="1" applyProtection="1">
      <alignment horizontal="right" vertical="center"/>
      <protection locked="0"/>
    </xf>
    <xf numFmtId="169" fontId="40" fillId="0" borderId="0" xfId="0" applyNumberFormat="1" applyFont="1" applyFill="1" applyBorder="1" applyAlignment="1" applyProtection="1">
      <alignment horizontal="center" vertical="center"/>
      <protection locked="0"/>
    </xf>
    <xf numFmtId="169" fontId="90" fillId="0" borderId="0" xfId="0" applyNumberFormat="1" applyFont="1" applyFill="1" applyBorder="1" applyAlignment="1" applyProtection="1">
      <alignment horizontal="center" vertical="center"/>
      <protection hidden="1"/>
    </xf>
    <xf numFmtId="3" fontId="28" fillId="0" borderId="0" xfId="0" applyNumberFormat="1" applyFont="1" applyFill="1" applyBorder="1" applyAlignment="1" applyProtection="1">
      <alignment horizontal="right" vertical="center"/>
      <protection locked="0"/>
    </xf>
    <xf numFmtId="169" fontId="28" fillId="0" borderId="0" xfId="0" applyNumberFormat="1" applyFont="1" applyFill="1" applyBorder="1" applyAlignment="1" applyProtection="1">
      <alignment horizontal="center" vertical="center"/>
      <protection locked="0"/>
    </xf>
    <xf numFmtId="169" fontId="250" fillId="0" borderId="0" xfId="0" applyNumberFormat="1" applyFont="1" applyFill="1" applyBorder="1" applyAlignment="1" applyProtection="1">
      <alignment horizontal="center" vertical="center"/>
      <protection locked="0"/>
    </xf>
    <xf numFmtId="3" fontId="17" fillId="0" borderId="0" xfId="0" applyNumberFormat="1" applyFont="1" applyBorder="1" applyAlignment="1" applyProtection="1">
      <alignment horizontal="right" vertical="center"/>
      <protection locked="0"/>
    </xf>
    <xf numFmtId="169" fontId="17" fillId="0" borderId="0" xfId="0" applyNumberFormat="1" applyFont="1" applyBorder="1" applyAlignment="1" applyProtection="1">
      <alignment horizontal="center" vertical="center"/>
      <protection locked="0"/>
    </xf>
    <xf numFmtId="4" fontId="252" fillId="0" borderId="0" xfId="0" applyNumberFormat="1" applyFont="1" applyFill="1" applyBorder="1" applyAlignment="1">
      <alignment horizontal="center" vertical="center"/>
    </xf>
    <xf numFmtId="173" fontId="18" fillId="0" borderId="0" xfId="0" applyFont="1" applyFill="1" applyBorder="1" applyAlignment="1" applyProtection="1">
      <alignment horizontal="right" vertical="center"/>
      <protection locked="0"/>
    </xf>
    <xf numFmtId="3" fontId="18" fillId="0" borderId="0" xfId="0" applyNumberFormat="1" applyFont="1" applyBorder="1" applyAlignment="1" applyProtection="1">
      <alignment horizontal="right" vertical="center"/>
      <protection locked="0"/>
    </xf>
    <xf numFmtId="169" fontId="18" fillId="0" borderId="0" xfId="0" applyNumberFormat="1" applyFont="1" applyBorder="1" applyAlignment="1" applyProtection="1">
      <alignment horizontal="center" vertical="center"/>
      <protection locked="0"/>
    </xf>
    <xf numFmtId="3" fontId="253" fillId="0" borderId="0" xfId="0" applyNumberFormat="1" applyFont="1" applyFill="1" applyBorder="1" applyAlignment="1" applyProtection="1">
      <alignment horizontal="right" vertical="center"/>
      <protection locked="0"/>
    </xf>
    <xf numFmtId="169" fontId="253" fillId="0" borderId="0" xfId="0" applyNumberFormat="1" applyFont="1" applyFill="1" applyBorder="1" applyAlignment="1" applyProtection="1">
      <alignment horizontal="center" vertical="center"/>
      <protection locked="0"/>
    </xf>
    <xf numFmtId="9" fontId="223" fillId="0" borderId="0" xfId="0" applyNumberFormat="1" applyFont="1" applyBorder="1" applyAlignment="1" applyProtection="1">
      <alignment horizontal="center"/>
      <protection hidden="1"/>
    </xf>
    <xf numFmtId="9" fontId="223" fillId="0" borderId="0" xfId="0" applyNumberFormat="1" applyFont="1" applyBorder="1" applyAlignment="1" applyProtection="1">
      <alignment horizontal="right" indent="1"/>
      <protection hidden="1"/>
    </xf>
    <xf numFmtId="173" fontId="213" fillId="0" borderId="0" xfId="0" applyFont="1" applyBorder="1" applyAlignment="1" applyProtection="1">
      <alignment horizontal="center" vertical="center"/>
      <protection hidden="1"/>
    </xf>
    <xf numFmtId="173" fontId="213" fillId="0" borderId="0" xfId="0" applyFont="1" applyFill="1" applyBorder="1" applyAlignment="1" applyProtection="1">
      <alignment horizontal="center" vertical="center"/>
      <protection hidden="1"/>
    </xf>
    <xf numFmtId="169" fontId="18" fillId="0" borderId="0" xfId="0" applyNumberFormat="1" applyFont="1" applyFill="1" applyBorder="1" applyAlignment="1" applyProtection="1">
      <alignment horizontal="center" vertical="center"/>
      <protection locked="0"/>
    </xf>
    <xf numFmtId="3" fontId="156" fillId="0" borderId="0" xfId="0" applyNumberFormat="1" applyFont="1" applyFill="1" applyBorder="1" applyAlignment="1" applyProtection="1">
      <alignment horizontal="center" vertical="center"/>
      <protection locked="0"/>
    </xf>
    <xf numFmtId="173" fontId="28" fillId="0" borderId="0" xfId="0" applyFont="1" applyFill="1" applyBorder="1" applyAlignment="1" applyProtection="1">
      <alignment vertical="center"/>
      <protection locked="0"/>
    </xf>
    <xf numFmtId="3" fontId="28" fillId="0" borderId="0" xfId="0" applyNumberFormat="1" applyFont="1" applyFill="1" applyBorder="1" applyAlignment="1" applyProtection="1">
      <alignment vertical="center"/>
      <protection hidden="1"/>
    </xf>
    <xf numFmtId="3" fontId="28" fillId="0" borderId="0" xfId="0" applyNumberFormat="1" applyFont="1" applyFill="1" applyBorder="1" applyAlignment="1" applyProtection="1">
      <alignment vertical="center"/>
      <protection locked="0"/>
    </xf>
    <xf numFmtId="9" fontId="15" fillId="0" borderId="0" xfId="0" applyNumberFormat="1" applyFont="1" applyBorder="1" applyAlignment="1" applyProtection="1">
      <alignment horizontal="right" indent="1"/>
      <protection locked="0"/>
    </xf>
    <xf numFmtId="169" fontId="59" fillId="0" borderId="0" xfId="0" applyNumberFormat="1" applyFont="1" applyFill="1" applyBorder="1" applyAlignment="1" applyProtection="1">
      <alignment horizontal="center" vertical="center"/>
      <protection hidden="1"/>
    </xf>
    <xf numFmtId="169" fontId="57" fillId="0" borderId="0"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horizontal="right" vertical="center" indent="1"/>
      <protection hidden="1"/>
    </xf>
    <xf numFmtId="173" fontId="247" fillId="0" borderId="0" xfId="0" applyFont="1" applyBorder="1" applyAlignment="1" applyProtection="1">
      <alignment horizontal="left" vertical="center"/>
      <protection locked="0"/>
    </xf>
    <xf numFmtId="3" fontId="223" fillId="0" borderId="0" xfId="0" applyNumberFormat="1" applyFont="1" applyFill="1" applyBorder="1" applyAlignment="1" applyProtection="1">
      <alignment horizontal="right" indent="1"/>
      <protection hidden="1"/>
    </xf>
    <xf numFmtId="169" fontId="251" fillId="0" borderId="0" xfId="0" applyNumberFormat="1" applyFont="1" applyFill="1" applyBorder="1" applyAlignment="1">
      <alignment horizontal="center" vertical="center"/>
    </xf>
    <xf numFmtId="169" fontId="229" fillId="0" borderId="0" xfId="0" applyNumberFormat="1" applyFont="1" applyFill="1" applyBorder="1" applyAlignment="1">
      <alignment horizontal="center" vertical="center"/>
    </xf>
    <xf numFmtId="169" fontId="214" fillId="0" borderId="0" xfId="0" applyNumberFormat="1" applyFont="1" applyFill="1" applyBorder="1" applyAlignment="1" applyProtection="1">
      <alignment horizontal="center" vertical="center"/>
      <protection hidden="1"/>
    </xf>
    <xf numFmtId="3" fontId="223" fillId="0" borderId="0" xfId="0" applyNumberFormat="1" applyFont="1" applyFill="1" applyBorder="1" applyAlignment="1" applyProtection="1">
      <alignment horizontal="right" vertical="center" indent="1"/>
      <protection hidden="1"/>
    </xf>
    <xf numFmtId="169" fontId="223" fillId="0" borderId="0" xfId="0" applyNumberFormat="1" applyFont="1" applyFill="1" applyBorder="1" applyAlignment="1" applyProtection="1">
      <alignment horizontal="center" vertical="center"/>
      <protection hidden="1"/>
    </xf>
    <xf numFmtId="169" fontId="40" fillId="0" borderId="0" xfId="0" applyNumberFormat="1" applyFont="1" applyFill="1" applyBorder="1" applyAlignment="1" applyProtection="1">
      <alignment horizontal="center"/>
      <protection hidden="1"/>
    </xf>
    <xf numFmtId="9" fontId="15" fillId="0" borderId="0" xfId="0" applyNumberFormat="1" applyFont="1" applyFill="1" applyBorder="1" applyAlignment="1" applyProtection="1">
      <alignment horizontal="right" indent="1"/>
      <protection locked="0"/>
    </xf>
    <xf numFmtId="0" fontId="221" fillId="0" borderId="0" xfId="0" applyNumberFormat="1" applyFont="1" applyBorder="1" applyAlignment="1">
      <alignment horizontal="center" vertical="center"/>
    </xf>
    <xf numFmtId="9" fontId="221" fillId="0" borderId="0" xfId="0" applyNumberFormat="1" applyFont="1" applyBorder="1" applyAlignment="1">
      <alignment horizontal="center" vertical="center"/>
    </xf>
    <xf numFmtId="173" fontId="255" fillId="0" borderId="0" xfId="0" applyFont="1" applyBorder="1" applyAlignment="1" applyProtection="1">
      <alignment vertical="center"/>
      <protection locked="0"/>
    </xf>
    <xf numFmtId="173" fontId="233" fillId="0" borderId="0" xfId="0" applyFont="1" applyBorder="1" applyProtection="1">
      <alignment horizontal="right"/>
      <protection locked="0"/>
    </xf>
    <xf numFmtId="3" fontId="248" fillId="0" borderId="0" xfId="0" applyNumberFormat="1" applyFont="1" applyBorder="1" applyAlignment="1" applyProtection="1">
      <alignment horizontal="right" vertical="center" indent="1"/>
      <protection locked="0"/>
    </xf>
    <xf numFmtId="3" fontId="31" fillId="0" borderId="0" xfId="0" applyNumberFormat="1" applyFont="1" applyFill="1" applyBorder="1" applyAlignment="1" applyProtection="1">
      <alignment horizontal="right" vertical="center" indent="1"/>
      <protection locked="0"/>
    </xf>
    <xf numFmtId="9" fontId="38" fillId="0" borderId="0" xfId="0" applyNumberFormat="1" applyFont="1" applyFill="1" applyBorder="1" applyAlignment="1" applyProtection="1">
      <alignment horizontal="center" vertical="center"/>
      <protection locked="0"/>
    </xf>
    <xf numFmtId="173" fontId="255" fillId="0" borderId="0" xfId="0" applyFont="1" applyBorder="1" applyAlignment="1" applyProtection="1">
      <alignment horizontal="left" vertical="center"/>
      <protection locked="0"/>
    </xf>
    <xf numFmtId="173" fontId="221" fillId="0" borderId="0" xfId="0" applyFont="1" applyBorder="1" applyAlignment="1">
      <alignment vertical="center"/>
    </xf>
    <xf numFmtId="0" fontId="201" fillId="0" borderId="0" xfId="0" applyNumberFormat="1" applyFont="1" applyBorder="1" applyAlignment="1">
      <alignment horizontal="center" vertical="center"/>
    </xf>
    <xf numFmtId="173" fontId="201" fillId="0" borderId="0" xfId="0" applyFont="1" applyBorder="1" applyAlignment="1">
      <alignment vertical="center"/>
    </xf>
    <xf numFmtId="173" fontId="217" fillId="50" borderId="0" xfId="0" applyFont="1" applyFill="1" applyBorder="1" applyAlignment="1">
      <alignment vertical="center"/>
    </xf>
    <xf numFmtId="0" fontId="221" fillId="50" borderId="0" xfId="0" applyNumberFormat="1" applyFont="1" applyFill="1" applyBorder="1" applyAlignment="1">
      <alignment horizontal="center" vertical="center"/>
    </xf>
    <xf numFmtId="173" fontId="221" fillId="50" borderId="0" xfId="0" applyFont="1" applyFill="1" applyBorder="1" applyAlignment="1">
      <alignment vertical="center"/>
    </xf>
    <xf numFmtId="173" fontId="200" fillId="0" borderId="0" xfId="0" applyFont="1" applyBorder="1" applyAlignment="1">
      <alignment horizontal="center" vertical="center"/>
    </xf>
    <xf numFmtId="9" fontId="15" fillId="0" borderId="0" xfId="0" applyNumberFormat="1" applyFont="1" applyBorder="1" applyProtection="1">
      <alignment horizontal="right"/>
      <protection locked="0"/>
    </xf>
    <xf numFmtId="0" fontId="221" fillId="0" borderId="0" xfId="0" applyNumberFormat="1" applyFont="1" applyBorder="1" applyAlignment="1" applyProtection="1">
      <alignment horizontal="center" vertical="center"/>
      <protection hidden="1"/>
    </xf>
    <xf numFmtId="173" fontId="215" fillId="0" borderId="0" xfId="0" applyFont="1" applyBorder="1" applyAlignment="1" applyProtection="1">
      <alignment horizontal="center" vertical="center" wrapText="1"/>
      <protection hidden="1"/>
    </xf>
    <xf numFmtId="4" fontId="252" fillId="0" borderId="0" xfId="0" applyNumberFormat="1" applyFont="1" applyFill="1" applyBorder="1" applyAlignment="1" applyProtection="1">
      <alignment horizontal="center" vertical="center"/>
      <protection hidden="1"/>
    </xf>
    <xf numFmtId="169" fontId="229" fillId="50" borderId="0" xfId="0" applyNumberFormat="1" applyFont="1" applyFill="1" applyBorder="1" applyAlignment="1" applyProtection="1">
      <alignment horizontal="center" vertical="center"/>
      <protection hidden="1"/>
    </xf>
    <xf numFmtId="194" fontId="223" fillId="0" borderId="0" xfId="0" applyNumberFormat="1" applyFont="1" applyBorder="1" applyAlignment="1" applyProtection="1">
      <alignment horizontal="right" vertical="center"/>
      <protection hidden="1"/>
    </xf>
    <xf numFmtId="3" fontId="15" fillId="0" borderId="0" xfId="0" applyNumberFormat="1" applyFont="1" applyFill="1" applyBorder="1" applyAlignment="1" applyProtection="1">
      <alignment horizontal="center"/>
      <protection locked="0" hidden="1"/>
    </xf>
    <xf numFmtId="173" fontId="114" fillId="0" borderId="0" xfId="0" applyFont="1" applyBorder="1" applyAlignment="1" applyProtection="1">
      <alignment horizontal="left" vertical="center" indent="1"/>
      <protection hidden="1"/>
    </xf>
    <xf numFmtId="3" fontId="212" fillId="0" borderId="0" xfId="0" applyNumberFormat="1" applyFont="1" applyBorder="1" applyAlignment="1" applyProtection="1">
      <alignment horizontal="center" vertical="center" wrapText="1"/>
      <protection locked="0"/>
    </xf>
    <xf numFmtId="3" fontId="261" fillId="0" borderId="0" xfId="0" applyNumberFormat="1" applyFont="1" applyBorder="1" applyAlignment="1" applyProtection="1">
      <alignment horizontal="right" indent="1"/>
      <protection hidden="1"/>
    </xf>
    <xf numFmtId="173" fontId="217" fillId="0" borderId="0" xfId="0" applyFont="1" applyBorder="1" applyAlignment="1">
      <alignment vertical="center"/>
    </xf>
    <xf numFmtId="10" fontId="28" fillId="0" borderId="0" xfId="0" applyNumberFormat="1" applyFont="1" applyFill="1" applyBorder="1" applyAlignment="1" applyProtection="1">
      <alignment horizontal="right" vertical="center"/>
      <protection locked="0"/>
    </xf>
    <xf numFmtId="173" fontId="200" fillId="0" borderId="0" xfId="0" applyFont="1" applyBorder="1">
      <alignment horizontal="right"/>
    </xf>
    <xf numFmtId="181" fontId="200" fillId="0" borderId="0" xfId="0" applyNumberFormat="1" applyFont="1" applyBorder="1">
      <alignment horizontal="right"/>
    </xf>
    <xf numFmtId="9" fontId="200" fillId="0" borderId="0" xfId="0" applyNumberFormat="1" applyFont="1" applyBorder="1" applyAlignment="1">
      <alignment horizontal="center"/>
    </xf>
    <xf numFmtId="181" fontId="200" fillId="0" borderId="0" xfId="0" applyNumberFormat="1" applyFont="1" applyBorder="1" applyAlignment="1">
      <alignment vertical="center"/>
    </xf>
    <xf numFmtId="173" fontId="263" fillId="0" borderId="0" xfId="0" applyFont="1" applyBorder="1" applyProtection="1">
      <alignment horizontal="right"/>
      <protection locked="0"/>
    </xf>
    <xf numFmtId="173" fontId="264" fillId="33" borderId="0" xfId="0" applyFont="1" applyFill="1" applyBorder="1" applyAlignment="1" applyProtection="1">
      <alignment horizontal="left" vertical="center" wrapText="1" indent="5"/>
      <protection hidden="1"/>
    </xf>
    <xf numFmtId="181" fontId="264" fillId="33" borderId="0" xfId="0" applyNumberFormat="1" applyFont="1" applyFill="1" applyBorder="1" applyAlignment="1" applyProtection="1">
      <alignment horizontal="left" vertical="center" wrapText="1" indent="5"/>
      <protection hidden="1"/>
    </xf>
    <xf numFmtId="173" fontId="264" fillId="33" borderId="0" xfId="0" applyFont="1" applyFill="1" applyBorder="1" applyAlignment="1" applyProtection="1">
      <alignment horizontal="center" vertical="top" wrapText="1"/>
      <protection hidden="1"/>
    </xf>
    <xf numFmtId="181" fontId="264" fillId="33" borderId="0" xfId="0" applyNumberFormat="1" applyFont="1" applyFill="1" applyBorder="1" applyAlignment="1" applyProtection="1">
      <alignment horizontal="center" vertical="top" wrapText="1"/>
      <protection hidden="1"/>
    </xf>
    <xf numFmtId="173" fontId="265" fillId="0" borderId="0" xfId="0" applyFont="1" applyBorder="1" applyAlignment="1" applyProtection="1">
      <alignment horizontal="left" vertical="center" wrapText="1" indent="9"/>
      <protection locked="0"/>
    </xf>
    <xf numFmtId="173" fontId="263" fillId="0" borderId="0" xfId="0" applyFont="1" applyFill="1" applyBorder="1" applyAlignment="1" applyProtection="1">
      <alignment horizontal="center"/>
      <protection locked="0"/>
    </xf>
    <xf numFmtId="181" fontId="265" fillId="0" borderId="0" xfId="0" applyNumberFormat="1" applyFont="1" applyBorder="1" applyAlignment="1" applyProtection="1">
      <alignment horizontal="left" vertical="center" wrapText="1" indent="1"/>
      <protection locked="0"/>
    </xf>
    <xf numFmtId="173" fontId="265" fillId="0" borderId="0" xfId="0" applyFont="1" applyBorder="1" applyAlignment="1" applyProtection="1">
      <alignment horizontal="left" vertical="center" wrapText="1" indent="1"/>
      <protection locked="0"/>
    </xf>
    <xf numFmtId="9" fontId="266" fillId="0" borderId="0" xfId="0" applyNumberFormat="1" applyFont="1" applyBorder="1" applyAlignment="1" applyProtection="1">
      <alignment horizontal="center" vertical="center" wrapText="1"/>
      <protection locked="0"/>
    </xf>
    <xf numFmtId="181" fontId="200" fillId="0" borderId="0" xfId="0" applyNumberFormat="1" applyFont="1" applyBorder="1" applyAlignment="1" applyProtection="1">
      <alignment vertical="center" wrapText="1"/>
      <protection locked="0"/>
    </xf>
    <xf numFmtId="173" fontId="267" fillId="0" borderId="0" xfId="0" applyFont="1" applyBorder="1" applyAlignment="1" applyProtection="1">
      <alignment horizontal="left" vertical="center" indent="1"/>
      <protection locked="0"/>
    </xf>
    <xf numFmtId="173" fontId="269" fillId="0" borderId="0" xfId="0" applyFont="1" applyFill="1" applyBorder="1" applyAlignment="1" applyProtection="1">
      <alignment horizontal="center"/>
      <protection hidden="1"/>
    </xf>
    <xf numFmtId="173" fontId="270" fillId="0" borderId="0" xfId="0" applyFont="1" applyBorder="1" applyAlignment="1">
      <alignment horizontal="right" vertical="center"/>
    </xf>
    <xf numFmtId="173" fontId="271" fillId="0" borderId="0" xfId="0" applyFont="1" applyBorder="1" applyAlignment="1">
      <alignment horizontal="right" vertical="center"/>
    </xf>
    <xf numFmtId="173" fontId="200" fillId="0" borderId="0" xfId="0" applyFont="1" applyBorder="1" applyProtection="1">
      <alignment horizontal="right"/>
      <protection locked="0"/>
    </xf>
    <xf numFmtId="173" fontId="200" fillId="0" borderId="0" xfId="0" applyFont="1" applyFill="1" applyBorder="1" applyAlignment="1" applyProtection="1">
      <alignment horizontal="center"/>
      <protection locked="0"/>
    </xf>
    <xf numFmtId="173" fontId="266" fillId="0" borderId="0" xfId="0" applyFont="1" applyBorder="1" applyAlignment="1" applyProtection="1">
      <alignment horizontal="left" vertical="center" wrapText="1" indent="1"/>
      <protection locked="0"/>
    </xf>
    <xf numFmtId="173" fontId="275" fillId="0" borderId="0" xfId="0" applyFont="1" applyBorder="1" applyProtection="1">
      <alignment horizontal="right"/>
      <protection locked="0"/>
    </xf>
    <xf numFmtId="173" fontId="276" fillId="0" borderId="0" xfId="0" applyFont="1" applyBorder="1" applyAlignment="1" applyProtection="1">
      <alignment horizontal="left" vertical="center" wrapText="1" indent="1"/>
      <protection locked="0"/>
    </xf>
    <xf numFmtId="181" fontId="266" fillId="0" borderId="0" xfId="0" applyNumberFormat="1" applyFont="1" applyBorder="1" applyAlignment="1" applyProtection="1">
      <alignment horizontal="left" vertical="center" wrapText="1" indent="1"/>
      <protection locked="0"/>
    </xf>
    <xf numFmtId="173" fontId="266" fillId="0" borderId="0" xfId="0" applyFont="1" applyBorder="1" applyAlignment="1" applyProtection="1">
      <alignment horizontal="left" vertical="center" wrapText="1" indent="9"/>
    </xf>
    <xf numFmtId="173" fontId="200" fillId="0" borderId="0" xfId="0" applyFont="1" applyFill="1" applyBorder="1">
      <alignment horizontal="right"/>
    </xf>
    <xf numFmtId="167" fontId="21" fillId="0" borderId="0" xfId="0" applyNumberFormat="1" applyFont="1" applyBorder="1" applyAlignment="1" applyProtection="1">
      <alignment horizontal="right" vertical="center"/>
      <protection hidden="1"/>
    </xf>
    <xf numFmtId="167" fontId="53" fillId="0" borderId="0" xfId="0" applyNumberFormat="1" applyFont="1" applyFill="1" applyBorder="1" applyAlignment="1" applyProtection="1">
      <alignment horizontal="center" vertical="center"/>
      <protection hidden="1"/>
    </xf>
    <xf numFmtId="175" fontId="241" fillId="0" borderId="0" xfId="0" applyNumberFormat="1" applyFont="1" applyFill="1" applyBorder="1" applyAlignment="1" applyProtection="1">
      <alignment horizontal="left"/>
      <protection hidden="1"/>
    </xf>
    <xf numFmtId="175" fontId="241" fillId="0" borderId="0" xfId="0" applyNumberFormat="1" applyFont="1" applyFill="1" applyBorder="1" applyAlignment="1" applyProtection="1">
      <alignment horizontal="left" vertical="center"/>
      <protection hidden="1"/>
    </xf>
    <xf numFmtId="167" fontId="70" fillId="0" borderId="135" xfId="0" applyNumberFormat="1" applyFont="1" applyFill="1" applyBorder="1" applyAlignment="1" applyProtection="1">
      <alignment horizontal="center" vertical="center"/>
      <protection hidden="1"/>
    </xf>
    <xf numFmtId="167" fontId="70" fillId="0" borderId="101" xfId="0" applyNumberFormat="1" applyFont="1" applyFill="1" applyBorder="1" applyAlignment="1" applyProtection="1">
      <alignment horizontal="center" vertical="center"/>
      <protection hidden="1"/>
    </xf>
    <xf numFmtId="167" fontId="70" fillId="0" borderId="136" xfId="0" applyNumberFormat="1" applyFont="1" applyFill="1" applyBorder="1" applyAlignment="1" applyProtection="1">
      <alignment horizontal="center" vertical="center"/>
      <protection hidden="1"/>
    </xf>
    <xf numFmtId="167" fontId="171" fillId="0" borderId="0" xfId="0" applyNumberFormat="1" applyFont="1" applyBorder="1" applyAlignment="1" applyProtection="1">
      <alignment horizontal="right" vertical="center"/>
      <protection locked="0"/>
    </xf>
    <xf numFmtId="173" fontId="231" fillId="0" borderId="0" xfId="0" applyFont="1" applyFill="1" applyBorder="1" applyAlignment="1" applyProtection="1">
      <alignment horizontal="right" vertical="top"/>
      <protection hidden="1"/>
    </xf>
    <xf numFmtId="173" fontId="0" fillId="0" borderId="0" xfId="0" applyBorder="1" applyAlignment="1">
      <alignment vertical="top"/>
    </xf>
    <xf numFmtId="3" fontId="201" fillId="0" borderId="0" xfId="0" applyNumberFormat="1" applyFont="1" applyFill="1" applyBorder="1" applyAlignment="1" applyProtection="1">
      <alignment horizontal="left" vertical="center"/>
      <protection hidden="1"/>
    </xf>
    <xf numFmtId="9" fontId="239" fillId="0" borderId="0" xfId="0" applyNumberFormat="1" applyFont="1" applyBorder="1" applyAlignment="1" applyProtection="1">
      <alignment horizontal="left" vertical="top" wrapText="1"/>
      <protection hidden="1"/>
    </xf>
    <xf numFmtId="175" fontId="201" fillId="0" borderId="0" xfId="0" applyNumberFormat="1" applyFont="1" applyFill="1" applyBorder="1" applyAlignment="1" applyProtection="1">
      <alignment horizontal="left" vertical="center"/>
      <protection hidden="1"/>
    </xf>
    <xf numFmtId="3" fontId="241" fillId="0" borderId="0" xfId="0" applyNumberFormat="1" applyFont="1" applyFill="1" applyBorder="1" applyAlignment="1" applyProtection="1">
      <protection hidden="1"/>
    </xf>
    <xf numFmtId="3" fontId="241" fillId="0" borderId="0" xfId="0" applyNumberFormat="1" applyFont="1" applyFill="1" applyBorder="1" applyAlignment="1" applyProtection="1">
      <alignment vertical="center"/>
      <protection hidden="1"/>
    </xf>
    <xf numFmtId="178" fontId="15" fillId="55" borderId="130" xfId="0" applyNumberFormat="1"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top"/>
      <protection locked="0"/>
    </xf>
    <xf numFmtId="165" fontId="106" fillId="0" borderId="143" xfId="0" applyNumberFormat="1" applyFont="1" applyFill="1" applyBorder="1" applyAlignment="1" applyProtection="1">
      <alignment horizontal="center" vertical="center"/>
      <protection locked="0"/>
    </xf>
    <xf numFmtId="165" fontId="106" fillId="0" borderId="143" xfId="0" applyNumberFormat="1" applyFont="1" applyFill="1" applyBorder="1" applyAlignment="1" applyProtection="1">
      <alignment horizontal="left" vertical="center"/>
      <protection locked="0"/>
    </xf>
    <xf numFmtId="169" fontId="66" fillId="0" borderId="0" xfId="0" applyNumberFormat="1" applyFont="1" applyFill="1" applyBorder="1" applyAlignment="1" applyProtection="1">
      <alignment horizontal="left" vertical="center"/>
      <protection hidden="1"/>
    </xf>
    <xf numFmtId="167" fontId="145" fillId="0" borderId="0" xfId="0" applyNumberFormat="1" applyFont="1" applyBorder="1" applyAlignment="1" applyProtection="1">
      <alignment horizontal="right" vertical="center"/>
      <protection hidden="1"/>
    </xf>
    <xf numFmtId="173" fontId="132" fillId="0" borderId="0" xfId="0" applyFont="1" applyFill="1" applyBorder="1" applyAlignment="1" applyProtection="1">
      <alignment horizontal="center"/>
      <protection locked="0"/>
    </xf>
    <xf numFmtId="173" fontId="132" fillId="0" borderId="0" xfId="0" applyFont="1" applyFill="1" applyBorder="1" applyAlignment="1" applyProtection="1">
      <alignment horizontal="left"/>
      <protection locked="0"/>
    </xf>
    <xf numFmtId="173" fontId="246" fillId="11" borderId="0" xfId="0" applyFont="1" applyFill="1" applyBorder="1" applyAlignment="1" applyProtection="1">
      <alignment horizontal="right" vertical="top"/>
      <protection locked="0"/>
    </xf>
    <xf numFmtId="165" fontId="175" fillId="8" borderId="149" xfId="0" applyNumberFormat="1" applyFont="1" applyFill="1" applyBorder="1" applyAlignment="1" applyProtection="1">
      <alignment horizontal="center" vertical="center"/>
      <protection hidden="1"/>
    </xf>
    <xf numFmtId="195" fontId="38" fillId="0" borderId="0" xfId="0" applyNumberFormat="1" applyFont="1" applyFill="1" applyBorder="1" applyAlignment="1" applyProtection="1">
      <alignment horizontal="center" vertical="center"/>
      <protection hidden="1"/>
    </xf>
    <xf numFmtId="173" fontId="57" fillId="0" borderId="0" xfId="0" applyFont="1" applyFill="1" applyBorder="1" applyAlignment="1" applyProtection="1">
      <alignment horizontal="right" vertical="center"/>
      <protection locked="0"/>
    </xf>
    <xf numFmtId="173" fontId="223" fillId="0" borderId="0" xfId="0" applyFont="1" applyFill="1" applyBorder="1" applyProtection="1">
      <alignment horizontal="right"/>
      <protection locked="0"/>
    </xf>
    <xf numFmtId="173" fontId="223" fillId="0" borderId="0" xfId="0" applyFont="1" applyBorder="1" applyProtection="1">
      <alignment horizontal="right"/>
      <protection locked="0"/>
    </xf>
    <xf numFmtId="173" fontId="287" fillId="0" borderId="0" xfId="0" applyFont="1" applyBorder="1" applyAlignment="1">
      <alignment horizontal="right" vertical="center"/>
    </xf>
    <xf numFmtId="173" fontId="261" fillId="0" borderId="0" xfId="0" applyFont="1" applyFill="1" applyBorder="1" applyAlignment="1" applyProtection="1">
      <alignment vertical="center"/>
      <protection hidden="1"/>
    </xf>
    <xf numFmtId="173" fontId="290" fillId="0" borderId="0" xfId="0" applyFont="1" applyBorder="1" applyAlignment="1" applyProtection="1">
      <protection locked="0"/>
    </xf>
    <xf numFmtId="165" fontId="290" fillId="0" borderId="0" xfId="0" applyNumberFormat="1" applyFont="1" applyBorder="1" applyAlignment="1" applyProtection="1">
      <alignment horizontal="center"/>
      <protection locked="0"/>
    </xf>
    <xf numFmtId="173" fontId="13" fillId="0" borderId="0" xfId="0" applyFont="1" applyBorder="1" applyAlignment="1" applyProtection="1">
      <alignment horizontal="center" vertical="center"/>
      <protection locked="0"/>
    </xf>
    <xf numFmtId="173" fontId="13" fillId="0" borderId="0" xfId="0" applyFont="1" applyFill="1" applyBorder="1" applyAlignment="1" applyProtection="1">
      <alignment horizontal="center" vertical="center"/>
      <protection locked="0"/>
    </xf>
    <xf numFmtId="3" fontId="261" fillId="0" borderId="0" xfId="0" applyNumberFormat="1" applyFont="1" applyBorder="1" applyAlignment="1" applyProtection="1">
      <alignment vertical="center"/>
      <protection hidden="1"/>
    </xf>
    <xf numFmtId="169" fontId="261" fillId="0" borderId="0" xfId="0" applyNumberFormat="1" applyFont="1" applyBorder="1" applyAlignment="1" applyProtection="1">
      <alignment horizontal="center" vertical="center"/>
      <protection hidden="1"/>
    </xf>
    <xf numFmtId="165" fontId="261" fillId="0" borderId="0" xfId="0" applyNumberFormat="1" applyFont="1" applyFill="1" applyBorder="1" applyAlignment="1" applyProtection="1">
      <alignment horizontal="center" vertical="center"/>
      <protection locked="0"/>
    </xf>
    <xf numFmtId="165" fontId="261" fillId="0" borderId="0" xfId="0" applyNumberFormat="1" applyFont="1" applyFill="1" applyBorder="1" applyAlignment="1" applyProtection="1">
      <alignment horizontal="left" vertical="center"/>
      <protection locked="0"/>
    </xf>
    <xf numFmtId="167" fontId="167" fillId="27" borderId="10" xfId="0" applyNumberFormat="1" applyFont="1" applyFill="1" applyBorder="1" applyAlignment="1" applyProtection="1">
      <alignment horizontal="left" vertical="center" indent="1"/>
      <protection hidden="1"/>
    </xf>
    <xf numFmtId="173" fontId="165" fillId="27" borderId="13" xfId="0" applyFont="1" applyFill="1" applyBorder="1" applyAlignment="1" applyProtection="1">
      <alignment horizontal="left" vertical="center" indent="1"/>
      <protection hidden="1"/>
    </xf>
    <xf numFmtId="173" fontId="165" fillId="27" borderId="15" xfId="0" applyFont="1" applyFill="1" applyBorder="1" applyAlignment="1" applyProtection="1">
      <alignment horizontal="left" vertical="center" indent="1"/>
      <protection hidden="1"/>
    </xf>
    <xf numFmtId="173" fontId="61" fillId="0" borderId="0" xfId="0" applyFont="1" applyFill="1" applyBorder="1" applyAlignment="1" applyProtection="1">
      <alignment horizontal="left" vertical="center" indent="1"/>
      <protection locked="0"/>
    </xf>
    <xf numFmtId="173" fontId="99" fillId="0" borderId="0" xfId="0" applyFont="1" applyFill="1" applyBorder="1" applyAlignment="1" applyProtection="1">
      <alignment horizontal="left" vertical="center" indent="1"/>
      <protection locked="0"/>
    </xf>
    <xf numFmtId="173" fontId="0" fillId="0" borderId="0" xfId="0" applyBorder="1">
      <alignment horizontal="right"/>
    </xf>
    <xf numFmtId="171" fontId="15" fillId="0" borderId="0" xfId="0" applyNumberFormat="1" applyFont="1" applyFill="1" applyBorder="1" applyAlignment="1" applyProtection="1">
      <alignment horizontal="center" vertical="top"/>
      <protection hidden="1"/>
    </xf>
    <xf numFmtId="167" fontId="138" fillId="0" borderId="165" xfId="0" applyNumberFormat="1" applyFont="1" applyFill="1" applyBorder="1" applyAlignment="1" applyProtection="1">
      <alignment vertical="center"/>
      <protection locked="0"/>
    </xf>
    <xf numFmtId="167" fontId="142" fillId="0" borderId="134" xfId="0" applyNumberFormat="1" applyFont="1" applyFill="1" applyBorder="1" applyAlignment="1" applyProtection="1">
      <alignment vertical="center"/>
      <protection locked="0"/>
    </xf>
    <xf numFmtId="167" fontId="292" fillId="0" borderId="0" xfId="0" applyNumberFormat="1" applyFont="1" applyFill="1" applyBorder="1" applyAlignment="1" applyProtection="1">
      <alignment vertical="center"/>
      <protection hidden="1"/>
    </xf>
    <xf numFmtId="167" fontId="292" fillId="0" borderId="0" xfId="0" applyNumberFormat="1" applyFont="1" applyFill="1" applyBorder="1" applyAlignment="1" applyProtection="1">
      <alignment horizontal="right" vertical="center" indent="1"/>
      <protection hidden="1"/>
    </xf>
    <xf numFmtId="171" fontId="223" fillId="0" borderId="0" xfId="0" applyNumberFormat="1" applyFont="1" applyFill="1" applyBorder="1" applyAlignment="1" applyProtection="1">
      <alignment horizontal="center" vertical="center"/>
      <protection hidden="1"/>
    </xf>
    <xf numFmtId="9" fontId="170" fillId="27" borderId="167" xfId="0" applyNumberFormat="1" applyFont="1" applyFill="1" applyBorder="1" applyAlignment="1" applyProtection="1">
      <alignment horizontal="center" vertical="center"/>
      <protection hidden="1"/>
    </xf>
    <xf numFmtId="167" fontId="30" fillId="0" borderId="166" xfId="0" applyNumberFormat="1" applyFont="1" applyFill="1" applyBorder="1" applyAlignment="1" applyProtection="1">
      <alignment vertical="center"/>
      <protection locked="0"/>
    </xf>
    <xf numFmtId="173" fontId="17" fillId="0" borderId="0" xfId="0" applyFont="1" applyBorder="1" applyAlignment="1" applyProtection="1">
      <alignment horizontal="right" vertical="top"/>
      <protection hidden="1"/>
    </xf>
    <xf numFmtId="167" fontId="17" fillId="0" borderId="0" xfId="0" applyNumberFormat="1" applyFont="1" applyBorder="1" applyAlignment="1" applyProtection="1">
      <alignment horizontal="right" vertical="top"/>
      <protection hidden="1"/>
    </xf>
    <xf numFmtId="167" fontId="223" fillId="0" borderId="0" xfId="0" applyNumberFormat="1" applyFont="1" applyFill="1" applyBorder="1" applyAlignment="1" applyProtection="1">
      <protection hidden="1"/>
    </xf>
    <xf numFmtId="173" fontId="200" fillId="0" borderId="0" xfId="0" applyFont="1" applyBorder="1" applyAlignment="1" applyProtection="1">
      <alignment horizontal="center"/>
      <protection locked="0"/>
    </xf>
    <xf numFmtId="167" fontId="200" fillId="0" borderId="0" xfId="0" applyNumberFormat="1" applyFont="1" applyBorder="1" applyProtection="1">
      <alignment horizontal="right"/>
      <protection locked="0"/>
    </xf>
    <xf numFmtId="3" fontId="41" fillId="56" borderId="149" xfId="0" applyNumberFormat="1" applyFont="1" applyFill="1" applyBorder="1" applyAlignment="1" applyProtection="1">
      <alignment horizontal="center" vertical="center"/>
      <protection hidden="1"/>
    </xf>
    <xf numFmtId="173" fontId="19" fillId="11" borderId="32" xfId="0" applyFont="1" applyFill="1" applyBorder="1" applyAlignment="1" applyProtection="1">
      <alignment horizontal="right" vertical="center"/>
      <protection hidden="1"/>
    </xf>
    <xf numFmtId="173" fontId="19" fillId="11" borderId="35" xfId="0" applyFont="1" applyFill="1" applyBorder="1" applyAlignment="1" applyProtection="1">
      <alignment horizontal="right" vertical="center"/>
      <protection hidden="1"/>
    </xf>
    <xf numFmtId="173" fontId="194" fillId="25" borderId="66" xfId="0" applyFont="1" applyFill="1" applyBorder="1" applyAlignment="1" applyProtection="1">
      <alignment horizontal="right" vertical="center"/>
      <protection locked="0"/>
    </xf>
    <xf numFmtId="173" fontId="194" fillId="25" borderId="64" xfId="0" applyFont="1" applyFill="1" applyBorder="1" applyAlignment="1" applyProtection="1">
      <alignment horizontal="right" vertical="center"/>
      <protection locked="0"/>
    </xf>
    <xf numFmtId="173" fontId="194" fillId="25" borderId="56" xfId="0" applyFont="1" applyFill="1" applyBorder="1" applyAlignment="1" applyProtection="1">
      <alignment horizontal="left" vertical="center"/>
      <protection locked="0"/>
    </xf>
    <xf numFmtId="173" fontId="194" fillId="25" borderId="68" xfId="0" applyFont="1" applyFill="1" applyBorder="1" applyAlignment="1" applyProtection="1">
      <alignment horizontal="left" vertical="center"/>
      <protection locked="0"/>
    </xf>
    <xf numFmtId="170" fontId="39" fillId="0" borderId="4" xfId="0" applyNumberFormat="1" applyFont="1" applyFill="1" applyBorder="1" applyAlignment="1" applyProtection="1">
      <alignment horizontal="center" vertical="center"/>
      <protection hidden="1"/>
    </xf>
    <xf numFmtId="173" fontId="223" fillId="0" borderId="0" xfId="0" applyFont="1" applyFill="1" applyBorder="1" applyProtection="1">
      <alignment horizontal="right"/>
      <protection hidden="1"/>
    </xf>
    <xf numFmtId="173" fontId="28" fillId="0" borderId="0" xfId="0" applyFont="1" applyFill="1" applyBorder="1" applyAlignment="1" applyProtection="1">
      <alignment horizontal="center" vertical="center"/>
      <protection locked="0"/>
    </xf>
    <xf numFmtId="173" fontId="235" fillId="0" borderId="0" xfId="0" applyFont="1" applyBorder="1" applyAlignment="1" applyProtection="1">
      <alignment horizontal="center"/>
      <protection hidden="1"/>
    </xf>
    <xf numFmtId="173" fontId="223" fillId="0" borderId="0" xfId="0" applyFont="1" applyBorder="1" applyProtection="1">
      <alignment horizontal="right"/>
      <protection hidden="1"/>
    </xf>
    <xf numFmtId="181" fontId="272" fillId="0" borderId="0" xfId="0" applyNumberFormat="1" applyFont="1" applyBorder="1" applyAlignment="1" applyProtection="1">
      <alignment horizontal="center" vertical="center"/>
      <protection hidden="1"/>
    </xf>
    <xf numFmtId="173" fontId="208" fillId="41" borderId="79" xfId="7" applyFont="1" applyFill="1" applyBorder="1" applyAlignment="1" applyProtection="1">
      <alignment horizontal="left" vertical="center" indent="1"/>
      <protection hidden="1"/>
    </xf>
    <xf numFmtId="173" fontId="209" fillId="41" borderId="88" xfId="0" applyFont="1" applyFill="1" applyBorder="1" applyAlignment="1" applyProtection="1">
      <alignment horizontal="left" vertical="center" indent="1"/>
      <protection locked="0"/>
    </xf>
    <xf numFmtId="173" fontId="235" fillId="0" borderId="0" xfId="0" applyFont="1" applyFill="1" applyBorder="1" applyAlignment="1" applyProtection="1">
      <alignment horizontal="left" vertical="center"/>
      <protection hidden="1"/>
    </xf>
    <xf numFmtId="173" fontId="235" fillId="0" borderId="0" xfId="0" applyFont="1" applyBorder="1" applyAlignment="1" applyProtection="1">
      <alignment horizontal="right" vertical="center"/>
      <protection hidden="1"/>
    </xf>
    <xf numFmtId="173" fontId="235" fillId="0" borderId="0" xfId="0" applyFont="1" applyFill="1" applyBorder="1" applyAlignment="1" applyProtection="1">
      <alignment vertical="center"/>
      <protection hidden="1"/>
    </xf>
    <xf numFmtId="173" fontId="235" fillId="0" borderId="0" xfId="0" applyFont="1" applyFill="1" applyBorder="1" applyAlignment="1" applyProtection="1">
      <alignment horizontal="right" vertical="center"/>
      <protection hidden="1"/>
    </xf>
    <xf numFmtId="173" fontId="235" fillId="0" borderId="0" xfId="0" applyFont="1" applyBorder="1" applyAlignment="1" applyProtection="1">
      <alignment horizontal="left" vertical="center"/>
      <protection hidden="1"/>
    </xf>
    <xf numFmtId="173" fontId="194" fillId="25" borderId="49" xfId="0" applyFont="1" applyFill="1" applyBorder="1" applyAlignment="1" applyProtection="1">
      <alignment horizontal="left" vertical="center" indent="1"/>
      <protection locked="0"/>
    </xf>
    <xf numFmtId="173" fontId="194" fillId="25" borderId="51" xfId="0" applyFont="1" applyFill="1" applyBorder="1" applyAlignment="1" applyProtection="1">
      <alignment horizontal="left" vertical="center" indent="1"/>
      <protection locked="0"/>
    </xf>
    <xf numFmtId="173" fontId="194" fillId="25" borderId="52" xfId="0" applyFont="1" applyFill="1" applyBorder="1" applyAlignment="1" applyProtection="1">
      <alignment horizontal="left" vertical="center" indent="1"/>
      <protection locked="0"/>
    </xf>
    <xf numFmtId="191" fontId="194" fillId="0" borderId="179" xfId="0" applyNumberFormat="1" applyFont="1" applyFill="1" applyBorder="1" applyAlignment="1" applyProtection="1">
      <alignment horizontal="center" vertical="center"/>
      <protection locked="0"/>
    </xf>
    <xf numFmtId="191" fontId="194" fillId="0" borderId="180" xfId="0" applyNumberFormat="1" applyFont="1" applyFill="1" applyBorder="1" applyAlignment="1" applyProtection="1">
      <alignment horizontal="center" vertical="center"/>
      <protection locked="0"/>
    </xf>
    <xf numFmtId="191" fontId="194" fillId="0" borderId="181" xfId="0" applyNumberFormat="1" applyFont="1" applyFill="1" applyBorder="1" applyAlignment="1" applyProtection="1">
      <alignment horizontal="center" vertical="center"/>
      <protection locked="0"/>
    </xf>
    <xf numFmtId="173" fontId="24" fillId="0" borderId="0" xfId="0" applyFont="1" applyBorder="1" applyProtection="1">
      <alignment horizontal="right"/>
      <protection locked="0"/>
    </xf>
    <xf numFmtId="3" fontId="24" fillId="0" borderId="0" xfId="0" applyNumberFormat="1" applyFont="1" applyFill="1" applyBorder="1" applyAlignment="1" applyProtection="1">
      <alignment horizontal="right" indent="1"/>
      <protection locked="0"/>
    </xf>
    <xf numFmtId="3" fontId="24" fillId="0" borderId="0" xfId="0" applyNumberFormat="1" applyFont="1" applyBorder="1" applyAlignment="1" applyProtection="1">
      <alignment horizontal="right" indent="1"/>
      <protection locked="0"/>
    </xf>
    <xf numFmtId="189" fontId="298" fillId="32" borderId="0" xfId="0" applyNumberFormat="1" applyFont="1" applyFill="1" applyBorder="1" applyAlignment="1" applyProtection="1">
      <alignment horizontal="center" vertical="center"/>
    </xf>
    <xf numFmtId="173" fontId="297" fillId="25" borderId="111" xfId="0" applyFont="1" applyFill="1" applyBorder="1" applyAlignment="1" applyProtection="1">
      <alignment horizontal="center" vertical="center"/>
      <protection locked="0"/>
    </xf>
    <xf numFmtId="173" fontId="212" fillId="31" borderId="183" xfId="0" applyFont="1" applyFill="1" applyBorder="1" applyAlignment="1" applyProtection="1">
      <alignment horizontal="center" vertical="center"/>
      <protection hidden="1"/>
    </xf>
    <xf numFmtId="167" fontId="258" fillId="25" borderId="184" xfId="0" applyNumberFormat="1" applyFont="1" applyFill="1" applyBorder="1" applyAlignment="1" applyProtection="1">
      <alignment vertical="center"/>
      <protection hidden="1"/>
    </xf>
    <xf numFmtId="167" fontId="258" fillId="25" borderId="185" xfId="0" applyNumberFormat="1" applyFont="1" applyFill="1" applyBorder="1" applyAlignment="1" applyProtection="1">
      <alignment vertical="center"/>
      <protection hidden="1"/>
    </xf>
    <xf numFmtId="173" fontId="11" fillId="0" borderId="0" xfId="0" applyFont="1" applyFill="1" applyBorder="1" applyAlignment="1" applyProtection="1">
      <alignment horizontal="right" vertical="center"/>
      <protection locked="0"/>
    </xf>
    <xf numFmtId="173" fontId="223" fillId="0" borderId="0" xfId="0" applyFont="1" applyBorder="1" applyAlignment="1" applyProtection="1">
      <alignment horizontal="left"/>
      <protection locked="0"/>
    </xf>
    <xf numFmtId="173" fontId="223" fillId="0" borderId="0" xfId="0" applyFont="1" applyBorder="1" applyAlignment="1" applyProtection="1">
      <alignment horizontal="right" vertical="center"/>
      <protection hidden="1"/>
    </xf>
    <xf numFmtId="173" fontId="223" fillId="0" borderId="0" xfId="0" applyFont="1" applyFill="1" applyBorder="1" applyAlignment="1" applyProtection="1">
      <alignment horizontal="left"/>
      <protection hidden="1"/>
    </xf>
    <xf numFmtId="173" fontId="223" fillId="0" borderId="0" xfId="0" applyFont="1" applyBorder="1" applyAlignment="1" applyProtection="1">
      <alignment horizontal="left"/>
      <protection hidden="1"/>
    </xf>
    <xf numFmtId="173" fontId="301" fillId="0" borderId="143" xfId="0" applyFont="1" applyBorder="1" applyAlignment="1" applyProtection="1">
      <alignment horizontal="left" vertical="center"/>
      <protection hidden="1"/>
    </xf>
    <xf numFmtId="170" fontId="229" fillId="0" borderId="125" xfId="0" quotePrefix="1" applyNumberFormat="1" applyFont="1" applyFill="1" applyBorder="1" applyAlignment="1">
      <alignment horizontal="center" vertical="center"/>
    </xf>
    <xf numFmtId="1" fontId="221" fillId="0" borderId="0" xfId="0" applyNumberFormat="1" applyFont="1" applyBorder="1" applyAlignment="1" applyProtection="1">
      <alignment horizontal="center" vertical="center"/>
      <protection hidden="1"/>
    </xf>
    <xf numFmtId="173" fontId="200" fillId="0" borderId="0" xfId="0" applyFont="1" applyFill="1" applyBorder="1" applyProtection="1">
      <alignment horizontal="right"/>
      <protection hidden="1"/>
    </xf>
    <xf numFmtId="173" fontId="128" fillId="0" borderId="0" xfId="0" applyFont="1" applyBorder="1" applyProtection="1">
      <alignment horizontal="right"/>
      <protection hidden="1"/>
    </xf>
    <xf numFmtId="167" fontId="257" fillId="0" borderId="176" xfId="0" applyNumberFormat="1" applyFont="1" applyBorder="1" applyAlignment="1" applyProtection="1">
      <alignment vertical="center"/>
      <protection hidden="1"/>
    </xf>
    <xf numFmtId="167" fontId="257" fillId="0" borderId="177" xfId="0" applyNumberFormat="1" applyFont="1" applyBorder="1" applyAlignment="1" applyProtection="1">
      <alignment vertical="center"/>
      <protection hidden="1"/>
    </xf>
    <xf numFmtId="167" fontId="257" fillId="0" borderId="125" xfId="0" applyNumberFormat="1" applyFont="1" applyBorder="1" applyAlignment="1" applyProtection="1">
      <alignment vertical="center"/>
      <protection hidden="1"/>
    </xf>
    <xf numFmtId="167" fontId="257" fillId="0" borderId="130" xfId="0" applyNumberFormat="1" applyFont="1" applyBorder="1" applyAlignment="1" applyProtection="1">
      <alignment vertical="center"/>
      <protection hidden="1"/>
    </xf>
    <xf numFmtId="167" fontId="258" fillId="25" borderId="186" xfId="0" applyNumberFormat="1" applyFont="1" applyFill="1" applyBorder="1" applyAlignment="1" applyProtection="1">
      <alignment vertical="center"/>
      <protection hidden="1"/>
    </xf>
    <xf numFmtId="167" fontId="258" fillId="25" borderId="162" xfId="0" applyNumberFormat="1" applyFont="1" applyFill="1" applyBorder="1" applyAlignment="1" applyProtection="1">
      <alignment vertical="center"/>
      <protection hidden="1"/>
    </xf>
    <xf numFmtId="167" fontId="258" fillId="25" borderId="187" xfId="0" applyNumberFormat="1" applyFont="1" applyFill="1" applyBorder="1" applyAlignment="1" applyProtection="1">
      <alignment vertical="center"/>
      <protection hidden="1"/>
    </xf>
    <xf numFmtId="169" fontId="175" fillId="8" borderId="149" xfId="0" applyNumberFormat="1" applyFont="1" applyFill="1" applyBorder="1" applyAlignment="1" applyProtection="1">
      <alignment horizontal="center" vertical="center"/>
      <protection hidden="1"/>
    </xf>
    <xf numFmtId="173" fontId="200" fillId="0" borderId="1" xfId="0" applyFont="1" applyAlignment="1" applyProtection="1">
      <protection locked="0"/>
    </xf>
    <xf numFmtId="173" fontId="200" fillId="0" borderId="1" xfId="0" applyFont="1" applyAlignment="1" applyProtection="1">
      <alignment vertical="center"/>
      <protection locked="0"/>
    </xf>
    <xf numFmtId="184" fontId="200" fillId="0" borderId="130" xfId="0" applyNumberFormat="1" applyFont="1" applyBorder="1" applyAlignment="1" applyProtection="1">
      <alignment vertical="center"/>
      <protection hidden="1"/>
    </xf>
    <xf numFmtId="184" fontId="200" fillId="0" borderId="175" xfId="0" applyNumberFormat="1" applyFont="1" applyBorder="1" applyAlignment="1" applyProtection="1">
      <alignment vertical="center"/>
      <protection hidden="1"/>
    </xf>
    <xf numFmtId="184" fontId="200" fillId="0" borderId="193" xfId="0" applyNumberFormat="1" applyFont="1" applyBorder="1" applyAlignment="1" applyProtection="1">
      <alignment vertical="center"/>
      <protection hidden="1"/>
    </xf>
    <xf numFmtId="184" fontId="200" fillId="0" borderId="132" xfId="0" applyNumberFormat="1" applyFont="1" applyBorder="1" applyAlignment="1" applyProtection="1">
      <alignment vertical="center"/>
      <protection hidden="1"/>
    </xf>
    <xf numFmtId="184" fontId="200" fillId="0" borderId="1" xfId="0" applyNumberFormat="1" applyFont="1" applyAlignment="1" applyProtection="1">
      <alignment vertical="center"/>
      <protection locked="0"/>
    </xf>
    <xf numFmtId="173" fontId="200" fillId="0" borderId="0" xfId="0" applyFont="1" applyBorder="1" applyAlignment="1" applyProtection="1">
      <protection locked="0"/>
    </xf>
    <xf numFmtId="173" fontId="200" fillId="0" borderId="0" xfId="0" applyFont="1" applyBorder="1" applyAlignment="1" applyProtection="1">
      <alignment vertical="center"/>
      <protection locked="0"/>
    </xf>
    <xf numFmtId="184" fontId="200" fillId="0" borderId="0" xfId="0" applyNumberFormat="1" applyFont="1" applyBorder="1" applyAlignment="1" applyProtection="1">
      <alignment vertical="center"/>
      <protection locked="0"/>
    </xf>
    <xf numFmtId="4" fontId="200" fillId="0" borderId="0" xfId="0" applyNumberFormat="1" applyFont="1" applyBorder="1" applyAlignment="1" applyProtection="1">
      <protection locked="0"/>
    </xf>
    <xf numFmtId="173" fontId="306" fillId="0" borderId="0" xfId="0" applyFont="1" applyBorder="1" applyAlignment="1" applyProtection="1">
      <alignment horizontal="center" vertical="center"/>
      <protection locked="0"/>
    </xf>
    <xf numFmtId="173" fontId="212" fillId="0" borderId="0" xfId="0" applyFont="1" applyBorder="1" applyAlignment="1" applyProtection="1">
      <alignment horizontal="center" vertical="center"/>
      <protection locked="0"/>
    </xf>
    <xf numFmtId="173" fontId="200" fillId="0" borderId="0" xfId="0" applyFont="1" applyBorder="1" applyAlignment="1" applyProtection="1">
      <alignment horizontal="center" vertical="center"/>
      <protection locked="0"/>
    </xf>
    <xf numFmtId="203" fontId="200" fillId="0" borderId="0" xfId="0" applyNumberFormat="1" applyFont="1" applyBorder="1" applyAlignment="1" applyProtection="1">
      <protection locked="0"/>
    </xf>
    <xf numFmtId="173" fontId="306" fillId="0" borderId="0" xfId="0" applyFont="1" applyBorder="1" applyAlignment="1" applyProtection="1">
      <alignment horizontal="centerContinuous" vertical="center"/>
      <protection locked="0"/>
    </xf>
    <xf numFmtId="4" fontId="200" fillId="0" borderId="103" xfId="0" applyNumberFormat="1" applyFont="1" applyBorder="1" applyAlignment="1" applyProtection="1">
      <protection locked="0"/>
    </xf>
    <xf numFmtId="173" fontId="221" fillId="0" borderId="0" xfId="0" applyFont="1" applyFill="1" applyBorder="1" applyAlignment="1" applyProtection="1">
      <alignment horizontal="center" vertical="center"/>
      <protection locked="0"/>
    </xf>
    <xf numFmtId="173" fontId="221" fillId="0" borderId="0" xfId="0" quotePrefix="1" applyFont="1" applyFill="1" applyBorder="1" applyAlignment="1" applyProtection="1">
      <alignment horizontal="center" vertical="center"/>
      <protection locked="0"/>
    </xf>
    <xf numFmtId="0" fontId="229" fillId="0" borderId="0" xfId="0" applyNumberFormat="1" applyFont="1" applyFill="1" applyBorder="1" applyAlignment="1" applyProtection="1">
      <alignment horizontal="center" vertical="center"/>
      <protection locked="0"/>
    </xf>
    <xf numFmtId="184" fontId="200" fillId="0" borderId="0" xfId="8" applyNumberFormat="1" applyFont="1" applyFill="1" applyBorder="1" applyAlignment="1" applyProtection="1">
      <alignment vertical="center"/>
      <protection locked="0"/>
    </xf>
    <xf numFmtId="184" fontId="241" fillId="0" borderId="0" xfId="0" applyNumberFormat="1" applyFont="1" applyFill="1" applyBorder="1" applyAlignment="1" applyProtection="1">
      <alignment horizontal="right" vertical="center" indent="1"/>
      <protection locked="0"/>
    </xf>
    <xf numFmtId="184" fontId="217" fillId="0" borderId="0" xfId="0" applyNumberFormat="1" applyFont="1" applyFill="1" applyBorder="1" applyAlignment="1" applyProtection="1">
      <alignment vertical="center"/>
      <protection locked="0"/>
    </xf>
    <xf numFmtId="184" fontId="200" fillId="0" borderId="0" xfId="0" applyNumberFormat="1" applyFont="1" applyFill="1" applyBorder="1" applyAlignment="1" applyProtection="1">
      <alignment vertical="center"/>
      <protection locked="0"/>
    </xf>
    <xf numFmtId="173" fontId="0" fillId="0" borderId="0" xfId="0" applyBorder="1" applyAlignment="1">
      <alignment horizontal="right" vertical="top"/>
    </xf>
    <xf numFmtId="173" fontId="79" fillId="57" borderId="26" xfId="0" applyFont="1" applyFill="1" applyBorder="1" applyAlignment="1" applyProtection="1">
      <alignment horizontal="center" vertical="center"/>
      <protection hidden="1"/>
    </xf>
    <xf numFmtId="173" fontId="313" fillId="0" borderId="0" xfId="0" applyFont="1" applyBorder="1" applyAlignment="1" applyProtection="1">
      <alignment vertical="center"/>
      <protection hidden="1"/>
    </xf>
    <xf numFmtId="173" fontId="319" fillId="0" borderId="0" xfId="0" applyFont="1" applyBorder="1" applyAlignment="1" applyProtection="1">
      <alignment horizontal="left" vertical="center" indent="1"/>
      <protection hidden="1"/>
    </xf>
    <xf numFmtId="173" fontId="318" fillId="0" borderId="0" xfId="0" applyFont="1" applyBorder="1" applyAlignment="1" applyProtection="1">
      <alignment horizontal="left" vertical="center" indent="1"/>
      <protection hidden="1"/>
    </xf>
    <xf numFmtId="173" fontId="54" fillId="0" borderId="0" xfId="0" applyNumberFormat="1" applyFont="1" applyBorder="1" applyAlignment="1" applyProtection="1">
      <alignment vertical="center"/>
      <protection locked="0"/>
    </xf>
    <xf numFmtId="173" fontId="230" fillId="0" borderId="0" xfId="0" applyFont="1" applyFill="1" applyBorder="1" applyAlignment="1" applyProtection="1">
      <alignment vertical="center" wrapText="1"/>
      <protection hidden="1"/>
    </xf>
    <xf numFmtId="173" fontId="0" fillId="0" borderId="0" xfId="0" applyBorder="1" applyAlignment="1" applyProtection="1">
      <alignment vertical="center"/>
      <protection hidden="1"/>
    </xf>
    <xf numFmtId="173" fontId="15" fillId="0" borderId="0" xfId="0" applyFont="1" applyBorder="1" applyAlignment="1">
      <alignment horizontal="center"/>
    </xf>
    <xf numFmtId="0" fontId="15" fillId="0" borderId="0" xfId="0" applyNumberFormat="1" applyFont="1" applyBorder="1" applyAlignment="1">
      <alignment horizontal="center" vertical="center"/>
    </xf>
    <xf numFmtId="173" fontId="300" fillId="0" borderId="0" xfId="0" applyFont="1" applyBorder="1" applyAlignment="1" applyProtection="1">
      <alignment horizontal="right" vertical="center" indent="1"/>
      <protection hidden="1"/>
    </xf>
    <xf numFmtId="173" fontId="17" fillId="0" borderId="0" xfId="0" applyFont="1" applyFill="1" applyBorder="1" applyAlignment="1" applyProtection="1">
      <alignment horizontal="center" vertical="top"/>
      <protection locked="0"/>
    </xf>
    <xf numFmtId="173" fontId="17" fillId="0" borderId="0" xfId="0" applyFont="1" applyFill="1" applyBorder="1" applyAlignment="1" applyProtection="1">
      <alignment horizontal="left" vertical="top"/>
      <protection locked="0"/>
    </xf>
    <xf numFmtId="170" fontId="15" fillId="0" borderId="0" xfId="0" applyNumberFormat="1" applyFont="1" applyBorder="1" applyProtection="1">
      <alignment horizontal="right"/>
      <protection locked="0"/>
    </xf>
    <xf numFmtId="167" fontId="42" fillId="0" borderId="0" xfId="0" applyNumberFormat="1" applyFont="1" applyFill="1" applyBorder="1" applyAlignment="1" applyProtection="1">
      <protection locked="0"/>
    </xf>
    <xf numFmtId="173" fontId="334" fillId="0" borderId="0" xfId="0" applyFont="1" applyBorder="1" applyProtection="1">
      <alignment horizontal="right"/>
      <protection locked="0"/>
    </xf>
    <xf numFmtId="0" fontId="336" fillId="44" borderId="215" xfId="0" applyNumberFormat="1" applyFont="1" applyFill="1" applyBorder="1" applyAlignment="1" applyProtection="1">
      <alignment horizontal="left" vertical="center" wrapText="1" indent="1"/>
      <protection hidden="1"/>
    </xf>
    <xf numFmtId="0" fontId="336" fillId="44" borderId="216" xfId="0" applyNumberFormat="1" applyFont="1" applyFill="1" applyBorder="1" applyAlignment="1" applyProtection="1">
      <alignment horizontal="left" vertical="center" wrapText="1" indent="1"/>
      <protection hidden="1"/>
    </xf>
    <xf numFmtId="173" fontId="56" fillId="11" borderId="0" xfId="0" applyFont="1" applyFill="1" applyBorder="1" applyAlignment="1" applyProtection="1">
      <alignment horizontal="center" vertical="center"/>
      <protection locked="0"/>
    </xf>
    <xf numFmtId="173" fontId="128" fillId="11" borderId="0" xfId="0" applyFont="1" applyFill="1" applyBorder="1" applyProtection="1">
      <alignment horizontal="right"/>
      <protection locked="0"/>
    </xf>
    <xf numFmtId="173" fontId="64" fillId="11" borderId="0" xfId="0" applyFont="1" applyFill="1" applyBorder="1" applyProtection="1">
      <alignment horizontal="right"/>
      <protection locked="0"/>
    </xf>
    <xf numFmtId="173" fontId="132" fillId="11" borderId="0" xfId="0" applyFont="1" applyFill="1" applyBorder="1" applyAlignment="1" applyProtection="1">
      <alignment horizontal="center" vertical="center"/>
      <protection locked="0"/>
    </xf>
    <xf numFmtId="173" fontId="334" fillId="11" borderId="0" xfId="0" applyFont="1" applyFill="1" applyBorder="1" applyProtection="1">
      <alignment horizontal="right"/>
      <protection locked="0"/>
    </xf>
    <xf numFmtId="173" fontId="68" fillId="0" borderId="0" xfId="0" applyFont="1" applyBorder="1" applyAlignment="1">
      <alignment vertical="center"/>
    </xf>
    <xf numFmtId="0" fontId="284" fillId="44" borderId="3" xfId="0" applyNumberFormat="1" applyFont="1" applyFill="1" applyBorder="1" applyAlignment="1" applyProtection="1">
      <alignment horizontal="left" vertical="center" wrapText="1" indent="1"/>
      <protection hidden="1"/>
    </xf>
    <xf numFmtId="173" fontId="53" fillId="11" borderId="0" xfId="0" applyFont="1" applyFill="1" applyBorder="1" applyAlignment="1" applyProtection="1">
      <alignment vertical="center"/>
      <protection hidden="1"/>
    </xf>
    <xf numFmtId="173" fontId="0" fillId="0" borderId="0" xfId="0" applyBorder="1" applyAlignment="1">
      <alignment horizontal="left" indent="1"/>
    </xf>
    <xf numFmtId="173" fontId="123" fillId="11" borderId="0" xfId="0" applyFont="1" applyFill="1" applyBorder="1" applyAlignment="1" applyProtection="1">
      <alignment horizontal="left" indent="1"/>
      <protection hidden="1"/>
    </xf>
    <xf numFmtId="9" fontId="223" fillId="11" borderId="0" xfId="0" applyNumberFormat="1" applyFont="1" applyFill="1" applyBorder="1" applyAlignment="1" applyProtection="1">
      <alignment horizontal="left" vertical="center"/>
      <protection hidden="1"/>
    </xf>
    <xf numFmtId="9" fontId="223" fillId="11" borderId="0" xfId="0" applyNumberFormat="1" applyFont="1" applyFill="1" applyBorder="1" applyAlignment="1" applyProtection="1">
      <alignment horizontal="center" vertical="center"/>
      <protection hidden="1"/>
    </xf>
    <xf numFmtId="173" fontId="246" fillId="11" borderId="0" xfId="0" applyFont="1" applyFill="1" applyBorder="1" applyAlignment="1" applyProtection="1">
      <alignment horizontal="right"/>
      <protection locked="0"/>
    </xf>
    <xf numFmtId="173" fontId="200" fillId="0" borderId="0" xfId="0" applyFont="1" applyBorder="1" applyAlignment="1">
      <alignment horizontal="right"/>
    </xf>
    <xf numFmtId="173" fontId="203" fillId="0" borderId="0" xfId="7" applyFont="1" applyBorder="1" applyAlignment="1" applyProtection="1">
      <alignment horizontal="left" wrapText="1" shrinkToFit="1"/>
      <protection hidden="1"/>
    </xf>
    <xf numFmtId="173" fontId="269" fillId="0" borderId="0" xfId="0" applyFont="1" applyFill="1" applyBorder="1" applyAlignment="1" applyProtection="1">
      <alignment horizontal="left" wrapText="1" indent="1" shrinkToFit="1"/>
      <protection hidden="1"/>
    </xf>
    <xf numFmtId="173" fontId="339" fillId="0" borderId="0" xfId="7" applyFont="1" applyBorder="1" applyAlignment="1" applyProtection="1">
      <alignment horizontal="left" wrapText="1" shrinkToFit="1"/>
      <protection hidden="1"/>
    </xf>
    <xf numFmtId="173" fontId="200" fillId="0" borderId="0" xfId="0" applyFont="1" applyBorder="1" applyProtection="1">
      <alignment horizontal="right"/>
      <protection hidden="1"/>
    </xf>
    <xf numFmtId="173" fontId="15" fillId="0" borderId="1" xfId="0" applyFont="1" applyAlignment="1">
      <alignment vertical="center"/>
    </xf>
    <xf numFmtId="173" fontId="15" fillId="0" borderId="1" xfId="0" applyFont="1" applyFill="1" applyAlignment="1">
      <alignment vertical="center"/>
    </xf>
    <xf numFmtId="173" fontId="15" fillId="0" borderId="0" xfId="0" applyFont="1" applyFill="1" applyBorder="1" applyAlignment="1">
      <alignment vertical="center"/>
    </xf>
    <xf numFmtId="173" fontId="15" fillId="0" borderId="0" xfId="0" applyFont="1" applyBorder="1" applyAlignment="1">
      <alignment vertical="center"/>
    </xf>
    <xf numFmtId="3" fontId="15" fillId="0" borderId="1" xfId="0" applyNumberFormat="1" applyFont="1" applyAlignment="1">
      <alignment vertical="center"/>
    </xf>
    <xf numFmtId="173" fontId="260" fillId="0" borderId="1" xfId="0" applyFont="1" applyFill="1" applyAlignment="1">
      <alignment vertical="center"/>
    </xf>
    <xf numFmtId="173" fontId="260" fillId="0" borderId="0" xfId="0" applyFont="1" applyFill="1" applyBorder="1" applyAlignment="1">
      <alignment vertical="center"/>
    </xf>
    <xf numFmtId="3" fontId="341" fillId="0" borderId="1" xfId="0" applyNumberFormat="1" applyFont="1" applyAlignment="1">
      <alignment vertical="center"/>
    </xf>
    <xf numFmtId="173" fontId="341" fillId="0" borderId="1" xfId="0" applyFont="1" applyAlignment="1">
      <alignment vertical="center"/>
    </xf>
    <xf numFmtId="173" fontId="15" fillId="0" borderId="1" xfId="0" applyFont="1" applyAlignment="1"/>
    <xf numFmtId="3" fontId="15" fillId="0" borderId="0" xfId="0" applyNumberFormat="1" applyFont="1" applyBorder="1" applyAlignment="1">
      <alignment vertical="center"/>
    </xf>
    <xf numFmtId="3" fontId="341" fillId="0" borderId="0" xfId="0" applyNumberFormat="1" applyFont="1" applyBorder="1" applyAlignment="1">
      <alignment vertical="center"/>
    </xf>
    <xf numFmtId="173" fontId="341" fillId="0" borderId="0" xfId="0" applyFont="1" applyBorder="1" applyAlignment="1">
      <alignment vertical="center"/>
    </xf>
    <xf numFmtId="173" fontId="15" fillId="0" borderId="0" xfId="0" applyFont="1" applyBorder="1" applyAlignment="1"/>
    <xf numFmtId="173" fontId="15" fillId="0" borderId="103" xfId="0" applyFont="1" applyBorder="1" applyAlignment="1">
      <alignment vertical="center"/>
    </xf>
    <xf numFmtId="173" fontId="273" fillId="0" borderId="0" xfId="0" applyFont="1" applyBorder="1" applyAlignment="1">
      <alignment vertical="center"/>
    </xf>
    <xf numFmtId="173" fontId="273" fillId="0" borderId="1" xfId="0" applyFont="1" applyAlignment="1">
      <alignment vertical="center"/>
    </xf>
    <xf numFmtId="173" fontId="11" fillId="0" borderId="0" xfId="0" applyFont="1" applyBorder="1" applyAlignment="1">
      <alignment vertical="center"/>
    </xf>
    <xf numFmtId="173" fontId="11" fillId="0" borderId="1" xfId="0" applyFont="1" applyAlignment="1">
      <alignment vertical="center"/>
    </xf>
    <xf numFmtId="173" fontId="351" fillId="0" borderId="0" xfId="0" applyFont="1" applyBorder="1" applyAlignment="1">
      <alignment vertical="center"/>
    </xf>
    <xf numFmtId="3" fontId="351" fillId="0" borderId="0" xfId="0" applyNumberFormat="1" applyFont="1" applyBorder="1" applyAlignment="1">
      <alignment vertical="center"/>
    </xf>
    <xf numFmtId="173" fontId="351" fillId="0" borderId="1" xfId="0" applyFont="1" applyAlignment="1">
      <alignment vertical="center"/>
    </xf>
    <xf numFmtId="173" fontId="64" fillId="0" borderId="0" xfId="0" applyFont="1" applyBorder="1" applyAlignment="1">
      <alignment vertical="center"/>
    </xf>
    <xf numFmtId="173" fontId="64" fillId="0" borderId="1" xfId="0" applyFont="1" applyAlignment="1">
      <alignment vertical="center"/>
    </xf>
    <xf numFmtId="3" fontId="64" fillId="0" borderId="0" xfId="0" applyNumberFormat="1" applyFont="1" applyBorder="1" applyAlignment="1">
      <alignment vertical="center"/>
    </xf>
    <xf numFmtId="173" fontId="201" fillId="40" borderId="102" xfId="0" applyFont="1" applyFill="1" applyBorder="1" applyAlignment="1" applyProtection="1">
      <alignment horizontal="center" vertical="top" wrapText="1"/>
      <protection hidden="1"/>
    </xf>
    <xf numFmtId="173" fontId="208" fillId="40" borderId="100" xfId="7" applyFont="1" applyFill="1" applyBorder="1" applyAlignment="1" applyProtection="1">
      <alignment horizontal="center" wrapText="1"/>
      <protection hidden="1"/>
    </xf>
    <xf numFmtId="173" fontId="227" fillId="43" borderId="121" xfId="0" applyFont="1" applyFill="1" applyBorder="1" applyAlignment="1" applyProtection="1">
      <alignment horizontal="center" vertical="top"/>
      <protection hidden="1"/>
    </xf>
    <xf numFmtId="173" fontId="227" fillId="43" borderId="122" xfId="0" applyFont="1" applyFill="1" applyBorder="1" applyAlignment="1" applyProtection="1">
      <alignment horizontal="center" vertical="top"/>
      <protection hidden="1"/>
    </xf>
    <xf numFmtId="173" fontId="227" fillId="43" borderId="123" xfId="0" applyFont="1" applyFill="1" applyBorder="1" applyAlignment="1" applyProtection="1">
      <alignment horizontal="center" vertical="top"/>
      <protection hidden="1"/>
    </xf>
    <xf numFmtId="173" fontId="15" fillId="32" borderId="94" xfId="0" applyFont="1" applyFill="1" applyBorder="1" applyAlignment="1" applyProtection="1">
      <alignment horizontal="right" vertical="center"/>
      <protection hidden="1"/>
    </xf>
    <xf numFmtId="173" fontId="54" fillId="0" borderId="0" xfId="0" applyFont="1" applyBorder="1" applyAlignment="1" applyProtection="1">
      <alignment vertical="center"/>
      <protection hidden="1"/>
    </xf>
    <xf numFmtId="173" fontId="0" fillId="0" borderId="0" xfId="0" applyBorder="1" applyAlignment="1">
      <alignment vertical="center"/>
    </xf>
    <xf numFmtId="173" fontId="54" fillId="0" borderId="0" xfId="0" applyFont="1" applyFill="1" applyBorder="1" applyAlignment="1" applyProtection="1">
      <alignment vertical="center"/>
      <protection hidden="1"/>
    </xf>
    <xf numFmtId="173" fontId="0" fillId="0" borderId="0" xfId="0" applyBorder="1" applyAlignment="1" applyProtection="1">
      <alignment vertical="center"/>
      <protection hidden="1"/>
    </xf>
    <xf numFmtId="173" fontId="326" fillId="0" borderId="6" xfId="0" applyFont="1" applyBorder="1" applyAlignment="1" applyProtection="1">
      <alignment horizontal="center" vertical="center"/>
      <protection locked="0" hidden="1"/>
    </xf>
    <xf numFmtId="205" fontId="292" fillId="0" borderId="0" xfId="0" applyNumberFormat="1" applyFont="1" applyBorder="1" applyAlignment="1" applyProtection="1">
      <alignment horizontal="center" vertical="center"/>
      <protection hidden="1"/>
    </xf>
    <xf numFmtId="173" fontId="353" fillId="0" borderId="0" xfId="0" applyFont="1" applyFill="1" applyBorder="1" applyAlignment="1" applyProtection="1">
      <alignment horizontal="center" vertical="center"/>
      <protection hidden="1"/>
    </xf>
    <xf numFmtId="0" fontId="292" fillId="0" borderId="0" xfId="0" applyNumberFormat="1" applyFont="1" applyBorder="1" applyAlignment="1" applyProtection="1">
      <alignment horizontal="center" vertical="center"/>
      <protection hidden="1"/>
    </xf>
    <xf numFmtId="2" fontId="292" fillId="0" borderId="0" xfId="0" applyNumberFormat="1" applyFont="1" applyBorder="1" applyAlignment="1" applyProtection="1">
      <alignment horizontal="center" vertical="center"/>
      <protection hidden="1"/>
    </xf>
    <xf numFmtId="173" fontId="54" fillId="0" borderId="140" xfId="0" applyFont="1" applyBorder="1" applyAlignment="1" applyProtection="1">
      <alignment vertical="center"/>
      <protection hidden="1"/>
    </xf>
    <xf numFmtId="173" fontId="12" fillId="0" borderId="0" xfId="0" applyFont="1" applyFill="1" applyBorder="1" applyAlignment="1">
      <alignment vertical="center"/>
    </xf>
    <xf numFmtId="173" fontId="17" fillId="0" borderId="0" xfId="0" applyFont="1" applyFill="1" applyBorder="1" applyAlignment="1">
      <alignment vertical="center"/>
    </xf>
    <xf numFmtId="3" fontId="17" fillId="0" borderId="0" xfId="0" applyNumberFormat="1" applyFont="1" applyFill="1" applyBorder="1" applyAlignment="1">
      <alignment vertical="center"/>
    </xf>
    <xf numFmtId="3" fontId="351" fillId="0" borderId="0" xfId="0" applyNumberFormat="1" applyFont="1" applyFill="1" applyBorder="1" applyAlignment="1">
      <alignment vertical="center"/>
    </xf>
    <xf numFmtId="3" fontId="345" fillId="0" borderId="0" xfId="0" applyNumberFormat="1" applyFont="1" applyFill="1" applyBorder="1" applyAlignment="1">
      <alignment vertical="center"/>
    </xf>
    <xf numFmtId="3" fontId="199" fillId="0" borderId="0" xfId="0" applyNumberFormat="1" applyFont="1" applyFill="1" applyBorder="1" applyAlignment="1">
      <alignment vertical="center"/>
    </xf>
    <xf numFmtId="173" fontId="17" fillId="0" borderId="0" xfId="0" applyFont="1" applyFill="1" applyBorder="1" applyAlignment="1"/>
    <xf numFmtId="167" fontId="198" fillId="0" borderId="0" xfId="0" applyNumberFormat="1" applyFont="1" applyBorder="1" applyAlignment="1">
      <alignment vertical="center"/>
    </xf>
    <xf numFmtId="167" fontId="198" fillId="0" borderId="0" xfId="0" applyNumberFormat="1" applyFont="1" applyFill="1" applyBorder="1" applyAlignment="1">
      <alignment vertical="center"/>
    </xf>
    <xf numFmtId="167" fontId="198" fillId="0" borderId="0" xfId="0" applyNumberFormat="1" applyFont="1" applyBorder="1" applyAlignment="1" applyProtection="1">
      <alignment vertical="center"/>
      <protection hidden="1"/>
    </xf>
    <xf numFmtId="9" fontId="195" fillId="26" borderId="230" xfId="0" applyNumberFormat="1" applyFont="1" applyFill="1" applyBorder="1" applyAlignment="1" applyProtection="1">
      <alignment horizontal="center" vertical="center"/>
      <protection hidden="1"/>
    </xf>
    <xf numFmtId="173" fontId="0" fillId="0" borderId="0" xfId="0" applyBorder="1" applyAlignment="1">
      <alignment horizontal="right" vertical="center"/>
    </xf>
    <xf numFmtId="173" fontId="69" fillId="0" borderId="0" xfId="0" applyFont="1" applyBorder="1" applyAlignment="1" applyProtection="1">
      <alignment horizontal="left" vertical="top" wrapText="1"/>
      <protection locked="0"/>
    </xf>
    <xf numFmtId="173" fontId="25" fillId="0" borderId="0" xfId="0" applyFont="1" applyBorder="1" applyAlignment="1" applyProtection="1">
      <alignment horizontal="left" vertical="top"/>
      <protection locked="0"/>
    </xf>
    <xf numFmtId="173" fontId="25" fillId="0" borderId="0" xfId="0" applyFont="1" applyBorder="1" applyAlignment="1" applyProtection="1">
      <alignment horizontal="left" vertical="top" wrapText="1"/>
      <protection locked="0"/>
    </xf>
    <xf numFmtId="173" fontId="0" fillId="0" borderId="0" xfId="0" applyBorder="1" applyAlignment="1" applyProtection="1">
      <alignment horizontal="left" vertical="center"/>
      <protection hidden="1"/>
    </xf>
    <xf numFmtId="173" fontId="0" fillId="0" borderId="197" xfId="0" applyBorder="1" applyAlignment="1">
      <alignment horizontal="right"/>
    </xf>
    <xf numFmtId="173" fontId="0" fillId="0" borderId="198" xfId="0" applyBorder="1" applyAlignment="1">
      <alignment horizontal="right"/>
    </xf>
    <xf numFmtId="173" fontId="0" fillId="0" borderId="0" xfId="0" applyBorder="1" applyAlignment="1">
      <alignment horizontal="right"/>
    </xf>
    <xf numFmtId="167" fontId="195" fillId="24" borderId="46" xfId="0" applyNumberFormat="1" applyFont="1" applyFill="1" applyBorder="1" applyAlignment="1" applyProtection="1">
      <alignment vertical="center"/>
      <protection locked="0"/>
    </xf>
    <xf numFmtId="173" fontId="69" fillId="0" borderId="0" xfId="0" applyFont="1" applyBorder="1" applyAlignment="1">
      <alignment horizontal="left" vertical="center"/>
    </xf>
    <xf numFmtId="173" fontId="23" fillId="0" borderId="237" xfId="0" applyFont="1" applyBorder="1" applyAlignment="1" applyProtection="1">
      <alignment horizontal="center" vertical="center"/>
      <protection locked="0" hidden="1"/>
    </xf>
    <xf numFmtId="0" fontId="30" fillId="0" borderId="240" xfId="0" applyNumberFormat="1" applyFont="1" applyBorder="1" applyAlignment="1" applyProtection="1">
      <alignment horizontal="center" vertical="center"/>
      <protection locked="0"/>
    </xf>
    <xf numFmtId="0" fontId="242" fillId="0" borderId="240" xfId="0" applyNumberFormat="1" applyFont="1" applyBorder="1" applyAlignment="1" applyProtection="1">
      <alignment horizontal="center" vertical="center"/>
      <protection locked="0"/>
    </xf>
    <xf numFmtId="173" fontId="25" fillId="0" borderId="0" xfId="0" applyFont="1" applyBorder="1" applyAlignment="1" applyProtection="1">
      <alignment horizontal="left" vertical="center" indent="4"/>
      <protection hidden="1"/>
    </xf>
    <xf numFmtId="173" fontId="25" fillId="0" borderId="0" xfId="0" applyFont="1" applyBorder="1" applyAlignment="1" applyProtection="1">
      <alignment horizontal="left" vertical="center" indent="2"/>
      <protection hidden="1"/>
    </xf>
    <xf numFmtId="173" fontId="30" fillId="0" borderId="86" xfId="0" applyFont="1" applyBorder="1" applyAlignment="1" applyProtection="1">
      <alignment horizontal="center" vertical="center"/>
      <protection locked="0"/>
    </xf>
    <xf numFmtId="173" fontId="30" fillId="0" borderId="0" xfId="0" applyFont="1" applyBorder="1" applyAlignment="1" applyProtection="1">
      <alignment horizontal="left" vertical="center" indent="4"/>
      <protection locked="0"/>
    </xf>
    <xf numFmtId="167" fontId="15" fillId="0" borderId="37" xfId="0" applyNumberFormat="1" applyFont="1" applyFill="1" applyBorder="1" applyAlignment="1" applyProtection="1">
      <alignment horizontal="right" vertical="center"/>
      <protection locked="0"/>
    </xf>
    <xf numFmtId="167" fontId="16" fillId="31" borderId="250" xfId="0" applyNumberFormat="1" applyFont="1" applyFill="1" applyBorder="1" applyAlignment="1" applyProtection="1">
      <alignment horizontal="center" vertical="center" wrapText="1"/>
      <protection locked="0" hidden="1"/>
    </xf>
    <xf numFmtId="167" fontId="42" fillId="0" borderId="252" xfId="0" applyNumberFormat="1" applyFont="1" applyFill="1" applyBorder="1" applyAlignment="1" applyProtection="1">
      <alignment horizontal="center" vertical="center"/>
      <protection locked="0"/>
    </xf>
    <xf numFmtId="173" fontId="30" fillId="0" borderId="0" xfId="0" applyFont="1" applyFill="1" applyBorder="1" applyAlignment="1" applyProtection="1">
      <alignment horizontal="left" vertical="top"/>
      <protection locked="0"/>
    </xf>
    <xf numFmtId="173" fontId="221" fillId="0" borderId="0" xfId="0" applyFont="1" applyFill="1" applyBorder="1" applyAlignment="1"/>
    <xf numFmtId="173" fontId="241" fillId="24" borderId="25" xfId="0" applyFont="1" applyFill="1" applyBorder="1" applyAlignment="1">
      <alignment horizontal="left" indent="1"/>
    </xf>
    <xf numFmtId="173" fontId="241" fillId="24" borderId="27" xfId="0" applyFont="1" applyFill="1" applyBorder="1" applyAlignment="1">
      <alignment horizontal="left" indent="1"/>
    </xf>
    <xf numFmtId="173" fontId="84" fillId="0" borderId="0" xfId="0" applyFont="1" applyFill="1" applyBorder="1" applyAlignment="1" applyProtection="1">
      <alignment horizontal="left" vertical="center" indent="1"/>
      <protection locked="0"/>
    </xf>
    <xf numFmtId="173" fontId="362" fillId="0" borderId="0" xfId="0" applyFont="1" applyBorder="1" applyProtection="1">
      <alignment horizontal="right"/>
      <protection locked="0"/>
    </xf>
    <xf numFmtId="173" fontId="19" fillId="0" borderId="0" xfId="0" applyFont="1" applyBorder="1" applyAlignment="1" applyProtection="1">
      <alignment horizontal="left" vertical="center" wrapText="1"/>
      <protection hidden="1"/>
    </xf>
    <xf numFmtId="173" fontId="19" fillId="0" borderId="0" xfId="0" quotePrefix="1" applyFont="1" applyBorder="1" applyAlignment="1" applyProtection="1">
      <alignment horizontal="left" vertical="center" wrapText="1" shrinkToFit="1"/>
      <protection hidden="1"/>
    </xf>
    <xf numFmtId="173" fontId="273" fillId="0" borderId="0" xfId="0" applyFont="1" applyBorder="1" applyAlignment="1" applyProtection="1">
      <alignment horizontal="center" vertical="center"/>
      <protection locked="0"/>
    </xf>
    <xf numFmtId="173" fontId="273" fillId="0" borderId="0" xfId="0" applyFont="1" applyBorder="1" applyAlignment="1" applyProtection="1">
      <alignment vertical="center"/>
      <protection locked="0"/>
    </xf>
    <xf numFmtId="173" fontId="273" fillId="0" borderId="0" xfId="0" applyFont="1" applyBorder="1" applyAlignment="1" applyProtection="1">
      <alignment horizontal="left" vertical="center"/>
      <protection locked="0"/>
    </xf>
    <xf numFmtId="173" fontId="273" fillId="0" borderId="265" xfId="0" applyFont="1" applyBorder="1" applyAlignment="1" applyProtection="1">
      <alignment horizontal="center" vertical="center"/>
      <protection locked="0"/>
    </xf>
    <xf numFmtId="2" fontId="221" fillId="0" borderId="0" xfId="0" applyNumberFormat="1" applyFont="1" applyBorder="1" applyAlignment="1" applyProtection="1">
      <alignment horizontal="center" vertical="center"/>
      <protection locked="0" hidden="1"/>
    </xf>
    <xf numFmtId="173" fontId="241" fillId="0" borderId="0" xfId="0" applyFont="1" applyBorder="1" applyAlignment="1" applyProtection="1">
      <alignment vertical="center"/>
      <protection locked="0"/>
    </xf>
    <xf numFmtId="173" fontId="273" fillId="0" borderId="0" xfId="0" applyFont="1" applyBorder="1" applyAlignment="1" applyProtection="1">
      <alignment horizontal="right" vertical="center"/>
      <protection locked="0"/>
    </xf>
    <xf numFmtId="173" fontId="367" fillId="0" borderId="0" xfId="0" applyFont="1" applyBorder="1" applyAlignment="1" applyProtection="1">
      <alignment vertical="center"/>
      <protection locked="0"/>
    </xf>
    <xf numFmtId="173" fontId="367" fillId="0" borderId="0" xfId="0" applyFont="1" applyBorder="1" applyAlignment="1" applyProtection="1">
      <alignment horizontal="center" vertical="center"/>
      <protection locked="0"/>
    </xf>
    <xf numFmtId="173" fontId="367" fillId="0" borderId="0" xfId="0" applyFont="1" applyBorder="1" applyAlignment="1" applyProtection="1">
      <alignment horizontal="right" vertical="center"/>
      <protection locked="0"/>
    </xf>
    <xf numFmtId="173" fontId="368" fillId="0" borderId="0" xfId="0" applyFont="1" applyBorder="1" applyAlignment="1" applyProtection="1">
      <alignment horizontal="center" vertical="center"/>
      <protection locked="0"/>
    </xf>
    <xf numFmtId="173" fontId="241" fillId="0" borderId="0" xfId="0" applyFont="1" applyBorder="1" applyAlignment="1" applyProtection="1">
      <alignment horizontal="center" vertical="center"/>
      <protection locked="0"/>
    </xf>
    <xf numFmtId="173" fontId="364" fillId="0" borderId="0" xfId="0" applyFont="1" applyBorder="1" applyAlignment="1" applyProtection="1">
      <alignment vertical="center"/>
      <protection locked="0"/>
    </xf>
    <xf numFmtId="173" fontId="363" fillId="0" borderId="0" xfId="0" applyFont="1" applyBorder="1" applyAlignment="1" applyProtection="1">
      <alignment vertical="center"/>
      <protection locked="0"/>
    </xf>
    <xf numFmtId="173" fontId="273" fillId="0" borderId="0" xfId="0" applyFont="1" applyBorder="1" applyAlignment="1" applyProtection="1">
      <alignment vertical="center"/>
      <protection locked="0" hidden="1"/>
    </xf>
    <xf numFmtId="2" fontId="273" fillId="0" borderId="0" xfId="0" applyNumberFormat="1" applyFont="1" applyBorder="1" applyAlignment="1" applyProtection="1">
      <alignment vertical="center"/>
      <protection locked="0"/>
    </xf>
    <xf numFmtId="0" fontId="363" fillId="42" borderId="177" xfId="0" applyNumberFormat="1" applyFont="1" applyFill="1" applyBorder="1" applyAlignment="1" applyProtection="1">
      <alignment horizontal="center" vertical="center"/>
      <protection locked="0"/>
    </xf>
    <xf numFmtId="0" fontId="273" fillId="0" borderId="0" xfId="0" applyNumberFormat="1" applyFont="1" applyBorder="1" applyAlignment="1" applyProtection="1">
      <alignment vertical="center"/>
      <protection locked="0"/>
    </xf>
    <xf numFmtId="0" fontId="221" fillId="0" borderId="0" xfId="0" applyNumberFormat="1" applyFont="1" applyBorder="1" applyAlignment="1" applyProtection="1">
      <alignment horizontal="center" vertical="center"/>
      <protection locked="0" hidden="1"/>
    </xf>
    <xf numFmtId="0" fontId="273" fillId="0" borderId="0" xfId="0" applyNumberFormat="1" applyFont="1" applyFill="1" applyBorder="1" applyAlignment="1" applyProtection="1">
      <alignment vertical="center"/>
      <protection locked="0"/>
    </xf>
    <xf numFmtId="0" fontId="363" fillId="0" borderId="176" xfId="0" applyNumberFormat="1" applyFont="1" applyBorder="1" applyAlignment="1" applyProtection="1">
      <alignment horizontal="center" vertical="center"/>
      <protection locked="0"/>
    </xf>
    <xf numFmtId="0" fontId="363" fillId="0" borderId="263" xfId="0" applyNumberFormat="1" applyFont="1" applyBorder="1" applyAlignment="1" applyProtection="1">
      <alignment horizontal="center" vertical="center"/>
      <protection locked="0"/>
    </xf>
    <xf numFmtId="173" fontId="273" fillId="0" borderId="0" xfId="0" applyFont="1" applyBorder="1" applyAlignment="1" applyProtection="1">
      <alignment horizontal="left" vertical="center" indent="1"/>
      <protection locked="0" hidden="1"/>
    </xf>
    <xf numFmtId="173" fontId="364" fillId="0" borderId="0" xfId="0" applyFont="1" applyFill="1" applyBorder="1" applyAlignment="1" applyProtection="1">
      <alignment horizontal="center" vertical="center"/>
      <protection locked="0"/>
    </xf>
    <xf numFmtId="0" fontId="363" fillId="0" borderId="175" xfId="0" applyNumberFormat="1" applyFont="1" applyBorder="1" applyAlignment="1" applyProtection="1">
      <alignment horizontal="center" vertical="center"/>
      <protection locked="0"/>
    </xf>
    <xf numFmtId="0" fontId="363" fillId="0" borderId="174" xfId="0" applyNumberFormat="1" applyFont="1" applyBorder="1" applyAlignment="1" applyProtection="1">
      <alignment horizontal="center" vertical="center"/>
      <protection locked="0"/>
    </xf>
    <xf numFmtId="0" fontId="363" fillId="42" borderId="176" xfId="0" applyNumberFormat="1" applyFont="1" applyFill="1" applyBorder="1" applyAlignment="1" applyProtection="1">
      <alignment horizontal="center" vertical="center"/>
      <protection locked="0"/>
    </xf>
    <xf numFmtId="0" fontId="363" fillId="42" borderId="221" xfId="0" applyNumberFormat="1" applyFont="1" applyFill="1" applyBorder="1" applyAlignment="1" applyProtection="1">
      <alignment horizontal="center" vertical="center"/>
      <protection locked="0"/>
    </xf>
    <xf numFmtId="0" fontId="363" fillId="42" borderId="268" xfId="0" applyNumberFormat="1" applyFont="1" applyFill="1" applyBorder="1" applyAlignment="1" applyProtection="1">
      <alignment horizontal="center" vertical="center"/>
      <protection locked="0"/>
    </xf>
    <xf numFmtId="0" fontId="363" fillId="0" borderId="273" xfId="0" applyNumberFormat="1" applyFont="1" applyBorder="1" applyAlignment="1" applyProtection="1">
      <alignment horizontal="center" vertical="center"/>
      <protection locked="0"/>
    </xf>
    <xf numFmtId="0" fontId="363" fillId="0" borderId="266" xfId="0" applyNumberFormat="1" applyFont="1" applyBorder="1" applyAlignment="1" applyProtection="1">
      <alignment horizontal="center" vertical="center"/>
      <protection locked="0"/>
    </xf>
    <xf numFmtId="0" fontId="363" fillId="42" borderId="189" xfId="0" applyNumberFormat="1" applyFont="1" applyFill="1" applyBorder="1" applyAlignment="1" applyProtection="1">
      <alignment horizontal="center" vertical="center"/>
      <protection locked="0"/>
    </xf>
    <xf numFmtId="0" fontId="363" fillId="42" borderId="266" xfId="0" applyNumberFormat="1" applyFont="1" applyFill="1" applyBorder="1" applyAlignment="1" applyProtection="1">
      <alignment horizontal="center" vertical="center"/>
      <protection locked="0"/>
    </xf>
    <xf numFmtId="173" fontId="0" fillId="0" borderId="0" xfId="0" applyBorder="1" applyAlignment="1">
      <alignment horizontal="left" vertical="center"/>
    </xf>
    <xf numFmtId="173" fontId="204" fillId="50" borderId="162" xfId="0" applyFont="1" applyFill="1" applyBorder="1" applyAlignment="1" applyProtection="1">
      <alignment horizontal="center" vertical="center"/>
      <protection hidden="1"/>
    </xf>
    <xf numFmtId="173" fontId="204" fillId="50" borderId="186" xfId="0" applyFont="1" applyFill="1" applyBorder="1" applyAlignment="1" applyProtection="1">
      <alignment horizontal="center" vertical="center"/>
      <protection hidden="1"/>
    </xf>
    <xf numFmtId="173" fontId="204" fillId="50" borderId="267" xfId="0" applyFont="1" applyFill="1" applyBorder="1" applyAlignment="1" applyProtection="1">
      <alignment horizontal="center" vertical="center"/>
      <protection hidden="1"/>
    </xf>
    <xf numFmtId="173" fontId="15" fillId="0" borderId="129" xfId="0" applyFont="1" applyFill="1" applyBorder="1" applyAlignment="1" applyProtection="1">
      <alignment horizontal="left" vertical="center"/>
      <protection locked="0"/>
    </xf>
    <xf numFmtId="173" fontId="0" fillId="0" borderId="129" xfId="0" applyBorder="1" applyAlignment="1">
      <alignment horizontal="left" vertical="center"/>
    </xf>
    <xf numFmtId="173" fontId="273" fillId="0" borderId="129" xfId="0" applyFont="1" applyBorder="1" applyAlignment="1" applyProtection="1">
      <alignment vertical="center"/>
      <protection locked="0"/>
    </xf>
    <xf numFmtId="173" fontId="273" fillId="0" borderId="115" xfId="0" applyFont="1" applyBorder="1" applyAlignment="1" applyProtection="1">
      <alignment vertical="center"/>
      <protection locked="0"/>
    </xf>
    <xf numFmtId="173" fontId="256" fillId="0" borderId="175" xfId="0" applyFont="1" applyBorder="1" applyAlignment="1" applyProtection="1">
      <alignment horizontal="left" vertical="center"/>
      <protection hidden="1"/>
    </xf>
    <xf numFmtId="167" fontId="257" fillId="0" borderId="176" xfId="0" applyNumberFormat="1" applyFont="1" applyFill="1" applyBorder="1" applyAlignment="1" applyProtection="1">
      <alignment vertical="center"/>
      <protection hidden="1"/>
    </xf>
    <xf numFmtId="0" fontId="363" fillId="0" borderId="126" xfId="0" applyNumberFormat="1" applyFont="1" applyBorder="1" applyAlignment="1" applyProtection="1">
      <alignment horizontal="center" vertical="center"/>
      <protection locked="0"/>
    </xf>
    <xf numFmtId="0" fontId="363" fillId="0" borderId="177" xfId="0" applyNumberFormat="1" applyFont="1" applyBorder="1" applyAlignment="1" applyProtection="1">
      <alignment horizontal="center" vertical="center"/>
      <protection locked="0"/>
    </xf>
    <xf numFmtId="0" fontId="363" fillId="42" borderId="125" xfId="0" applyNumberFormat="1" applyFont="1" applyFill="1" applyBorder="1" applyAlignment="1" applyProtection="1">
      <alignment horizontal="center" vertical="center"/>
      <protection locked="0"/>
    </xf>
    <xf numFmtId="173" fontId="273" fillId="25" borderId="81" xfId="0" applyFont="1" applyFill="1" applyBorder="1" applyAlignment="1" applyProtection="1">
      <alignment vertical="center"/>
      <protection locked="0"/>
    </xf>
    <xf numFmtId="2" fontId="363" fillId="25" borderId="162" xfId="0" applyNumberFormat="1" applyFont="1" applyFill="1" applyBorder="1" applyAlignment="1" applyProtection="1">
      <alignment horizontal="center" vertical="center"/>
      <protection hidden="1"/>
    </xf>
    <xf numFmtId="2" fontId="363" fillId="25" borderId="186" xfId="0" applyNumberFormat="1" applyFont="1" applyFill="1" applyBorder="1" applyAlignment="1" applyProtection="1">
      <alignment horizontal="center" vertical="center"/>
      <protection hidden="1"/>
    </xf>
    <xf numFmtId="2" fontId="363" fillId="25" borderId="267" xfId="0" applyNumberFormat="1" applyFont="1" applyFill="1" applyBorder="1" applyAlignment="1" applyProtection="1">
      <alignment horizontal="center" vertical="center"/>
      <protection hidden="1"/>
    </xf>
    <xf numFmtId="2" fontId="363" fillId="0" borderId="177" xfId="0" applyNumberFormat="1" applyFont="1" applyBorder="1" applyAlignment="1" applyProtection="1">
      <alignment horizontal="center" vertical="center"/>
      <protection hidden="1"/>
    </xf>
    <xf numFmtId="2" fontId="363" fillId="0" borderId="176" xfId="0" applyNumberFormat="1" applyFont="1" applyBorder="1" applyAlignment="1" applyProtection="1">
      <alignment horizontal="center" vertical="center"/>
      <protection hidden="1"/>
    </xf>
    <xf numFmtId="2" fontId="363" fillId="0" borderId="266" xfId="0" applyNumberFormat="1" applyFont="1" applyBorder="1" applyAlignment="1" applyProtection="1">
      <alignment horizontal="center" vertical="center"/>
      <protection hidden="1"/>
    </xf>
    <xf numFmtId="173" fontId="271" fillId="0" borderId="0" xfId="0" applyFont="1" applyBorder="1" applyAlignment="1" applyProtection="1">
      <alignment vertical="center"/>
      <protection hidden="1"/>
    </xf>
    <xf numFmtId="208" fontId="225" fillId="50" borderId="279" xfId="0" applyNumberFormat="1" applyFont="1" applyFill="1" applyBorder="1" applyAlignment="1" applyProtection="1">
      <alignment horizontal="center" vertical="center"/>
      <protection hidden="1"/>
    </xf>
    <xf numFmtId="173" fontId="225" fillId="50" borderId="261" xfId="0" applyFont="1" applyFill="1" applyBorder="1" applyAlignment="1" applyProtection="1">
      <alignment horizontal="center" vertical="center"/>
      <protection hidden="1"/>
    </xf>
    <xf numFmtId="187" fontId="212" fillId="33" borderId="192" xfId="0" applyNumberFormat="1" applyFont="1" applyFill="1" applyBorder="1" applyAlignment="1" applyProtection="1">
      <alignment horizontal="center"/>
      <protection hidden="1"/>
    </xf>
    <xf numFmtId="173" fontId="61" fillId="33" borderId="144" xfId="0" applyFont="1" applyFill="1" applyBorder="1" applyAlignment="1" applyProtection="1">
      <alignment horizontal="center"/>
      <protection hidden="1"/>
    </xf>
    <xf numFmtId="173" fontId="256" fillId="0" borderId="145" xfId="0" applyFont="1" applyFill="1" applyBorder="1" applyAlignment="1" applyProtection="1">
      <alignment vertical="center"/>
      <protection hidden="1"/>
    </xf>
    <xf numFmtId="173" fontId="201" fillId="33" borderId="183" xfId="0" applyFont="1" applyFill="1" applyBorder="1" applyAlignment="1" applyProtection="1">
      <alignment horizontal="center" vertical="center" wrapText="1"/>
      <protection hidden="1"/>
    </xf>
    <xf numFmtId="173" fontId="204" fillId="63" borderId="115" xfId="0" applyFont="1" applyFill="1" applyBorder="1" applyAlignment="1" applyProtection="1">
      <alignment horizontal="center" vertical="center" wrapText="1"/>
      <protection hidden="1"/>
    </xf>
    <xf numFmtId="0" fontId="204" fillId="64" borderId="183" xfId="57" applyFont="1" applyFill="1" applyBorder="1" applyAlignment="1" applyProtection="1">
      <alignment horizontal="center" vertical="center" wrapText="1"/>
      <protection hidden="1"/>
    </xf>
    <xf numFmtId="173" fontId="204" fillId="38" borderId="260" xfId="0" applyFont="1" applyFill="1" applyBorder="1" applyAlignment="1" applyProtection="1">
      <alignment horizontal="center" vertical="center" wrapText="1"/>
      <protection hidden="1"/>
    </xf>
    <xf numFmtId="173" fontId="16" fillId="9" borderId="262" xfId="0" applyFont="1" applyFill="1" applyBorder="1" applyAlignment="1" applyProtection="1">
      <alignment horizontal="center" vertical="center"/>
      <protection hidden="1"/>
    </xf>
    <xf numFmtId="173" fontId="204" fillId="38" borderId="183" xfId="0" applyFont="1" applyFill="1" applyBorder="1" applyAlignment="1" applyProtection="1">
      <alignment horizontal="center" vertical="center" wrapText="1"/>
      <protection hidden="1"/>
    </xf>
    <xf numFmtId="2" fontId="199" fillId="33" borderId="183" xfId="0" applyNumberFormat="1" applyFont="1" applyFill="1" applyBorder="1" applyAlignment="1" applyProtection="1">
      <alignment horizontal="center" vertical="center"/>
      <protection hidden="1"/>
    </xf>
    <xf numFmtId="2" fontId="212" fillId="66" borderId="183" xfId="0" applyNumberFormat="1" applyFont="1" applyFill="1" applyBorder="1" applyAlignment="1" applyProtection="1">
      <alignment horizontal="center" vertical="center"/>
      <protection hidden="1"/>
    </xf>
    <xf numFmtId="173" fontId="365" fillId="0" borderId="177" xfId="0" applyFont="1" applyBorder="1" applyAlignment="1" applyProtection="1">
      <alignment horizontal="center" vertical="center" wrapText="1"/>
      <protection locked="0" hidden="1"/>
    </xf>
    <xf numFmtId="173" fontId="365" fillId="0" borderId="176" xfId="0" applyFont="1" applyBorder="1" applyAlignment="1" applyProtection="1">
      <alignment horizontal="center" vertical="center" wrapText="1"/>
      <protection locked="0" hidden="1"/>
    </xf>
    <xf numFmtId="173" fontId="365" fillId="0" borderId="263" xfId="0" applyFont="1" applyBorder="1" applyAlignment="1" applyProtection="1">
      <alignment horizontal="center" vertical="center" wrapText="1"/>
      <protection locked="0" hidden="1"/>
    </xf>
    <xf numFmtId="173" fontId="365" fillId="0" borderId="266" xfId="0" applyFont="1" applyBorder="1" applyAlignment="1" applyProtection="1">
      <alignment horizontal="center" vertical="center" wrapText="1"/>
      <protection locked="0" hidden="1"/>
    </xf>
    <xf numFmtId="173" fontId="369" fillId="0" borderId="0" xfId="0" applyFont="1" applyBorder="1" applyAlignment="1" applyProtection="1">
      <alignment horizontal="right" vertical="center" indent="1"/>
      <protection hidden="1"/>
    </xf>
    <xf numFmtId="167" fontId="221" fillId="33" borderId="282" xfId="0" applyNumberFormat="1" applyFont="1" applyFill="1" applyBorder="1" applyAlignment="1" applyProtection="1">
      <alignment horizontal="center" vertical="center"/>
      <protection locked="0"/>
    </xf>
    <xf numFmtId="171" fontId="221" fillId="33" borderId="282" xfId="0" applyNumberFormat="1" applyFont="1" applyFill="1" applyBorder="1" applyAlignment="1" applyProtection="1">
      <alignment horizontal="centerContinuous" vertical="center"/>
      <protection locked="0"/>
    </xf>
    <xf numFmtId="173" fontId="156" fillId="33" borderId="283" xfId="0" applyFont="1" applyFill="1" applyBorder="1" applyAlignment="1" applyProtection="1">
      <alignment horizontal="center" vertical="center"/>
      <protection locked="0"/>
    </xf>
    <xf numFmtId="167" fontId="201" fillId="29" borderId="283" xfId="0" applyNumberFormat="1" applyFont="1" applyFill="1" applyBorder="1" applyAlignment="1" applyProtection="1">
      <alignment horizontal="center" vertical="center"/>
      <protection hidden="1"/>
    </xf>
    <xf numFmtId="167" fontId="201" fillId="29" borderId="141" xfId="0" applyNumberFormat="1" applyFont="1" applyFill="1" applyBorder="1" applyAlignment="1" applyProtection="1">
      <alignment horizontal="center" vertical="center"/>
      <protection hidden="1"/>
    </xf>
    <xf numFmtId="167" fontId="221" fillId="29" borderId="284" xfId="0" applyNumberFormat="1" applyFont="1" applyFill="1" applyBorder="1" applyAlignment="1" applyProtection="1">
      <alignment horizontal="right" vertical="center"/>
      <protection hidden="1"/>
    </xf>
    <xf numFmtId="167" fontId="221" fillId="29" borderId="285" xfId="0" quotePrefix="1" applyNumberFormat="1" applyFont="1" applyFill="1" applyBorder="1" applyAlignment="1" applyProtection="1">
      <alignment horizontal="right" vertical="center"/>
      <protection hidden="1"/>
    </xf>
    <xf numFmtId="167" fontId="221" fillId="29" borderId="284" xfId="0" quotePrefix="1" applyNumberFormat="1" applyFont="1" applyFill="1" applyBorder="1" applyAlignment="1" applyProtection="1">
      <alignment horizontal="right" vertical="center"/>
      <protection hidden="1"/>
    </xf>
    <xf numFmtId="167" fontId="221" fillId="29" borderId="0" xfId="0" quotePrefix="1" applyNumberFormat="1" applyFont="1" applyFill="1" applyBorder="1" applyAlignment="1" applyProtection="1">
      <alignment horizontal="right" vertical="center"/>
      <protection hidden="1"/>
    </xf>
    <xf numFmtId="171" fontId="223" fillId="29" borderId="286" xfId="0" applyNumberFormat="1" applyFont="1" applyFill="1" applyBorder="1" applyAlignment="1" applyProtection="1">
      <alignment horizontal="center" vertical="center"/>
      <protection hidden="1"/>
    </xf>
    <xf numFmtId="171" fontId="223" fillId="29" borderId="130" xfId="0" applyNumberFormat="1" applyFont="1" applyFill="1" applyBorder="1" applyAlignment="1" applyProtection="1">
      <alignment horizontal="center" vertical="center"/>
      <protection hidden="1"/>
    </xf>
    <xf numFmtId="10" fontId="221" fillId="29" borderId="287" xfId="0" applyNumberFormat="1" applyFont="1" applyFill="1" applyBorder="1" applyAlignment="1" applyProtection="1">
      <alignment horizontal="center" vertical="center"/>
      <protection hidden="1"/>
    </xf>
    <xf numFmtId="10" fontId="221" fillId="29" borderId="0" xfId="0" applyNumberFormat="1" applyFont="1" applyFill="1" applyBorder="1" applyAlignment="1" applyProtection="1">
      <alignment horizontal="center" vertical="center"/>
      <protection hidden="1"/>
    </xf>
    <xf numFmtId="173" fontId="204" fillId="65" borderId="261" xfId="0" applyFont="1" applyFill="1" applyBorder="1" applyAlignment="1" applyProtection="1">
      <alignment horizontal="center" vertical="center"/>
      <protection hidden="1"/>
    </xf>
    <xf numFmtId="173" fontId="25" fillId="0" borderId="0" xfId="0" applyFont="1" applyBorder="1" applyAlignment="1" applyProtection="1">
      <alignment horizontal="left" vertical="center" indent="1"/>
      <protection locked="0"/>
    </xf>
    <xf numFmtId="173" fontId="19" fillId="0" borderId="0" xfId="0" applyFont="1" applyBorder="1" applyAlignment="1" applyProtection="1">
      <alignment horizontal="left" vertical="center" indent="1" shrinkToFit="1"/>
      <protection locked="0"/>
    </xf>
    <xf numFmtId="173" fontId="0" fillId="0" borderId="0" xfId="0" applyBorder="1" applyAlignment="1">
      <alignment horizontal="left" vertical="center" indent="1" shrinkToFit="1"/>
    </xf>
    <xf numFmtId="173" fontId="273" fillId="0" borderId="0" xfId="0" applyFont="1" applyBorder="1" applyAlignment="1" applyProtection="1">
      <alignment horizontal="center" vertical="center" shrinkToFit="1"/>
      <protection locked="0"/>
    </xf>
    <xf numFmtId="167" fontId="233" fillId="0" borderId="0" xfId="0" applyNumberFormat="1" applyFont="1" applyBorder="1" applyAlignment="1" applyProtection="1">
      <alignment horizontal="center" vertical="center"/>
      <protection locked="0"/>
    </xf>
    <xf numFmtId="206" fontId="329" fillId="0" borderId="0" xfId="0" applyNumberFormat="1" applyFont="1" applyFill="1" applyBorder="1" applyAlignment="1" applyProtection="1">
      <alignment horizontal="right" vertical="center" indent="1"/>
      <protection locked="0"/>
    </xf>
    <xf numFmtId="167" fontId="233" fillId="0" borderId="0" xfId="0" applyNumberFormat="1" applyFont="1" applyBorder="1" applyAlignment="1" applyProtection="1">
      <alignment horizontal="center" vertical="center"/>
      <protection hidden="1"/>
    </xf>
    <xf numFmtId="167" fontId="302" fillId="0" borderId="0" xfId="0" applyNumberFormat="1" applyFont="1" applyFill="1" applyBorder="1" applyAlignment="1" applyProtection="1">
      <alignment horizontal="center" vertical="center"/>
      <protection hidden="1"/>
    </xf>
    <xf numFmtId="167" fontId="195" fillId="24" borderId="46" xfId="0" applyNumberFormat="1" applyFont="1" applyFill="1" applyBorder="1" applyAlignment="1" applyProtection="1">
      <alignment vertical="center"/>
      <protection locked="0"/>
    </xf>
    <xf numFmtId="173" fontId="194" fillId="0" borderId="33" xfId="0" applyFont="1" applyFill="1" applyBorder="1" applyAlignment="1" applyProtection="1">
      <alignment horizontal="center" vertical="center"/>
      <protection locked="0"/>
    </xf>
    <xf numFmtId="173" fontId="194" fillId="0" borderId="40" xfId="0" applyFont="1" applyFill="1" applyBorder="1" applyAlignment="1" applyProtection="1">
      <alignment horizontal="center" vertical="center"/>
      <protection locked="0"/>
    </xf>
    <xf numFmtId="173" fontId="194" fillId="0" borderId="36" xfId="0" applyFont="1" applyFill="1" applyBorder="1" applyAlignment="1" applyProtection="1">
      <alignment horizontal="center" vertical="center"/>
      <protection locked="0"/>
    </xf>
    <xf numFmtId="167" fontId="47" fillId="0" borderId="290" xfId="0" applyNumberFormat="1" applyFont="1" applyFill="1" applyBorder="1" applyAlignment="1" applyProtection="1">
      <protection locked="0"/>
    </xf>
    <xf numFmtId="173" fontId="261" fillId="0" borderId="0" xfId="0" applyFont="1" applyFill="1" applyBorder="1" applyProtection="1">
      <alignment horizontal="right"/>
      <protection hidden="1"/>
    </xf>
    <xf numFmtId="173" fontId="261" fillId="0" borderId="0" xfId="0" applyFont="1" applyBorder="1" applyProtection="1">
      <alignment horizontal="right"/>
      <protection locked="0"/>
    </xf>
    <xf numFmtId="173" fontId="295" fillId="0" borderId="0" xfId="0" applyFont="1" applyFill="1" applyBorder="1" applyProtection="1">
      <alignment horizontal="right"/>
      <protection hidden="1"/>
    </xf>
    <xf numFmtId="173" fontId="223" fillId="0" borderId="0" xfId="0" applyFont="1" applyFill="1" applyBorder="1" applyAlignment="1" applyProtection="1">
      <alignment horizontal="right" vertical="center"/>
      <protection hidden="1"/>
    </xf>
    <xf numFmtId="167" fontId="223" fillId="0" borderId="0" xfId="0" applyNumberFormat="1" applyFont="1" applyFill="1" applyBorder="1" applyProtection="1">
      <alignment horizontal="right"/>
      <protection hidden="1"/>
    </xf>
    <xf numFmtId="167" fontId="223" fillId="0" borderId="0" xfId="0" applyNumberFormat="1" applyFont="1" applyFill="1" applyBorder="1" applyAlignment="1" applyProtection="1">
      <alignment horizontal="right"/>
      <protection hidden="1"/>
    </xf>
    <xf numFmtId="173" fontId="203" fillId="0" borderId="0" xfId="7" applyFont="1" applyBorder="1" applyAlignment="1" applyProtection="1">
      <alignment horizontal="left" vertical="center" indent="1"/>
      <protection hidden="1"/>
    </xf>
    <xf numFmtId="173" fontId="374" fillId="0" borderId="0" xfId="0" applyFont="1" applyBorder="1" applyAlignment="1" applyProtection="1">
      <alignment horizontal="left" vertical="center" indent="1"/>
      <protection hidden="1"/>
    </xf>
    <xf numFmtId="173" fontId="375" fillId="0" borderId="0" xfId="7" applyFont="1" applyBorder="1" applyAlignment="1" applyProtection="1">
      <alignment horizontal="left" vertical="center" indent="1"/>
      <protection hidden="1"/>
    </xf>
    <xf numFmtId="173" fontId="376" fillId="0" borderId="0" xfId="7" applyFont="1" applyBorder="1" applyAlignment="1" applyProtection="1">
      <alignment horizontal="left" vertical="center" indent="1"/>
      <protection hidden="1"/>
    </xf>
    <xf numFmtId="173" fontId="359" fillId="0" borderId="0" xfId="0" applyFont="1" applyBorder="1" applyAlignment="1" applyProtection="1">
      <alignment horizontal="left" vertical="center" indent="1"/>
      <protection hidden="1"/>
    </xf>
    <xf numFmtId="173" fontId="359" fillId="0" borderId="0" xfId="0" applyFont="1" applyBorder="1" applyAlignment="1" applyProtection="1">
      <alignment horizontal="left" vertical="center" wrapText="1" indent="1"/>
      <protection hidden="1"/>
    </xf>
    <xf numFmtId="173" fontId="359" fillId="0" borderId="0" xfId="0" applyFont="1" applyBorder="1" applyAlignment="1" applyProtection="1">
      <alignment horizontal="left" vertical="center" indent="2"/>
      <protection hidden="1"/>
    </xf>
    <xf numFmtId="173" fontId="377" fillId="0" borderId="0" xfId="0" applyFont="1" applyBorder="1" applyAlignment="1" applyProtection="1">
      <alignment horizontal="left" vertical="center" indent="2"/>
      <protection hidden="1"/>
    </xf>
    <xf numFmtId="173" fontId="378" fillId="6" borderId="0" xfId="0" applyFont="1" applyFill="1" applyBorder="1" applyAlignment="1" applyProtection="1">
      <alignment horizontal="left" vertical="center" wrapText="1" indent="1"/>
      <protection hidden="1"/>
    </xf>
    <xf numFmtId="173" fontId="369" fillId="0" borderId="0" xfId="0" applyFont="1" applyFill="1" applyBorder="1" applyAlignment="1" applyProtection="1">
      <alignment horizontal="left" vertical="center" wrapText="1" indent="1"/>
      <protection hidden="1"/>
    </xf>
    <xf numFmtId="173" fontId="379" fillId="0" borderId="0" xfId="0" applyFont="1" applyBorder="1" applyAlignment="1" applyProtection="1">
      <alignment horizontal="left" vertical="center" wrapText="1" indent="1"/>
      <protection hidden="1"/>
    </xf>
    <xf numFmtId="173" fontId="379" fillId="0" borderId="0" xfId="0" applyFont="1" applyBorder="1" applyAlignment="1" applyProtection="1">
      <alignment horizontal="left" vertical="center" indent="1"/>
      <protection hidden="1"/>
    </xf>
    <xf numFmtId="173" fontId="379" fillId="0" borderId="0" xfId="7" quotePrefix="1" applyFont="1" applyBorder="1" applyAlignment="1" applyProtection="1">
      <alignment horizontal="left" vertical="center" wrapText="1" indent="1"/>
      <protection hidden="1"/>
    </xf>
    <xf numFmtId="173" fontId="380" fillId="0" borderId="0" xfId="0" applyFont="1" applyBorder="1" applyAlignment="1" applyProtection="1">
      <alignment horizontal="left" vertical="center" indent="1"/>
      <protection hidden="1"/>
    </xf>
    <xf numFmtId="173" fontId="223" fillId="0" borderId="0" xfId="0" applyFont="1" applyFill="1" applyBorder="1" applyAlignment="1" applyProtection="1">
      <protection hidden="1"/>
    </xf>
    <xf numFmtId="173" fontId="223" fillId="0" borderId="0" xfId="0" applyFont="1" applyBorder="1" applyAlignment="1" applyProtection="1">
      <protection hidden="1"/>
    </xf>
    <xf numFmtId="173" fontId="235" fillId="0" borderId="0" xfId="0" applyFont="1" applyBorder="1" applyProtection="1">
      <alignment horizontal="right"/>
      <protection locked="0"/>
    </xf>
    <xf numFmtId="0" fontId="223" fillId="0" borderId="0" xfId="0" applyNumberFormat="1" applyFont="1" applyFill="1" applyBorder="1" applyAlignment="1" applyProtection="1">
      <alignment horizontal="center" vertical="center"/>
      <protection hidden="1"/>
    </xf>
    <xf numFmtId="198" fontId="292" fillId="0" borderId="0" xfId="0" applyNumberFormat="1" applyFont="1" applyBorder="1" applyAlignment="1" applyProtection="1">
      <alignment horizontal="center" vertical="center"/>
      <protection hidden="1"/>
    </xf>
    <xf numFmtId="0" fontId="292" fillId="0" borderId="0" xfId="0" applyNumberFormat="1" applyFont="1" applyFill="1" applyBorder="1" applyAlignment="1" applyProtection="1">
      <alignment horizontal="center" vertical="center"/>
      <protection hidden="1"/>
    </xf>
    <xf numFmtId="173" fontId="292" fillId="0" borderId="0" xfId="0" applyFont="1" applyBorder="1" applyProtection="1">
      <alignment horizontal="right"/>
      <protection hidden="1"/>
    </xf>
    <xf numFmtId="199" fontId="292" fillId="0" borderId="0" xfId="0" applyNumberFormat="1" applyFont="1" applyBorder="1" applyAlignment="1" applyProtection="1">
      <alignment horizontal="center" vertical="center"/>
      <protection hidden="1"/>
    </xf>
    <xf numFmtId="173" fontId="292" fillId="0" borderId="0" xfId="0" applyFont="1" applyBorder="1" applyAlignment="1" applyProtection="1">
      <alignment horizontal="left" vertical="center"/>
      <protection hidden="1"/>
    </xf>
    <xf numFmtId="3" fontId="292" fillId="0" borderId="0" xfId="0" applyNumberFormat="1" applyFont="1" applyBorder="1" applyAlignment="1" applyProtection="1">
      <alignment horizontal="right" vertical="center"/>
      <protection hidden="1"/>
    </xf>
    <xf numFmtId="3" fontId="292" fillId="0" borderId="0" xfId="0" applyNumberFormat="1" applyFont="1" applyFill="1" applyBorder="1" applyAlignment="1" applyProtection="1">
      <alignment horizontal="right" vertical="center"/>
      <protection hidden="1"/>
    </xf>
    <xf numFmtId="3" fontId="292" fillId="0" borderId="0" xfId="0" applyNumberFormat="1" applyFont="1" applyBorder="1" applyProtection="1">
      <alignment horizontal="right"/>
      <protection hidden="1"/>
    </xf>
    <xf numFmtId="3" fontId="292" fillId="0" borderId="0" xfId="0" applyNumberFormat="1" applyFont="1" applyBorder="1" applyAlignment="1" applyProtection="1">
      <alignment vertical="center"/>
      <protection hidden="1"/>
    </xf>
    <xf numFmtId="173" fontId="25" fillId="0" borderId="0" xfId="0" applyFont="1" applyBorder="1" applyAlignment="1" applyProtection="1">
      <alignment horizontal="right" vertical="center" indent="1"/>
      <protection hidden="1"/>
    </xf>
    <xf numFmtId="173" fontId="204" fillId="33" borderId="112" xfId="0" applyFont="1" applyFill="1" applyBorder="1" applyAlignment="1" applyProtection="1">
      <alignment horizontal="center" vertical="center"/>
      <protection hidden="1"/>
    </xf>
    <xf numFmtId="2" fontId="212" fillId="33" borderId="260" xfId="0" applyNumberFormat="1" applyFont="1" applyFill="1" applyBorder="1" applyAlignment="1" applyProtection="1">
      <alignment horizontal="center" vertical="center" wrapText="1"/>
      <protection hidden="1"/>
    </xf>
    <xf numFmtId="173" fontId="363" fillId="0" borderId="213" xfId="0" applyFont="1" applyBorder="1" applyAlignment="1" applyProtection="1">
      <alignment horizontal="left" vertical="center"/>
      <protection locked="0" hidden="1"/>
    </xf>
    <xf numFmtId="173" fontId="363" fillId="0" borderId="145" xfId="0" applyFont="1" applyBorder="1" applyAlignment="1" applyProtection="1">
      <alignment horizontal="left" vertical="center"/>
      <protection locked="0" hidden="1"/>
    </xf>
    <xf numFmtId="173" fontId="363" fillId="0" borderId="275" xfId="0" applyFont="1" applyBorder="1" applyAlignment="1" applyProtection="1">
      <alignment horizontal="left" vertical="center"/>
      <protection locked="0" hidden="1"/>
    </xf>
    <xf numFmtId="173" fontId="267" fillId="0" borderId="0" xfId="0" applyFont="1" applyBorder="1" applyAlignment="1" applyProtection="1">
      <alignment vertical="center"/>
      <protection locked="0"/>
    </xf>
    <xf numFmtId="173" fontId="381" fillId="0" borderId="0" xfId="0" applyFont="1" applyBorder="1" applyAlignment="1" applyProtection="1">
      <alignment vertical="center"/>
      <protection locked="0"/>
    </xf>
    <xf numFmtId="173" fontId="267" fillId="0" borderId="0" xfId="0" applyFont="1" applyBorder="1" applyAlignment="1" applyProtection="1">
      <alignment vertical="center"/>
      <protection locked="0" hidden="1"/>
    </xf>
    <xf numFmtId="173" fontId="337" fillId="0" borderId="0" xfId="0" applyFont="1" applyBorder="1" applyAlignment="1" applyProtection="1">
      <alignment vertical="center"/>
      <protection locked="0"/>
    </xf>
    <xf numFmtId="173" fontId="68" fillId="0" borderId="0" xfId="0" applyFont="1" applyBorder="1">
      <alignment horizontal="right"/>
    </xf>
    <xf numFmtId="173" fontId="204" fillId="25" borderId="186" xfId="0" applyFont="1" applyFill="1" applyBorder="1" applyAlignment="1" applyProtection="1">
      <alignment horizontal="center" vertical="center"/>
      <protection hidden="1"/>
    </xf>
    <xf numFmtId="173" fontId="204" fillId="25" borderId="264" xfId="0" applyFont="1" applyFill="1" applyBorder="1" applyAlignment="1" applyProtection="1">
      <alignment horizontal="center" vertical="center"/>
      <protection hidden="1"/>
    </xf>
    <xf numFmtId="173" fontId="204" fillId="25" borderId="162" xfId="0" applyFont="1" applyFill="1" applyBorder="1" applyAlignment="1" applyProtection="1">
      <alignment horizontal="center" vertical="center"/>
      <protection hidden="1"/>
    </xf>
    <xf numFmtId="173" fontId="204" fillId="50" borderId="261" xfId="0" applyFont="1" applyFill="1" applyBorder="1" applyAlignment="1" applyProtection="1">
      <alignment horizontal="center" vertical="center"/>
      <protection hidden="1"/>
    </xf>
    <xf numFmtId="0" fontId="164" fillId="0" borderId="177" xfId="0" applyNumberFormat="1" applyFont="1" applyBorder="1" applyAlignment="1" applyProtection="1">
      <alignment horizontal="center" vertical="center"/>
      <protection locked="0"/>
    </xf>
    <xf numFmtId="9" fontId="164" fillId="0" borderId="137" xfId="0" applyNumberFormat="1" applyFont="1" applyBorder="1" applyAlignment="1" applyProtection="1">
      <alignment horizontal="center" vertical="center"/>
      <protection hidden="1"/>
    </xf>
    <xf numFmtId="0" fontId="383" fillId="0" borderId="176" xfId="0" applyNumberFormat="1" applyFont="1" applyBorder="1" applyAlignment="1" applyProtection="1">
      <alignment horizontal="center" vertical="center"/>
      <protection locked="0"/>
    </xf>
    <xf numFmtId="9" fontId="383" fillId="0" borderId="244" xfId="0" applyNumberFormat="1" applyFont="1" applyBorder="1" applyAlignment="1" applyProtection="1">
      <alignment horizontal="center" vertical="center"/>
      <protection hidden="1"/>
    </xf>
    <xf numFmtId="0" fontId="138" fillId="0" borderId="177" xfId="0" applyNumberFormat="1" applyFont="1" applyBorder="1" applyAlignment="1" applyProtection="1">
      <alignment horizontal="center" vertical="center"/>
      <protection locked="0"/>
    </xf>
    <xf numFmtId="9" fontId="138" fillId="0" borderId="137" xfId="0" applyNumberFormat="1" applyFont="1" applyBorder="1" applyAlignment="1" applyProtection="1">
      <alignment horizontal="center" vertical="center"/>
      <protection hidden="1"/>
    </xf>
    <xf numFmtId="209" fontId="342" fillId="25" borderId="115" xfId="0" applyNumberFormat="1" applyFont="1" applyFill="1" applyBorder="1" applyAlignment="1" applyProtection="1">
      <alignment horizontal="right" vertical="center"/>
      <protection hidden="1"/>
    </xf>
    <xf numFmtId="173" fontId="342" fillId="25" borderId="124" xfId="0" applyFont="1" applyFill="1" applyBorder="1" applyAlignment="1" applyProtection="1">
      <alignment vertical="center"/>
      <protection hidden="1"/>
    </xf>
    <xf numFmtId="173" fontId="16" fillId="49" borderId="183" xfId="0" applyFont="1" applyFill="1" applyBorder="1" applyAlignment="1" applyProtection="1">
      <alignment horizontal="center" vertical="center"/>
      <protection hidden="1"/>
    </xf>
    <xf numFmtId="173" fontId="273" fillId="25" borderId="127" xfId="0" quotePrefix="1" applyFont="1" applyFill="1" applyBorder="1" applyAlignment="1">
      <alignment horizontal="right" vertical="center"/>
    </xf>
    <xf numFmtId="173" fontId="273" fillId="25" borderId="125" xfId="0" quotePrefix="1" applyFont="1" applyFill="1" applyBorder="1" applyAlignment="1">
      <alignment horizontal="right" vertical="center"/>
    </xf>
    <xf numFmtId="173" fontId="247" fillId="0" borderId="0" xfId="0" applyFont="1" applyFill="1" applyBorder="1" applyAlignment="1" applyProtection="1">
      <alignment vertical="center"/>
      <protection hidden="1"/>
    </xf>
    <xf numFmtId="173" fontId="61" fillId="0" borderId="0" xfId="0" quotePrefix="1" applyFont="1" applyFill="1" applyBorder="1" applyAlignment="1">
      <alignment horizontal="center" vertical="center"/>
    </xf>
    <xf numFmtId="167" fontId="16" fillId="0" borderId="0" xfId="0" applyNumberFormat="1" applyFont="1" applyFill="1" applyBorder="1" applyAlignment="1" applyProtection="1">
      <alignment horizontal="center" vertical="center"/>
      <protection hidden="1"/>
    </xf>
    <xf numFmtId="173" fontId="38" fillId="0" borderId="0" xfId="0" applyFont="1" applyBorder="1" applyAlignment="1" applyProtection="1">
      <alignment vertical="center" wrapText="1"/>
      <protection hidden="1"/>
    </xf>
    <xf numFmtId="173" fontId="71" fillId="0" borderId="0" xfId="0" applyFont="1" applyFill="1" applyBorder="1" applyAlignment="1">
      <alignment horizontal="center" vertical="center"/>
    </xf>
    <xf numFmtId="174" fontId="377" fillId="25" borderId="81" xfId="0" applyNumberFormat="1" applyFont="1" applyFill="1" applyBorder="1" applyAlignment="1" applyProtection="1">
      <alignment horizontal="center" vertical="center"/>
      <protection locked="0"/>
    </xf>
    <xf numFmtId="167" fontId="384" fillId="25" borderId="296" xfId="0" applyNumberFormat="1" applyFont="1" applyFill="1" applyBorder="1" applyAlignment="1" applyProtection="1">
      <alignment horizontal="right" vertical="center"/>
      <protection locked="0"/>
    </xf>
    <xf numFmtId="173" fontId="377" fillId="24" borderId="297" xfId="0" applyFont="1" applyFill="1" applyBorder="1" applyAlignment="1" applyProtection="1">
      <alignment horizontal="center" vertical="center"/>
      <protection hidden="1"/>
    </xf>
    <xf numFmtId="173" fontId="384" fillId="24" borderId="298" xfId="0" applyFont="1" applyFill="1" applyBorder="1" applyAlignment="1" applyProtection="1">
      <alignment horizontal="center" vertical="center"/>
      <protection hidden="1"/>
    </xf>
    <xf numFmtId="167" fontId="292" fillId="0" borderId="0" xfId="0" applyNumberFormat="1" applyFont="1" applyFill="1" applyBorder="1" applyAlignment="1" applyProtection="1">
      <alignment horizontal="right" vertical="center"/>
      <protection hidden="1"/>
    </xf>
    <xf numFmtId="169" fontId="57" fillId="0" borderId="80" xfId="0" applyNumberFormat="1" applyFont="1" applyBorder="1" applyAlignment="1">
      <alignment horizontal="left" vertical="center"/>
    </xf>
    <xf numFmtId="2" fontId="49" fillId="0" borderId="81" xfId="0" applyNumberFormat="1" applyFont="1" applyBorder="1" applyAlignment="1">
      <alignment horizontal="left" vertical="center"/>
    </xf>
    <xf numFmtId="169" fontId="57" fillId="0" borderId="137" xfId="0" applyNumberFormat="1" applyFont="1" applyBorder="1" applyAlignment="1" applyProtection="1">
      <alignment horizontal="center" vertical="center"/>
      <protection hidden="1"/>
    </xf>
    <xf numFmtId="2" fontId="49" fillId="0" borderId="138" xfId="0" applyNumberFormat="1" applyFont="1" applyBorder="1" applyAlignment="1" applyProtection="1">
      <alignment horizontal="center" vertical="center"/>
      <protection hidden="1"/>
    </xf>
    <xf numFmtId="173" fontId="323" fillId="0" borderId="0" xfId="0" applyFont="1" applyFill="1" applyBorder="1" applyAlignment="1" applyProtection="1">
      <alignment vertical="center"/>
      <protection hidden="1"/>
    </xf>
    <xf numFmtId="173" fontId="223" fillId="0" borderId="0" xfId="0" applyFont="1" applyFill="1" applyBorder="1">
      <alignment horizontal="right"/>
    </xf>
    <xf numFmtId="174" fontId="284" fillId="0" borderId="0" xfId="0" applyNumberFormat="1" applyFont="1" applyFill="1" applyBorder="1" applyAlignment="1" applyProtection="1">
      <alignment horizontal="center" vertical="center"/>
      <protection locked="0"/>
    </xf>
    <xf numFmtId="174" fontId="385" fillId="0" borderId="0" xfId="0" applyNumberFormat="1" applyFont="1" applyFill="1" applyBorder="1" applyAlignment="1" applyProtection="1">
      <alignment horizontal="center" vertical="center"/>
      <protection locked="0"/>
    </xf>
    <xf numFmtId="167" fontId="212" fillId="0" borderId="0" xfId="0" applyNumberFormat="1" applyFont="1" applyFill="1" applyBorder="1" applyAlignment="1" applyProtection="1">
      <alignment horizontal="right" vertical="center"/>
      <protection locked="0"/>
    </xf>
    <xf numFmtId="173" fontId="28" fillId="0" borderId="0" xfId="0" applyFont="1" applyFill="1" applyBorder="1">
      <alignment horizontal="right"/>
    </xf>
    <xf numFmtId="167" fontId="29" fillId="0" borderId="0" xfId="0" applyNumberFormat="1" applyFont="1" applyFill="1" applyBorder="1" applyAlignment="1" applyProtection="1">
      <alignment horizontal="right" vertical="center"/>
      <protection locked="0"/>
    </xf>
    <xf numFmtId="169" fontId="32" fillId="0" borderId="0" xfId="0" applyNumberFormat="1" applyFont="1" applyFill="1" applyBorder="1" applyAlignment="1" applyProtection="1">
      <alignment horizontal="center" vertical="center"/>
      <protection hidden="1"/>
    </xf>
    <xf numFmtId="177" fontId="369" fillId="25" borderId="111" xfId="0" applyNumberFormat="1" applyFont="1" applyFill="1" applyBorder="1" applyAlignment="1" applyProtection="1">
      <alignment horizontal="center" vertical="center"/>
      <protection locked="0" hidden="1"/>
    </xf>
    <xf numFmtId="0" fontId="273" fillId="24" borderId="300" xfId="32" applyFont="1" applyFill="1" applyBorder="1" applyAlignment="1" applyProtection="1">
      <alignment horizontal="center"/>
      <protection hidden="1"/>
    </xf>
    <xf numFmtId="9" fontId="120" fillId="0" borderId="80" xfId="0" applyNumberFormat="1" applyFont="1" applyFill="1" applyBorder="1" applyAlignment="1" applyProtection="1">
      <alignment vertical="center"/>
      <protection hidden="1"/>
    </xf>
    <xf numFmtId="173" fontId="0" fillId="0" borderId="80" xfId="0" applyBorder="1" applyAlignment="1">
      <alignment vertical="center"/>
    </xf>
    <xf numFmtId="173" fontId="16" fillId="49" borderId="128" xfId="0" applyFont="1" applyFill="1" applyBorder="1" applyAlignment="1" applyProtection="1">
      <alignment horizontal="center" wrapText="1"/>
      <protection hidden="1"/>
    </xf>
    <xf numFmtId="9" fontId="120" fillId="0" borderId="0" xfId="0" applyNumberFormat="1" applyFont="1" applyFill="1" applyBorder="1" applyAlignment="1" applyProtection="1">
      <alignment vertical="center"/>
      <protection hidden="1"/>
    </xf>
    <xf numFmtId="2" fontId="262" fillId="0" borderId="0" xfId="0" applyNumberFormat="1" applyFont="1" applyBorder="1" applyAlignment="1">
      <alignment horizontal="right" vertical="center"/>
    </xf>
    <xf numFmtId="167" fontId="386" fillId="0" borderId="0" xfId="0" applyNumberFormat="1" applyFont="1" applyBorder="1" applyAlignment="1" applyProtection="1">
      <alignment horizontal="right" vertical="center"/>
      <protection hidden="1"/>
    </xf>
    <xf numFmtId="173" fontId="386" fillId="0" borderId="0" xfId="0" applyFont="1" applyBorder="1" applyAlignment="1" applyProtection="1">
      <alignment horizontal="right" vertical="center"/>
      <protection hidden="1"/>
    </xf>
    <xf numFmtId="167" fontId="15" fillId="0" borderId="129" xfId="0" applyNumberFormat="1" applyFont="1" applyFill="1" applyBorder="1" applyAlignment="1" applyProtection="1">
      <alignment horizontal="right" vertical="center"/>
      <protection hidden="1"/>
    </xf>
    <xf numFmtId="169" fontId="57" fillId="0" borderId="80" xfId="0" applyNumberFormat="1" applyFont="1" applyFill="1" applyBorder="1" applyAlignment="1">
      <alignment horizontal="center" vertical="center"/>
    </xf>
    <xf numFmtId="204" fontId="387" fillId="25" borderId="111" xfId="0" applyNumberFormat="1" applyFont="1" applyFill="1" applyBorder="1" applyAlignment="1" applyProtection="1">
      <alignment horizontal="center" vertical="center"/>
      <protection hidden="1"/>
    </xf>
    <xf numFmtId="174" fontId="233" fillId="55" borderId="112" xfId="0" applyNumberFormat="1" applyFont="1" applyFill="1" applyBorder="1" applyAlignment="1" applyProtection="1">
      <alignment horizontal="left" vertical="center" wrapText="1" indent="1"/>
      <protection hidden="1"/>
    </xf>
    <xf numFmtId="0" fontId="384" fillId="55" borderId="200" xfId="0" applyNumberFormat="1" applyFont="1" applyFill="1" applyBorder="1" applyAlignment="1" applyProtection="1">
      <alignment horizontal="center" vertical="center"/>
      <protection locked="0"/>
    </xf>
    <xf numFmtId="173" fontId="41" fillId="13" borderId="279" xfId="0" applyFont="1" applyFill="1" applyBorder="1" applyAlignment="1" applyProtection="1">
      <alignment horizontal="left" vertical="center" indent="1"/>
      <protection hidden="1"/>
    </xf>
    <xf numFmtId="165" fontId="15" fillId="0" borderId="0" xfId="0" applyNumberFormat="1" applyFont="1" applyFill="1" applyBorder="1" applyAlignment="1" applyProtection="1">
      <alignment horizontal="centerContinuous"/>
      <protection locked="0"/>
    </xf>
    <xf numFmtId="165" fontId="19" fillId="0" borderId="0" xfId="0" applyNumberFormat="1" applyFont="1" applyFill="1" applyBorder="1" applyAlignment="1" applyProtection="1">
      <alignment horizontal="centerContinuous"/>
      <protection locked="0"/>
    </xf>
    <xf numFmtId="167" fontId="17" fillId="2" borderId="0" xfId="0" applyNumberFormat="1" applyFont="1" applyFill="1" applyBorder="1" applyAlignment="1" applyProtection="1">
      <alignment horizontal="center"/>
      <protection locked="0"/>
    </xf>
    <xf numFmtId="167" fontId="57" fillId="0" borderId="80" xfId="0" applyNumberFormat="1" applyFont="1" applyBorder="1" applyAlignment="1" applyProtection="1">
      <alignment horizontal="right" vertical="center"/>
      <protection locked="0"/>
    </xf>
    <xf numFmtId="167" fontId="143" fillId="33" borderId="112" xfId="0" applyNumberFormat="1" applyFont="1" applyFill="1" applyBorder="1" applyAlignment="1" applyProtection="1">
      <alignment vertical="center"/>
      <protection hidden="1"/>
    </xf>
    <xf numFmtId="167" fontId="19" fillId="0" borderId="312" xfId="0" applyNumberFormat="1" applyFont="1" applyBorder="1" applyAlignment="1" applyProtection="1">
      <alignment vertical="center"/>
      <protection locked="0"/>
    </xf>
    <xf numFmtId="167" fontId="19" fillId="0" borderId="80" xfId="0" applyNumberFormat="1" applyFont="1" applyBorder="1" applyAlignment="1" applyProtection="1">
      <alignment vertical="center"/>
      <protection locked="0"/>
    </xf>
    <xf numFmtId="167" fontId="143" fillId="33" borderId="112" xfId="0" applyNumberFormat="1" applyFont="1" applyFill="1" applyBorder="1" applyAlignment="1" applyProtection="1">
      <alignment horizontal="right" vertical="center"/>
      <protection hidden="1"/>
    </xf>
    <xf numFmtId="167" fontId="19" fillId="0" borderId="80" xfId="0" applyNumberFormat="1" applyFont="1" applyBorder="1" applyAlignment="1" applyProtection="1">
      <alignment horizontal="right" vertical="center"/>
      <protection locked="0"/>
    </xf>
    <xf numFmtId="173" fontId="57" fillId="0" borderId="319" xfId="0" applyFont="1" applyFill="1" applyBorder="1" applyAlignment="1" applyProtection="1">
      <alignment horizontal="center" vertical="center"/>
    </xf>
    <xf numFmtId="173" fontId="57" fillId="0" borderId="323" xfId="0" applyFont="1" applyFill="1" applyBorder="1" applyAlignment="1" applyProtection="1">
      <alignment horizontal="center" vertical="center"/>
    </xf>
    <xf numFmtId="173" fontId="57" fillId="0" borderId="315" xfId="0" applyFont="1" applyFill="1" applyBorder="1" applyAlignment="1" applyProtection="1">
      <alignment horizontal="center" vertical="center"/>
    </xf>
    <xf numFmtId="173" fontId="176" fillId="0" borderId="315" xfId="0" applyFont="1" applyFill="1" applyBorder="1" applyAlignment="1" applyProtection="1">
      <alignment horizontal="center" vertical="center"/>
    </xf>
    <xf numFmtId="173" fontId="176" fillId="0" borderId="328" xfId="0" applyFont="1" applyFill="1" applyBorder="1" applyAlignment="1" applyProtection="1">
      <alignment horizontal="center" vertical="center"/>
    </xf>
    <xf numFmtId="173" fontId="179" fillId="0" borderId="328" xfId="0" applyFont="1" applyFill="1" applyBorder="1" applyAlignment="1" applyProtection="1">
      <alignment horizontal="center" vertical="center"/>
    </xf>
    <xf numFmtId="173" fontId="176" fillId="0" borderId="329" xfId="0" applyFont="1" applyFill="1" applyBorder="1" applyAlignment="1" applyProtection="1">
      <alignment horizontal="center" vertical="center"/>
    </xf>
    <xf numFmtId="173" fontId="176" fillId="0" borderId="330" xfId="0" applyFont="1" applyFill="1" applyBorder="1" applyAlignment="1" applyProtection="1">
      <alignment horizontal="center" vertical="center"/>
    </xf>
    <xf numFmtId="173" fontId="260" fillId="0" borderId="315" xfId="0" applyFont="1" applyFill="1" applyBorder="1" applyAlignment="1" applyProtection="1">
      <alignment horizontal="center" vertical="center"/>
    </xf>
    <xf numFmtId="173" fontId="176" fillId="0" borderId="323" xfId="0" applyFont="1" applyFill="1" applyBorder="1" applyAlignment="1" applyProtection="1">
      <alignment horizontal="center" vertical="center"/>
    </xf>
    <xf numFmtId="173" fontId="176" fillId="0" borderId="331" xfId="0" applyFont="1" applyFill="1" applyBorder="1" applyAlignment="1" applyProtection="1">
      <alignment horizontal="center" vertical="center"/>
    </xf>
    <xf numFmtId="167" fontId="57" fillId="0" borderId="316" xfId="0" applyNumberFormat="1" applyFont="1" applyBorder="1" applyAlignment="1" applyProtection="1">
      <alignment horizontal="right" vertical="center"/>
      <protection locked="0"/>
    </xf>
    <xf numFmtId="167" fontId="57" fillId="0" borderId="332" xfId="0" applyNumberFormat="1" applyFont="1" applyBorder="1" applyAlignment="1" applyProtection="1">
      <alignment vertical="center"/>
      <protection locked="0"/>
    </xf>
    <xf numFmtId="167" fontId="57" fillId="0" borderId="332" xfId="0" applyNumberFormat="1" applyFont="1" applyBorder="1" applyAlignment="1" applyProtection="1">
      <alignment horizontal="right" vertical="center"/>
      <protection locked="0"/>
    </xf>
    <xf numFmtId="167" fontId="57" fillId="0" borderId="333" xfId="0" applyNumberFormat="1" applyFont="1" applyBorder="1" applyAlignment="1" applyProtection="1">
      <alignment horizontal="right" vertical="center"/>
      <protection locked="0"/>
    </xf>
    <xf numFmtId="167" fontId="106" fillId="0" borderId="80" xfId="0" applyNumberFormat="1" applyFont="1" applyBorder="1" applyAlignment="1" applyProtection="1">
      <alignment vertical="center"/>
      <protection locked="0"/>
    </xf>
    <xf numFmtId="167" fontId="106" fillId="0" borderId="145" xfId="0" applyNumberFormat="1" applyFont="1" applyBorder="1" applyAlignment="1" applyProtection="1">
      <alignment vertical="center"/>
      <protection hidden="1"/>
    </xf>
    <xf numFmtId="167" fontId="57" fillId="0" borderId="145" xfId="0" applyNumberFormat="1" applyFont="1" applyBorder="1" applyAlignment="1" applyProtection="1">
      <alignment vertical="center"/>
      <protection locked="0"/>
    </xf>
    <xf numFmtId="167" fontId="106" fillId="0" borderId="145" xfId="0" applyNumberFormat="1" applyFont="1" applyBorder="1" applyAlignment="1" applyProtection="1">
      <alignment vertical="center"/>
      <protection locked="0"/>
    </xf>
    <xf numFmtId="167" fontId="15" fillId="0" borderId="80" xfId="0" applyNumberFormat="1" applyFont="1" applyBorder="1" applyAlignment="1" applyProtection="1">
      <alignment vertical="center"/>
      <protection locked="0"/>
    </xf>
    <xf numFmtId="167" fontId="57" fillId="0" borderId="80" xfId="0" applyNumberFormat="1" applyFont="1" applyBorder="1" applyAlignment="1" applyProtection="1">
      <alignment vertical="center"/>
      <protection locked="0"/>
    </xf>
    <xf numFmtId="167" fontId="149" fillId="33" borderId="112" xfId="0" applyNumberFormat="1" applyFont="1" applyFill="1" applyBorder="1" applyAlignment="1" applyProtection="1">
      <alignment vertical="center"/>
      <protection hidden="1"/>
    </xf>
    <xf numFmtId="167" fontId="106" fillId="0" borderId="80" xfId="0" applyNumberFormat="1" applyFont="1" applyBorder="1" applyAlignment="1" applyProtection="1">
      <alignment vertical="center"/>
      <protection hidden="1"/>
    </xf>
    <xf numFmtId="167" fontId="106" fillId="0" borderId="332" xfId="0" applyNumberFormat="1" applyFont="1" applyBorder="1" applyAlignment="1" applyProtection="1">
      <alignment vertical="center"/>
      <protection locked="0"/>
    </xf>
    <xf numFmtId="167" fontId="106" fillId="0" borderId="312" xfId="0" applyNumberFormat="1" applyFont="1" applyBorder="1" applyAlignment="1" applyProtection="1">
      <alignment vertical="center"/>
      <protection locked="0"/>
    </xf>
    <xf numFmtId="167" fontId="15" fillId="0" borderId="312" xfId="0" applyNumberFormat="1" applyFont="1" applyBorder="1" applyAlignment="1" applyProtection="1">
      <alignment vertical="center"/>
      <protection locked="0"/>
    </xf>
    <xf numFmtId="167" fontId="16" fillId="36" borderId="306" xfId="0" applyNumberFormat="1" applyFont="1" applyFill="1" applyBorder="1" applyAlignment="1" applyProtection="1">
      <alignment vertical="center"/>
      <protection hidden="1"/>
    </xf>
    <xf numFmtId="169" fontId="19" fillId="2" borderId="0" xfId="0" applyNumberFormat="1" applyFont="1" applyFill="1" applyBorder="1" applyAlignment="1" applyProtection="1">
      <alignment horizontal="center"/>
      <protection locked="0"/>
    </xf>
    <xf numFmtId="167" fontId="57" fillId="0" borderId="128" xfId="0" applyNumberFormat="1" applyFont="1" applyFill="1" applyBorder="1" applyAlignment="1" applyProtection="1">
      <alignment horizontal="right" vertical="center"/>
      <protection locked="0"/>
    </xf>
    <xf numFmtId="167" fontId="57" fillId="0" borderId="145" xfId="0" applyNumberFormat="1" applyFont="1" applyBorder="1" applyAlignment="1" applyProtection="1">
      <alignment horizontal="right" vertical="center"/>
      <protection locked="0"/>
    </xf>
    <xf numFmtId="167" fontId="106" fillId="0" borderId="145" xfId="0" applyNumberFormat="1" applyFont="1" applyBorder="1" applyAlignment="1" applyProtection="1">
      <alignment horizontal="right" vertical="center"/>
      <protection locked="0"/>
    </xf>
    <xf numFmtId="167" fontId="15" fillId="0" borderId="80" xfId="0" applyNumberFormat="1" applyFont="1" applyBorder="1" applyAlignment="1" applyProtection="1">
      <alignment horizontal="right" vertical="center"/>
      <protection locked="0"/>
    </xf>
    <xf numFmtId="167" fontId="106" fillId="0" borderId="312" xfId="0" applyNumberFormat="1" applyFont="1" applyBorder="1" applyAlignment="1" applyProtection="1">
      <alignment horizontal="right" vertical="center"/>
      <protection locked="0"/>
    </xf>
    <xf numFmtId="167" fontId="106" fillId="0" borderId="80" xfId="0" applyNumberFormat="1" applyFont="1" applyBorder="1" applyAlignment="1" applyProtection="1">
      <alignment horizontal="right" vertical="center"/>
      <protection locked="0"/>
    </xf>
    <xf numFmtId="167" fontId="15" fillId="0" borderId="312" xfId="0" applyNumberFormat="1" applyFont="1" applyBorder="1" applyAlignment="1" applyProtection="1">
      <alignment horizontal="right" vertical="center"/>
      <protection locked="0"/>
    </xf>
    <xf numFmtId="167" fontId="106" fillId="0" borderId="332" xfId="0" applyNumberFormat="1" applyFont="1" applyBorder="1" applyAlignment="1" applyProtection="1">
      <alignment vertical="center"/>
      <protection hidden="1"/>
    </xf>
    <xf numFmtId="167" fontId="106" fillId="0" borderId="332" xfId="0" applyNumberFormat="1" applyFont="1" applyBorder="1" applyAlignment="1" applyProtection="1">
      <alignment horizontal="right" vertical="center"/>
      <protection locked="0"/>
    </xf>
    <xf numFmtId="167" fontId="22" fillId="45" borderId="146" xfId="0" applyNumberFormat="1" applyFont="1" applyFill="1" applyBorder="1" applyAlignment="1" applyProtection="1">
      <alignment vertical="center"/>
      <protection hidden="1"/>
    </xf>
    <xf numFmtId="167" fontId="22" fillId="12" borderId="146" xfId="0" applyNumberFormat="1" applyFont="1" applyFill="1" applyBorder="1" applyAlignment="1" applyProtection="1">
      <alignment vertical="center"/>
      <protection hidden="1"/>
    </xf>
    <xf numFmtId="167" fontId="22" fillId="46" borderId="146" xfId="0" applyNumberFormat="1" applyFont="1" applyFill="1" applyBorder="1" applyAlignment="1" applyProtection="1">
      <alignment horizontal="right" vertical="center"/>
      <protection hidden="1"/>
    </xf>
    <xf numFmtId="173" fontId="223" fillId="0" borderId="0" xfId="0" applyFont="1" applyFill="1" applyBorder="1" applyAlignment="1" applyProtection="1">
      <alignment horizontal="center" vertical="center"/>
      <protection hidden="1"/>
    </xf>
    <xf numFmtId="173" fontId="221" fillId="0" borderId="0" xfId="29" applyNumberFormat="1" applyFont="1" applyFill="1" applyBorder="1" applyAlignment="1" applyProtection="1">
      <alignment horizontal="center" vertical="center"/>
      <protection hidden="1"/>
    </xf>
    <xf numFmtId="167" fontId="260" fillId="0" borderId="128" xfId="0" applyNumberFormat="1" applyFont="1" applyBorder="1" applyAlignment="1" applyProtection="1">
      <alignment horizontal="right" vertical="center"/>
      <protection hidden="1"/>
    </xf>
    <xf numFmtId="167" fontId="15" fillId="0" borderId="80" xfId="0" applyNumberFormat="1" applyFont="1" applyBorder="1" applyAlignment="1" applyProtection="1">
      <alignment horizontal="right" vertical="center"/>
      <protection hidden="1"/>
    </xf>
    <xf numFmtId="167" fontId="15" fillId="0" borderId="80" xfId="0" applyNumberFormat="1" applyFont="1" applyFill="1" applyBorder="1" applyAlignment="1" applyProtection="1">
      <alignment vertical="center"/>
      <protection locked="0"/>
    </xf>
    <xf numFmtId="167" fontId="149" fillId="35" borderId="342" xfId="0" applyNumberFormat="1" applyFont="1" applyFill="1" applyBorder="1" applyAlignment="1" applyProtection="1">
      <alignment vertical="center"/>
      <protection hidden="1"/>
    </xf>
    <xf numFmtId="169" fontId="57" fillId="0" borderId="343" xfId="0" applyNumberFormat="1" applyFont="1" applyFill="1" applyBorder="1" applyAlignment="1" applyProtection="1">
      <alignment horizontal="center" vertical="center"/>
      <protection hidden="1"/>
    </xf>
    <xf numFmtId="169" fontId="106" fillId="0" borderId="236" xfId="0" applyNumberFormat="1" applyFont="1" applyFill="1" applyBorder="1" applyAlignment="1" applyProtection="1">
      <alignment horizontal="center" vertical="center"/>
      <protection hidden="1"/>
    </xf>
    <xf numFmtId="167" fontId="17" fillId="25" borderId="146" xfId="0" applyNumberFormat="1" applyFont="1" applyFill="1" applyBorder="1" applyAlignment="1" applyProtection="1">
      <alignment vertical="center"/>
      <protection hidden="1"/>
    </xf>
    <xf numFmtId="169" fontId="260" fillId="0" borderId="343" xfId="0" applyNumberFormat="1" applyFont="1" applyFill="1" applyBorder="1" applyAlignment="1" applyProtection="1">
      <alignment horizontal="center" vertical="center"/>
      <protection hidden="1"/>
    </xf>
    <xf numFmtId="169" fontId="57" fillId="0" borderId="345" xfId="0" applyNumberFormat="1" applyFont="1" applyFill="1" applyBorder="1" applyAlignment="1" applyProtection="1">
      <alignment horizontal="centerContinuous" vertical="center"/>
      <protection locked="0"/>
    </xf>
    <xf numFmtId="169" fontId="57" fillId="0" borderId="345" xfId="0" applyNumberFormat="1" applyFont="1" applyBorder="1" applyAlignment="1" applyProtection="1">
      <alignment horizontal="center" vertical="center"/>
      <protection hidden="1"/>
    </xf>
    <xf numFmtId="173" fontId="15" fillId="0" borderId="236" xfId="0" applyFont="1" applyBorder="1" applyAlignment="1" applyProtection="1">
      <alignment horizontal="right" vertical="center"/>
      <protection locked="0"/>
    </xf>
    <xf numFmtId="169" fontId="57" fillId="0" borderId="346" xfId="0" applyNumberFormat="1" applyFont="1" applyBorder="1" applyAlignment="1" applyProtection="1">
      <alignment horizontal="center" vertical="center"/>
      <protection hidden="1"/>
    </xf>
    <xf numFmtId="169" fontId="31" fillId="12" borderId="347" xfId="0" applyNumberFormat="1" applyFont="1" applyFill="1" applyBorder="1" applyAlignment="1" applyProtection="1">
      <alignment horizontal="center" vertical="center"/>
      <protection hidden="1"/>
    </xf>
    <xf numFmtId="169" fontId="143" fillId="33" borderId="113" xfId="0" applyNumberFormat="1" applyFont="1" applyFill="1" applyBorder="1" applyAlignment="1" applyProtection="1">
      <alignment horizontal="center" vertical="center"/>
      <protection hidden="1"/>
    </xf>
    <xf numFmtId="169" fontId="233" fillId="0" borderId="236" xfId="0" applyNumberFormat="1" applyFont="1" applyBorder="1" applyAlignment="1" applyProtection="1">
      <alignment horizontal="center" vertical="center"/>
      <protection hidden="1"/>
    </xf>
    <xf numFmtId="169" fontId="233" fillId="0" borderId="235" xfId="0" applyNumberFormat="1" applyFont="1" applyBorder="1" applyAlignment="1" applyProtection="1">
      <alignment horizontal="center" vertical="center"/>
      <protection hidden="1"/>
    </xf>
    <xf numFmtId="169" fontId="57" fillId="0" borderId="235" xfId="0" applyNumberFormat="1" applyFont="1" applyBorder="1" applyAlignment="1" applyProtection="1">
      <alignment horizontal="center" vertical="center"/>
      <protection hidden="1"/>
    </xf>
    <xf numFmtId="169" fontId="57" fillId="0" borderId="236" xfId="0" applyNumberFormat="1" applyFont="1" applyBorder="1" applyAlignment="1" applyProtection="1">
      <alignment horizontal="center" vertical="center"/>
      <protection hidden="1"/>
    </xf>
    <xf numFmtId="169" fontId="149" fillId="33" borderId="113" xfId="0" applyNumberFormat="1" applyFont="1" applyFill="1" applyBorder="1" applyAlignment="1" applyProtection="1">
      <alignment horizontal="center" vertical="center"/>
      <protection hidden="1"/>
    </xf>
    <xf numFmtId="169" fontId="233" fillId="0" borderId="345" xfId="0" applyNumberFormat="1" applyFont="1" applyBorder="1" applyAlignment="1" applyProtection="1">
      <alignment horizontal="center" vertical="center"/>
      <protection hidden="1"/>
    </xf>
    <xf numFmtId="169" fontId="233" fillId="0" borderId="348" xfId="0" applyNumberFormat="1" applyFont="1" applyBorder="1" applyAlignment="1" applyProtection="1">
      <alignment horizontal="center" vertical="center"/>
      <protection hidden="1"/>
    </xf>
    <xf numFmtId="169" fontId="22" fillId="46" borderId="347" xfId="0" applyNumberFormat="1" applyFont="1" applyFill="1" applyBorder="1" applyAlignment="1" applyProtection="1">
      <alignment horizontal="center" vertical="center"/>
      <protection hidden="1"/>
    </xf>
    <xf numFmtId="169" fontId="233" fillId="0" borderId="236" xfId="0" applyNumberFormat="1" applyFont="1" applyFill="1" applyBorder="1" applyAlignment="1" applyProtection="1">
      <alignment horizontal="center" vertical="center"/>
      <protection hidden="1"/>
    </xf>
    <xf numFmtId="169" fontId="149" fillId="52" borderId="349" xfId="0" applyNumberFormat="1" applyFont="1" applyFill="1" applyBorder="1" applyAlignment="1" applyProtection="1">
      <alignment horizontal="center" vertical="center"/>
      <protection hidden="1"/>
    </xf>
    <xf numFmtId="169" fontId="16" fillId="36" borderId="350" xfId="0" applyNumberFormat="1" applyFont="1" applyFill="1" applyBorder="1" applyAlignment="1" applyProtection="1">
      <alignment horizontal="center" vertical="center"/>
      <protection hidden="1"/>
    </xf>
    <xf numFmtId="169" fontId="57" fillId="0" borderId="236" xfId="0" applyNumberFormat="1" applyFont="1" applyFill="1" applyBorder="1" applyAlignment="1" applyProtection="1">
      <alignment horizontal="center" vertical="center"/>
      <protection hidden="1"/>
    </xf>
    <xf numFmtId="9" fontId="143" fillId="33" borderId="113" xfId="0" applyNumberFormat="1" applyFont="1" applyFill="1" applyBorder="1" applyAlignment="1" applyProtection="1">
      <alignment horizontal="center" vertical="center"/>
      <protection hidden="1"/>
    </xf>
    <xf numFmtId="169" fontId="57" fillId="0" borderId="236" xfId="0" applyNumberFormat="1" applyFont="1" applyFill="1" applyBorder="1" applyAlignment="1" applyProtection="1">
      <alignment horizontal="centerContinuous" vertical="center"/>
      <protection hidden="1"/>
    </xf>
    <xf numFmtId="169" fontId="57" fillId="0" borderId="343" xfId="0" applyNumberFormat="1" applyFont="1" applyBorder="1" applyAlignment="1" applyProtection="1">
      <alignment horizontal="centerContinuous" vertical="center"/>
      <protection hidden="1"/>
    </xf>
    <xf numFmtId="169" fontId="57" fillId="0" borderId="345" xfId="0" applyNumberFormat="1" applyFont="1" applyBorder="1" applyAlignment="1" applyProtection="1">
      <alignment horizontal="centerContinuous" vertical="center"/>
      <protection hidden="1"/>
    </xf>
    <xf numFmtId="169" fontId="57" fillId="0" borderId="236" xfId="0" applyNumberFormat="1" applyFont="1" applyBorder="1" applyAlignment="1" applyProtection="1">
      <alignment horizontal="centerContinuous" vertical="center"/>
      <protection hidden="1"/>
    </xf>
    <xf numFmtId="169" fontId="149" fillId="35" borderId="349" xfId="0" applyNumberFormat="1" applyFont="1" applyFill="1" applyBorder="1" applyAlignment="1" applyProtection="1">
      <alignment horizontal="center" vertical="center"/>
      <protection hidden="1"/>
    </xf>
    <xf numFmtId="165" fontId="19" fillId="0" borderId="236" xfId="0" applyNumberFormat="1" applyFont="1" applyFill="1" applyBorder="1" applyAlignment="1" applyProtection="1">
      <alignment horizontal="center" vertical="center"/>
      <protection locked="0"/>
    </xf>
    <xf numFmtId="169" fontId="19" fillId="0" borderId="236" xfId="0" applyNumberFormat="1" applyFont="1" applyFill="1" applyBorder="1" applyAlignment="1" applyProtection="1">
      <alignment horizontal="center" vertical="center"/>
      <protection locked="0"/>
    </xf>
    <xf numFmtId="165" fontId="22" fillId="25" borderId="347" xfId="0" applyNumberFormat="1" applyFont="1" applyFill="1" applyBorder="1" applyAlignment="1" applyProtection="1">
      <alignment horizontal="center" vertical="center"/>
      <protection locked="0"/>
    </xf>
    <xf numFmtId="169" fontId="22" fillId="25" borderId="347" xfId="0" applyNumberFormat="1" applyFont="1" applyFill="1" applyBorder="1" applyAlignment="1" applyProtection="1">
      <alignment horizontal="center" vertical="center"/>
      <protection locked="0"/>
    </xf>
    <xf numFmtId="169" fontId="22" fillId="0" borderId="352" xfId="0" applyNumberFormat="1" applyFont="1" applyFill="1" applyBorder="1" applyAlignment="1" applyProtection="1">
      <alignment horizontal="center" vertical="center"/>
      <protection locked="0"/>
    </xf>
    <xf numFmtId="165" fontId="22" fillId="0" borderId="352" xfId="0" applyNumberFormat="1" applyFont="1" applyFill="1" applyBorder="1" applyAlignment="1" applyProtection="1">
      <alignment horizontal="center" vertical="center"/>
      <protection locked="0"/>
    </xf>
    <xf numFmtId="169" fontId="57" fillId="0" borderId="348" xfId="0" applyNumberFormat="1" applyFont="1" applyFill="1" applyBorder="1" applyAlignment="1" applyProtection="1">
      <alignment horizontal="center" vertical="center"/>
      <protection hidden="1"/>
    </xf>
    <xf numFmtId="169" fontId="57" fillId="0" borderId="348" xfId="0" applyNumberFormat="1" applyFont="1" applyBorder="1" applyAlignment="1" applyProtection="1">
      <alignment horizontal="centerContinuous" vertical="center"/>
      <protection hidden="1"/>
    </xf>
    <xf numFmtId="173" fontId="233" fillId="0" borderId="80" xfId="0" applyFont="1" applyFill="1" applyBorder="1" applyAlignment="1" applyProtection="1">
      <alignment horizontal="left" vertical="center" indent="1"/>
      <protection locked="0"/>
    </xf>
    <xf numFmtId="173" fontId="233" fillId="0" borderId="145" xfId="0" applyFont="1" applyFill="1" applyBorder="1" applyAlignment="1" applyProtection="1">
      <alignment horizontal="left" vertical="center" indent="1"/>
      <protection locked="0"/>
    </xf>
    <xf numFmtId="169" fontId="233" fillId="0" borderId="355" xfId="7" applyNumberFormat="1" applyFont="1" applyFill="1" applyBorder="1" applyAlignment="1" applyProtection="1">
      <alignment horizontal="center" vertical="center"/>
      <protection locked="0"/>
    </xf>
    <xf numFmtId="169" fontId="233" fillId="0" borderId="356" xfId="7" applyNumberFormat="1" applyFont="1" applyFill="1" applyBorder="1" applyAlignment="1" applyProtection="1">
      <alignment horizontal="center" vertical="center"/>
      <protection locked="0"/>
    </xf>
    <xf numFmtId="173" fontId="45" fillId="33" borderId="359" xfId="0" applyFont="1" applyFill="1" applyBorder="1" applyAlignment="1" applyProtection="1">
      <alignment horizontal="center"/>
      <protection hidden="1"/>
    </xf>
    <xf numFmtId="170" fontId="153" fillId="0" borderId="80" xfId="0" applyNumberFormat="1" applyFont="1" applyBorder="1" applyAlignment="1" applyProtection="1">
      <alignment horizontal="left" vertical="center" indent="1"/>
      <protection locked="0"/>
    </xf>
    <xf numFmtId="170" fontId="153" fillId="0" borderId="332" xfId="0" applyNumberFormat="1" applyFont="1" applyBorder="1" applyAlignment="1" applyProtection="1">
      <alignment horizontal="left" vertical="center" indent="1"/>
      <protection locked="0"/>
    </xf>
    <xf numFmtId="186" fontId="155" fillId="4" borderId="80" xfId="1" applyNumberFormat="1" applyFont="1" applyFill="1" applyBorder="1" applyAlignment="1" applyProtection="1">
      <alignment horizontal="left" vertical="center" indent="1"/>
      <protection locked="0"/>
    </xf>
    <xf numFmtId="9" fontId="57" fillId="0" borderId="362" xfId="0" applyNumberFormat="1" applyFont="1" applyBorder="1" applyAlignment="1" applyProtection="1">
      <alignment horizontal="center" vertical="center"/>
      <protection locked="0"/>
    </xf>
    <xf numFmtId="9" fontId="57" fillId="0" borderId="363" xfId="0" applyNumberFormat="1" applyFont="1" applyBorder="1" applyAlignment="1" applyProtection="1">
      <alignment horizontal="center" vertical="center"/>
      <protection locked="0"/>
    </xf>
    <xf numFmtId="173" fontId="241" fillId="25" borderId="146" xfId="0" applyFont="1" applyFill="1" applyBorder="1" applyAlignment="1" applyProtection="1">
      <alignment horizontal="left" vertical="center" wrapText="1" indent="1"/>
      <protection hidden="1"/>
    </xf>
    <xf numFmtId="9" fontId="230" fillId="25" borderId="184" xfId="0" applyNumberFormat="1" applyFont="1" applyFill="1" applyBorder="1" applyAlignment="1" applyProtection="1">
      <alignment horizontal="center" vertical="center" wrapText="1"/>
      <protection hidden="1"/>
    </xf>
    <xf numFmtId="170" fontId="326" fillId="25" borderId="334" xfId="0" applyNumberFormat="1" applyFont="1" applyFill="1" applyBorder="1" applyAlignment="1" applyProtection="1">
      <alignment horizontal="center" vertical="center"/>
      <protection hidden="1"/>
    </xf>
    <xf numFmtId="170" fontId="388" fillId="25" borderId="360" xfId="2" applyNumberFormat="1" applyFont="1" applyFill="1" applyBorder="1" applyAlignment="1" applyProtection="1">
      <alignment horizontal="center" vertical="center"/>
      <protection hidden="1"/>
    </xf>
    <xf numFmtId="170" fontId="388" fillId="25" borderId="137" xfId="2" applyNumberFormat="1" applyFont="1" applyFill="1" applyBorder="1" applyAlignment="1" applyProtection="1">
      <alignment horizontal="center" vertical="center"/>
      <protection hidden="1"/>
    </xf>
    <xf numFmtId="173" fontId="16" fillId="33" borderId="129" xfId="0" applyFont="1" applyFill="1" applyBorder="1" applyAlignment="1" applyProtection="1">
      <alignment horizontal="center" vertical="center" wrapText="1"/>
      <protection hidden="1"/>
    </xf>
    <xf numFmtId="173" fontId="45" fillId="33" borderId="192" xfId="0" applyFont="1" applyFill="1" applyBorder="1" applyAlignment="1" applyProtection="1">
      <alignment horizontal="center"/>
      <protection hidden="1"/>
    </xf>
    <xf numFmtId="186" fontId="154" fillId="4" borderId="80" xfId="1" applyNumberFormat="1" applyFont="1" applyFill="1" applyBorder="1" applyAlignment="1" applyProtection="1">
      <alignment horizontal="left" vertical="center" indent="1"/>
      <protection locked="0"/>
    </xf>
    <xf numFmtId="9" fontId="153" fillId="0" borderId="362" xfId="0" applyNumberFormat="1" applyFont="1" applyBorder="1" applyAlignment="1" applyProtection="1">
      <alignment horizontal="center" vertical="center"/>
      <protection locked="0"/>
    </xf>
    <xf numFmtId="9" fontId="153" fillId="0" borderId="364" xfId="0" applyNumberFormat="1" applyFont="1" applyBorder="1" applyAlignment="1" applyProtection="1">
      <alignment horizontal="center" vertical="center"/>
      <protection locked="0"/>
    </xf>
    <xf numFmtId="9" fontId="153" fillId="0" borderId="177" xfId="0" applyNumberFormat="1" applyFont="1" applyBorder="1" applyAlignment="1" applyProtection="1">
      <alignment horizontal="center" vertical="center"/>
      <protection locked="0"/>
    </xf>
    <xf numFmtId="173" fontId="114" fillId="33" borderId="194" xfId="0" applyFont="1" applyFill="1" applyBorder="1" applyAlignment="1" applyProtection="1">
      <alignment horizontal="center" vertical="center" wrapText="1"/>
      <protection hidden="1"/>
    </xf>
    <xf numFmtId="173" fontId="16" fillId="33" borderId="365" xfId="0" applyFont="1" applyFill="1" applyBorder="1" applyAlignment="1" applyProtection="1">
      <alignment horizontal="center" vertical="top"/>
      <protection hidden="1"/>
    </xf>
    <xf numFmtId="173" fontId="16" fillId="33" borderId="366" xfId="0" applyFont="1" applyFill="1" applyBorder="1" applyAlignment="1" applyProtection="1">
      <alignment horizontal="center" vertical="top"/>
      <protection hidden="1"/>
    </xf>
    <xf numFmtId="170" fontId="389" fillId="25" borderId="314" xfId="2" applyNumberFormat="1" applyFont="1" applyFill="1" applyBorder="1" applyAlignment="1" applyProtection="1">
      <alignment horizontal="center" vertical="center"/>
      <protection hidden="1"/>
    </xf>
    <xf numFmtId="170" fontId="389" fillId="25" borderId="360" xfId="2" applyNumberFormat="1" applyFont="1" applyFill="1" applyBorder="1" applyAlignment="1" applyProtection="1">
      <alignment horizontal="center" vertical="center"/>
      <protection hidden="1"/>
    </xf>
    <xf numFmtId="170" fontId="389" fillId="25" borderId="137" xfId="2" applyNumberFormat="1" applyFont="1" applyFill="1" applyBorder="1" applyAlignment="1" applyProtection="1">
      <alignment horizontal="center" vertical="center"/>
      <protection hidden="1"/>
    </xf>
    <xf numFmtId="173" fontId="61" fillId="33" borderId="370" xfId="0" applyFont="1" applyFill="1" applyBorder="1" applyAlignment="1" applyProtection="1">
      <alignment horizontal="center" vertical="center" wrapText="1"/>
      <protection hidden="1"/>
    </xf>
    <xf numFmtId="173" fontId="61" fillId="33" borderId="371" xfId="0" applyFont="1" applyFill="1" applyBorder="1" applyAlignment="1" applyProtection="1">
      <alignment horizontal="center" vertical="center"/>
      <protection hidden="1"/>
    </xf>
    <xf numFmtId="167" fontId="327" fillId="28" borderId="137" xfId="0" applyNumberFormat="1" applyFont="1" applyFill="1" applyBorder="1" applyAlignment="1" applyProtection="1">
      <alignment vertical="center"/>
      <protection hidden="1"/>
    </xf>
    <xf numFmtId="167" fontId="327" fillId="28" borderId="218" xfId="0" applyNumberFormat="1" applyFont="1" applyFill="1" applyBorder="1" applyAlignment="1" applyProtection="1">
      <alignment vertical="center"/>
      <protection hidden="1"/>
    </xf>
    <xf numFmtId="180" fontId="220" fillId="29" borderId="373" xfId="0" applyNumberFormat="1" applyFont="1" applyFill="1" applyBorder="1" applyAlignment="1" applyProtection="1">
      <alignment horizontal="center" vertical="center"/>
      <protection locked="0"/>
    </xf>
    <xf numFmtId="178" fontId="72" fillId="33" borderId="375" xfId="0" applyNumberFormat="1" applyFont="1" applyFill="1" applyBorder="1" applyAlignment="1" applyProtection="1">
      <alignment horizontal="right" vertical="center"/>
      <protection hidden="1"/>
    </xf>
    <xf numFmtId="170" fontId="45" fillId="7" borderId="367" xfId="0" applyNumberFormat="1" applyFont="1" applyFill="1" applyBorder="1" applyAlignment="1" applyProtection="1">
      <alignment horizontal="center" vertical="center"/>
      <protection hidden="1"/>
    </xf>
    <xf numFmtId="178" fontId="45" fillId="7" borderId="377" xfId="0" applyNumberFormat="1" applyFont="1" applyFill="1" applyBorder="1" applyAlignment="1" applyProtection="1">
      <alignment horizontal="right" vertical="center"/>
      <protection hidden="1"/>
    </xf>
    <xf numFmtId="173" fontId="61" fillId="33" borderId="381" xfId="0" applyFont="1" applyFill="1" applyBorder="1" applyAlignment="1" applyProtection="1">
      <alignment horizontal="center" vertical="center" wrapText="1"/>
      <protection hidden="1"/>
    </xf>
    <xf numFmtId="173" fontId="61" fillId="33" borderId="379" xfId="0" applyFont="1" applyFill="1" applyBorder="1" applyAlignment="1" applyProtection="1">
      <alignment horizontal="center" vertical="center" wrapText="1"/>
      <protection hidden="1"/>
    </xf>
    <xf numFmtId="173" fontId="61" fillId="33" borderId="380" xfId="0" applyFont="1" applyFill="1" applyBorder="1" applyAlignment="1" applyProtection="1">
      <alignment horizontal="center" vertical="center"/>
      <protection hidden="1"/>
    </xf>
    <xf numFmtId="173" fontId="327" fillId="28" borderId="80" xfId="0" applyFont="1" applyFill="1" applyBorder="1" applyAlignment="1" applyProtection="1">
      <alignment horizontal="left" vertical="center" wrapText="1" indent="1"/>
      <protection hidden="1"/>
    </xf>
    <xf numFmtId="173" fontId="327" fillId="28" borderId="336" xfId="0" applyFont="1" applyFill="1" applyBorder="1" applyAlignment="1" applyProtection="1">
      <alignment horizontal="left" vertical="center" wrapText="1" indent="1"/>
      <protection hidden="1"/>
    </xf>
    <xf numFmtId="169" fontId="212" fillId="29" borderId="373" xfId="0" applyNumberFormat="1" applyFont="1" applyFill="1" applyBorder="1" applyAlignment="1" applyProtection="1">
      <alignment horizontal="left" vertical="center"/>
      <protection hidden="1"/>
    </xf>
    <xf numFmtId="170" fontId="61" fillId="7" borderId="367" xfId="0" applyNumberFormat="1" applyFont="1" applyFill="1" applyBorder="1" applyAlignment="1" applyProtection="1">
      <alignment horizontal="center" vertical="center"/>
      <protection hidden="1"/>
    </xf>
    <xf numFmtId="178" fontId="61" fillId="7" borderId="377" xfId="0" applyNumberFormat="1" applyFont="1" applyFill="1" applyBorder="1" applyAlignment="1" applyProtection="1">
      <alignment horizontal="right" vertical="center"/>
      <protection hidden="1"/>
    </xf>
    <xf numFmtId="170" fontId="327" fillId="28" borderId="385" xfId="0" applyNumberFormat="1" applyFont="1" applyFill="1" applyBorder="1" applyAlignment="1" applyProtection="1">
      <alignment horizontal="center" vertical="center"/>
      <protection hidden="1"/>
    </xf>
    <xf numFmtId="170" fontId="327" fillId="28" borderId="386" xfId="0" applyNumberFormat="1" applyFont="1" applyFill="1" applyBorder="1" applyAlignment="1" applyProtection="1">
      <alignment horizontal="center" vertical="center"/>
      <protection hidden="1"/>
    </xf>
    <xf numFmtId="170" fontId="241" fillId="26" borderId="177" xfId="0" applyNumberFormat="1" applyFont="1" applyFill="1" applyBorder="1" applyAlignment="1" applyProtection="1">
      <alignment horizontal="center" vertical="center"/>
      <protection hidden="1"/>
    </xf>
    <xf numFmtId="167" fontId="241" fillId="26" borderId="137" xfId="0" applyNumberFormat="1" applyFont="1" applyFill="1" applyBorder="1" applyAlignment="1" applyProtection="1">
      <alignment vertical="center"/>
      <protection hidden="1"/>
    </xf>
    <xf numFmtId="173" fontId="241" fillId="26" borderId="80" xfId="0" applyFont="1" applyFill="1" applyBorder="1" applyAlignment="1" applyProtection="1">
      <alignment horizontal="left" vertical="center" wrapText="1" indent="1"/>
      <protection hidden="1"/>
    </xf>
    <xf numFmtId="170" fontId="199" fillId="29" borderId="389" xfId="0" applyNumberFormat="1" applyFont="1" applyFill="1" applyBorder="1" applyAlignment="1" applyProtection="1">
      <alignment horizontal="center" vertical="center"/>
      <protection hidden="1"/>
    </xf>
    <xf numFmtId="178" fontId="199" fillId="29" borderId="390" xfId="0" applyNumberFormat="1" applyFont="1" applyFill="1" applyBorder="1" applyAlignment="1" applyProtection="1">
      <alignment horizontal="right" vertical="center"/>
      <protection hidden="1"/>
    </xf>
    <xf numFmtId="180" fontId="220" fillId="29" borderId="259" xfId="0" applyNumberFormat="1" applyFont="1" applyFill="1" applyBorder="1" applyAlignment="1" applyProtection="1">
      <alignment horizontal="center" vertical="center"/>
      <protection locked="0"/>
    </xf>
    <xf numFmtId="180" fontId="236" fillId="29" borderId="259" xfId="0" applyNumberFormat="1" applyFont="1" applyFill="1" applyBorder="1" applyAlignment="1" applyProtection="1">
      <alignment horizontal="right" vertical="center"/>
      <protection locked="0"/>
    </xf>
    <xf numFmtId="185" fontId="304" fillId="25" borderId="393" xfId="2" applyNumberFormat="1" applyFont="1" applyFill="1" applyBorder="1" applyAlignment="1" applyProtection="1">
      <alignment horizontal="center" vertical="center"/>
      <protection hidden="1"/>
    </xf>
    <xf numFmtId="185" fontId="304" fillId="25" borderId="218" xfId="2" applyNumberFormat="1" applyFont="1" applyFill="1" applyBorder="1" applyAlignment="1" applyProtection="1">
      <alignment horizontal="center" vertical="center"/>
      <protection hidden="1"/>
    </xf>
    <xf numFmtId="185" fontId="304" fillId="25" borderId="393" xfId="2" applyNumberFormat="1" applyFont="1" applyFill="1" applyBorder="1" applyAlignment="1" applyProtection="1">
      <alignment horizontal="center" vertical="center"/>
    </xf>
    <xf numFmtId="173" fontId="108" fillId="0" borderId="255" xfId="0" applyFont="1" applyBorder="1" applyAlignment="1" applyProtection="1">
      <alignment horizontal="left" vertical="center" wrapText="1" indent="1"/>
      <protection hidden="1"/>
    </xf>
    <xf numFmtId="173" fontId="22" fillId="0" borderId="387" xfId="0" applyFont="1" applyBorder="1" applyAlignment="1" applyProtection="1">
      <alignment horizontal="left" vertical="center" indent="1"/>
      <protection hidden="1"/>
    </xf>
    <xf numFmtId="173" fontId="289" fillId="0" borderId="335" xfId="0" applyFont="1" applyBorder="1" applyAlignment="1" applyProtection="1">
      <alignment horizontal="left" vertical="center" wrapText="1" indent="1"/>
      <protection hidden="1"/>
    </xf>
    <xf numFmtId="173" fontId="22" fillId="0" borderId="336" xfId="0" applyFont="1" applyBorder="1" applyAlignment="1" applyProtection="1">
      <alignment horizontal="left" vertical="center" indent="1"/>
      <protection hidden="1"/>
    </xf>
    <xf numFmtId="185" fontId="304" fillId="25" borderId="137" xfId="2" applyNumberFormat="1" applyFont="1" applyFill="1" applyBorder="1" applyAlignment="1" applyProtection="1">
      <alignment horizontal="center" vertical="center"/>
    </xf>
    <xf numFmtId="173" fontId="22" fillId="0" borderId="80" xfId="0" applyFont="1" applyBorder="1" applyAlignment="1" applyProtection="1">
      <alignment horizontal="left" vertical="center" indent="1"/>
      <protection hidden="1"/>
    </xf>
    <xf numFmtId="173" fontId="16" fillId="33" borderId="262" xfId="0" applyFont="1" applyFill="1" applyBorder="1" applyAlignment="1" applyProtection="1">
      <alignment horizontal="center" vertical="center" wrapText="1"/>
      <protection hidden="1"/>
    </xf>
    <xf numFmtId="173" fontId="16" fillId="33" borderId="327" xfId="0" applyFont="1" applyFill="1" applyBorder="1" applyAlignment="1" applyProtection="1">
      <alignment horizontal="center" vertical="center" wrapText="1"/>
      <protection hidden="1"/>
    </xf>
    <xf numFmtId="173" fontId="16" fillId="33" borderId="326" xfId="0" applyFont="1" applyFill="1" applyBorder="1" applyAlignment="1" applyProtection="1">
      <alignment horizontal="center" vertical="center"/>
      <protection hidden="1"/>
    </xf>
    <xf numFmtId="173" fontId="212" fillId="2" borderId="138" xfId="0" applyFont="1" applyFill="1" applyBorder="1" applyAlignment="1" applyProtection="1">
      <alignment horizontal="center" vertical="center"/>
      <protection hidden="1"/>
    </xf>
    <xf numFmtId="173" fontId="108" fillId="0" borderId="81" xfId="0" applyFont="1" applyBorder="1" applyAlignment="1" applyProtection="1">
      <alignment horizontal="left" vertical="center" wrapText="1" indent="1"/>
      <protection hidden="1"/>
    </xf>
    <xf numFmtId="185" fontId="201" fillId="25" borderId="217" xfId="2" applyNumberFormat="1" applyFont="1" applyFill="1" applyBorder="1" applyAlignment="1" applyProtection="1">
      <alignment horizontal="center" vertical="center"/>
      <protection hidden="1"/>
    </xf>
    <xf numFmtId="168" fontId="17" fillId="0" borderId="385" xfId="0" applyNumberFormat="1" applyFont="1" applyFill="1" applyBorder="1" applyAlignment="1" applyProtection="1">
      <alignment vertical="center"/>
      <protection locked="0"/>
    </xf>
    <xf numFmtId="182" fontId="110" fillId="0" borderId="397" xfId="0" applyNumberFormat="1" applyFont="1" applyFill="1" applyBorder="1" applyAlignment="1" applyProtection="1">
      <alignment horizontal="center" vertical="center"/>
      <protection hidden="1"/>
    </xf>
    <xf numFmtId="168" fontId="17" fillId="0" borderId="398" xfId="0" applyNumberFormat="1" applyFont="1" applyFill="1" applyBorder="1" applyAlignment="1" applyProtection="1">
      <alignment vertical="center"/>
      <protection locked="0"/>
    </xf>
    <xf numFmtId="182" fontId="110" fillId="0" borderId="399" xfId="0" applyNumberFormat="1" applyFont="1" applyFill="1" applyBorder="1" applyAlignment="1" applyProtection="1">
      <alignment horizontal="center" vertical="center"/>
      <protection hidden="1"/>
    </xf>
    <xf numFmtId="168" fontId="17" fillId="0" borderId="386" xfId="0" applyNumberFormat="1" applyFont="1" applyFill="1" applyBorder="1" applyAlignment="1" applyProtection="1">
      <alignment vertical="center"/>
      <protection locked="0"/>
    </xf>
    <xf numFmtId="182" fontId="110" fillId="0" borderId="266" xfId="0" applyNumberFormat="1" applyFont="1" applyFill="1" applyBorder="1" applyAlignment="1" applyProtection="1">
      <alignment horizontal="center" vertical="center"/>
      <protection hidden="1"/>
    </xf>
    <xf numFmtId="168" fontId="212" fillId="24" borderId="386" xfId="0" applyNumberFormat="1" applyFont="1" applyFill="1" applyBorder="1" applyAlignment="1" applyProtection="1">
      <alignment vertical="center"/>
      <protection hidden="1"/>
    </xf>
    <xf numFmtId="170" fontId="212" fillId="24" borderId="218" xfId="0" applyNumberFormat="1" applyFont="1" applyFill="1" applyBorder="1" applyAlignment="1" applyProtection="1">
      <alignment horizontal="center" vertical="center"/>
      <protection locked="0"/>
    </xf>
    <xf numFmtId="173" fontId="248" fillId="24" borderId="336" xfId="0" applyFont="1" applyFill="1" applyBorder="1" applyAlignment="1" applyProtection="1">
      <alignment horizontal="left" vertical="center" wrapText="1" indent="1"/>
      <protection locked="0"/>
    </xf>
    <xf numFmtId="167" fontId="61" fillId="34" borderId="112" xfId="0" applyNumberFormat="1" applyFont="1" applyFill="1" applyBorder="1" applyAlignment="1" applyProtection="1">
      <alignment vertical="center"/>
      <protection hidden="1"/>
    </xf>
    <xf numFmtId="195" fontId="100" fillId="34" borderId="261" xfId="0" applyNumberFormat="1" applyFont="1" applyFill="1" applyBorder="1" applyAlignment="1" applyProtection="1">
      <alignment horizontal="center" vertical="center"/>
      <protection hidden="1"/>
    </xf>
    <xf numFmtId="167" fontId="61" fillId="34" borderId="279" xfId="0" applyNumberFormat="1" applyFont="1" applyFill="1" applyBorder="1" applyAlignment="1" applyProtection="1">
      <alignment vertical="center"/>
      <protection hidden="1"/>
    </xf>
    <xf numFmtId="167" fontId="61" fillId="34" borderId="115" xfId="0" applyNumberFormat="1" applyFont="1" applyFill="1" applyBorder="1" applyAlignment="1" applyProtection="1">
      <alignment vertical="center"/>
      <protection hidden="1"/>
    </xf>
    <xf numFmtId="167" fontId="61" fillId="34" borderId="261" xfId="0" applyNumberFormat="1" applyFont="1" applyFill="1" applyBorder="1" applyAlignment="1" applyProtection="1">
      <alignment vertical="center"/>
      <protection hidden="1"/>
    </xf>
    <xf numFmtId="173" fontId="113" fillId="33" borderId="353" xfId="0" applyFont="1" applyFill="1" applyBorder="1" applyAlignment="1" applyProtection="1">
      <alignment vertical="center"/>
      <protection hidden="1"/>
    </xf>
    <xf numFmtId="173" fontId="113" fillId="33" borderId="354" xfId="0" applyFont="1" applyFill="1" applyBorder="1" applyAlignment="1" applyProtection="1">
      <alignment vertical="center"/>
      <protection hidden="1"/>
    </xf>
    <xf numFmtId="167" fontId="19" fillId="0" borderId="137" xfId="0" applyNumberFormat="1" applyFont="1" applyFill="1" applyBorder="1" applyAlignment="1" applyProtection="1">
      <alignment vertical="center"/>
      <protection locked="0"/>
    </xf>
    <xf numFmtId="167" fontId="341" fillId="0" borderId="244" xfId="0" applyNumberFormat="1" applyFont="1" applyFill="1" applyBorder="1" applyAlignment="1" applyProtection="1">
      <alignment vertical="center"/>
      <protection locked="0"/>
    </xf>
    <xf numFmtId="167" fontId="341" fillId="0" borderId="137" xfId="0" applyNumberFormat="1" applyFont="1" applyFill="1" applyBorder="1" applyAlignment="1" applyProtection="1">
      <alignment vertical="center"/>
      <protection locked="0"/>
    </xf>
    <xf numFmtId="207" fontId="16" fillId="49" borderId="402" xfId="0" applyNumberFormat="1" applyFont="1" applyFill="1" applyBorder="1" applyAlignment="1" applyProtection="1">
      <alignment horizontal="center" vertical="center"/>
      <protection hidden="1"/>
    </xf>
    <xf numFmtId="207" fontId="16" fillId="49" borderId="403" xfId="0" applyNumberFormat="1" applyFont="1" applyFill="1" applyBorder="1" applyAlignment="1" applyProtection="1">
      <alignment horizontal="center" vertical="center"/>
      <protection hidden="1"/>
    </xf>
    <xf numFmtId="207" fontId="16" fillId="49" borderId="404" xfId="0" applyNumberFormat="1" applyFont="1" applyFill="1" applyBorder="1" applyAlignment="1" applyProtection="1">
      <alignment horizontal="center" vertical="center"/>
      <protection hidden="1"/>
    </xf>
    <xf numFmtId="167" fontId="247" fillId="0" borderId="0" xfId="0" applyNumberFormat="1" applyFont="1" applyFill="1" applyBorder="1" applyAlignment="1">
      <alignment vertical="center"/>
    </xf>
    <xf numFmtId="167" fontId="247" fillId="0" borderId="0" xfId="0" applyNumberFormat="1" applyFont="1" applyFill="1" applyBorder="1" applyAlignment="1" applyProtection="1">
      <alignment vertical="center"/>
      <protection hidden="1"/>
    </xf>
    <xf numFmtId="167" fontId="348" fillId="0" borderId="0" xfId="0" applyNumberFormat="1" applyFont="1" applyFill="1" applyBorder="1" applyAlignment="1" applyProtection="1">
      <alignment vertical="center"/>
      <protection hidden="1"/>
    </xf>
    <xf numFmtId="167" fontId="340" fillId="0" borderId="300" xfId="56" applyNumberFormat="1" applyFont="1" applyFill="1" applyBorder="1" applyAlignment="1" applyProtection="1">
      <alignment vertical="center"/>
      <protection locked="0"/>
    </xf>
    <xf numFmtId="167" fontId="34" fillId="6" borderId="297" xfId="0" applyNumberFormat="1" applyFont="1" applyFill="1" applyBorder="1" applyAlignment="1" applyProtection="1">
      <alignment horizontal="left" vertical="center" indent="1"/>
      <protection hidden="1"/>
    </xf>
    <xf numFmtId="173" fontId="248" fillId="0" borderId="146" xfId="0" applyFont="1" applyFill="1" applyBorder="1" applyAlignment="1" applyProtection="1">
      <alignment horizontal="left" vertical="center" indent="1"/>
      <protection hidden="1"/>
    </xf>
    <xf numFmtId="3" fontId="15" fillId="51" borderId="401" xfId="0" applyNumberFormat="1" applyFont="1" applyFill="1" applyBorder="1" applyAlignment="1" applyProtection="1">
      <alignment horizontal="right" vertical="center" indent="1"/>
      <protection hidden="1"/>
    </xf>
    <xf numFmtId="3" fontId="248" fillId="0" borderId="187" xfId="0" applyNumberFormat="1" applyFont="1" applyBorder="1" applyAlignment="1" applyProtection="1">
      <alignment horizontal="right" vertical="center" indent="1"/>
      <protection hidden="1"/>
    </xf>
    <xf numFmtId="173" fontId="248" fillId="0" borderId="112" xfId="0" applyFont="1" applyFill="1" applyBorder="1" applyAlignment="1" applyProtection="1">
      <alignment horizontal="left" vertical="center" wrapText="1" indent="1"/>
      <protection hidden="1"/>
    </xf>
    <xf numFmtId="173" fontId="251" fillId="25" borderId="127" xfId="0" quotePrefix="1" applyFont="1" applyFill="1" applyBorder="1" applyAlignment="1">
      <alignment horizontal="right" vertical="center"/>
    </xf>
    <xf numFmtId="210" fontId="251" fillId="25" borderId="124" xfId="0" quotePrefix="1" applyNumberFormat="1" applyFont="1" applyFill="1" applyBorder="1" applyAlignment="1" applyProtection="1">
      <alignment horizontal="left" vertical="center"/>
      <protection locked="0"/>
    </xf>
    <xf numFmtId="169" fontId="251" fillId="0" borderId="111" xfId="0" applyNumberFormat="1" applyFont="1" applyBorder="1" applyAlignment="1" applyProtection="1">
      <alignment horizontal="center" vertical="center"/>
      <protection hidden="1"/>
    </xf>
    <xf numFmtId="173" fontId="201" fillId="36" borderId="112" xfId="0" applyFont="1" applyFill="1" applyBorder="1" applyAlignment="1" applyProtection="1">
      <alignment horizontal="left" vertical="center" indent="1"/>
      <protection hidden="1"/>
    </xf>
    <xf numFmtId="173" fontId="201" fillId="36" borderId="260" xfId="0" quotePrefix="1" applyFont="1" applyFill="1" applyBorder="1" applyAlignment="1" applyProtection="1">
      <alignment horizontal="right" vertical="center"/>
      <protection hidden="1"/>
    </xf>
    <xf numFmtId="210" fontId="201" fillId="36" borderId="124" xfId="0" applyNumberFormat="1" applyFont="1" applyFill="1" applyBorder="1" applyAlignment="1" applyProtection="1">
      <alignment horizontal="left" vertical="center"/>
      <protection hidden="1"/>
    </xf>
    <xf numFmtId="9" fontId="201" fillId="36" borderId="111" xfId="0" applyNumberFormat="1" applyFont="1" applyFill="1" applyBorder="1" applyAlignment="1" applyProtection="1">
      <alignment horizontal="center" vertical="center"/>
      <protection hidden="1"/>
    </xf>
    <xf numFmtId="9" fontId="201" fillId="36" borderId="260" xfId="0" quotePrefix="1" applyNumberFormat="1" applyFont="1" applyFill="1" applyBorder="1" applyAlignment="1">
      <alignment horizontal="right" vertical="center"/>
    </xf>
    <xf numFmtId="210" fontId="201" fillId="36" borderId="124" xfId="0" quotePrefix="1" applyNumberFormat="1" applyFont="1" applyFill="1" applyBorder="1" applyAlignment="1" applyProtection="1">
      <alignment horizontal="left" vertical="center"/>
      <protection hidden="1"/>
    </xf>
    <xf numFmtId="169" fontId="201" fillId="36" borderId="111" xfId="0" applyNumberFormat="1" applyFont="1" applyFill="1" applyBorder="1" applyAlignment="1" applyProtection="1">
      <alignment horizontal="center" vertical="center"/>
      <protection hidden="1"/>
    </xf>
    <xf numFmtId="167" fontId="201" fillId="36" borderId="111" xfId="0" applyNumberFormat="1" applyFont="1" applyFill="1" applyBorder="1" applyAlignment="1" applyProtection="1">
      <alignment horizontal="right" vertical="center"/>
      <protection hidden="1"/>
    </xf>
    <xf numFmtId="173" fontId="201" fillId="36" borderId="111" xfId="0" applyFont="1" applyFill="1" applyBorder="1" applyAlignment="1">
      <alignment horizontal="center" vertical="center"/>
    </xf>
    <xf numFmtId="212" fontId="201" fillId="36" borderId="124" xfId="0" quotePrefix="1" applyNumberFormat="1" applyFont="1" applyFill="1" applyBorder="1" applyAlignment="1" applyProtection="1">
      <alignment horizontal="left" vertical="center"/>
      <protection hidden="1"/>
    </xf>
    <xf numFmtId="173" fontId="201" fillId="21" borderId="128" xfId="4" applyNumberFormat="1" applyFont="1" applyBorder="1" applyAlignment="1" applyProtection="1">
      <alignment horizontal="left" vertical="center" indent="1"/>
      <protection hidden="1"/>
    </xf>
    <xf numFmtId="173" fontId="201" fillId="21" borderId="303" xfId="4" quotePrefix="1" applyNumberFormat="1" applyFont="1" applyBorder="1" applyAlignment="1">
      <alignment horizontal="right" vertical="center"/>
    </xf>
    <xf numFmtId="211" fontId="201" fillId="21" borderId="300" xfId="4" quotePrefix="1" applyNumberFormat="1" applyFont="1" applyBorder="1" applyAlignment="1" applyProtection="1">
      <alignment horizontal="left" vertical="center"/>
      <protection hidden="1"/>
    </xf>
    <xf numFmtId="173" fontId="201" fillId="21" borderId="306" xfId="4" applyNumberFormat="1" applyFont="1" applyBorder="1" applyAlignment="1" applyProtection="1">
      <alignment horizontal="left" vertical="center" indent="1"/>
      <protection hidden="1"/>
    </xf>
    <xf numFmtId="173" fontId="201" fillId="21" borderId="409" xfId="4" quotePrefix="1" applyNumberFormat="1" applyFont="1" applyBorder="1" applyAlignment="1">
      <alignment horizontal="right" vertical="center"/>
    </xf>
    <xf numFmtId="210" fontId="201" fillId="21" borderId="308" xfId="4" quotePrefix="1" applyNumberFormat="1" applyFont="1" applyBorder="1" applyAlignment="1" applyProtection="1">
      <alignment horizontal="left" vertical="center"/>
      <protection hidden="1"/>
    </xf>
    <xf numFmtId="185" fontId="201" fillId="21" borderId="160" xfId="4" applyNumberFormat="1" applyFont="1" applyBorder="1" applyAlignment="1" applyProtection="1">
      <alignment horizontal="center" vertical="center"/>
      <protection hidden="1"/>
    </xf>
    <xf numFmtId="9" fontId="201" fillId="21" borderId="408" xfId="4" applyNumberFormat="1" applyFont="1" applyBorder="1" applyAlignment="1" applyProtection="1">
      <alignment horizontal="center" vertical="center"/>
      <protection hidden="1"/>
    </xf>
    <xf numFmtId="173" fontId="273" fillId="0" borderId="297" xfId="0" applyFont="1" applyBorder="1" applyAlignment="1" applyProtection="1">
      <alignment horizontal="left" vertical="center" indent="1"/>
      <protection hidden="1"/>
    </xf>
    <xf numFmtId="173" fontId="233" fillId="0" borderId="213" xfId="0" applyFont="1" applyBorder="1" applyAlignment="1">
      <alignment horizontal="left" vertical="center" wrapText="1" indent="2"/>
    </xf>
    <xf numFmtId="170" fontId="0" fillId="0" borderId="137" xfId="0" applyNumberFormat="1" applyBorder="1" applyAlignment="1" applyProtection="1">
      <alignment horizontal="center" vertical="center"/>
      <protection hidden="1"/>
    </xf>
    <xf numFmtId="173" fontId="273" fillId="0" borderId="336" xfId="0" quotePrefix="1" applyFont="1" applyBorder="1" applyAlignment="1" applyProtection="1">
      <alignment horizontal="left" vertical="center" wrapText="1" indent="1"/>
      <protection hidden="1"/>
    </xf>
    <xf numFmtId="173" fontId="233" fillId="0" borderId="80" xfId="0" applyFont="1" applyBorder="1" applyAlignment="1">
      <alignment horizontal="left" vertical="center" wrapText="1" indent="2"/>
    </xf>
    <xf numFmtId="1" fontId="302" fillId="0" borderId="214" xfId="0" applyNumberFormat="1" applyFont="1" applyBorder="1" applyAlignment="1" applyProtection="1">
      <alignment horizontal="center" vertical="center"/>
      <protection hidden="1"/>
    </xf>
    <xf numFmtId="173" fontId="233" fillId="0" borderId="336" xfId="0" quotePrefix="1" applyFont="1" applyBorder="1" applyAlignment="1" applyProtection="1">
      <alignment horizontal="left" vertical="center" indent="1"/>
      <protection hidden="1"/>
    </xf>
    <xf numFmtId="173" fontId="273" fillId="0" borderId="80" xfId="0" applyFont="1" applyBorder="1" applyAlignment="1">
      <alignment horizontal="left" vertical="center" indent="1"/>
    </xf>
    <xf numFmtId="173" fontId="301" fillId="0" borderId="137" xfId="0" applyFont="1" applyBorder="1" applyAlignment="1" applyProtection="1">
      <alignment horizontal="right" vertical="center"/>
      <protection hidden="1"/>
    </xf>
    <xf numFmtId="173" fontId="273" fillId="0" borderId="146" xfId="0" applyFont="1" applyBorder="1" applyAlignment="1" applyProtection="1">
      <alignment horizontal="left" vertical="center" indent="1"/>
      <protection hidden="1"/>
    </xf>
    <xf numFmtId="170" fontId="229" fillId="0" borderId="401" xfId="0" applyNumberFormat="1" applyFont="1" applyBorder="1" applyAlignment="1" applyProtection="1">
      <alignment horizontal="center" vertical="center"/>
      <protection hidden="1"/>
    </xf>
    <xf numFmtId="1" fontId="267" fillId="0" borderId="162" xfId="0" applyNumberFormat="1" applyFont="1" applyBorder="1" applyAlignment="1" applyProtection="1">
      <alignment horizontal="center" vertical="center"/>
      <protection hidden="1"/>
    </xf>
    <xf numFmtId="196" fontId="229" fillId="0" borderId="161" xfId="0" applyNumberFormat="1" applyFont="1" applyBorder="1" applyAlignment="1" applyProtection="1">
      <alignment horizontal="center" vertical="center"/>
      <protection hidden="1"/>
    </xf>
    <xf numFmtId="195" fontId="229" fillId="0" borderId="161" xfId="0" applyNumberFormat="1" applyFont="1" applyBorder="1" applyAlignment="1" applyProtection="1">
      <alignment horizontal="center" vertical="center"/>
      <protection hidden="1"/>
    </xf>
    <xf numFmtId="170" fontId="229" fillId="0" borderId="187" xfId="0" applyNumberFormat="1" applyFont="1" applyBorder="1" applyAlignment="1" applyProtection="1">
      <alignment horizontal="center" vertical="center"/>
      <protection hidden="1"/>
    </xf>
    <xf numFmtId="173" fontId="233" fillId="25" borderId="112" xfId="0" applyFont="1" applyFill="1" applyBorder="1" applyAlignment="1" applyProtection="1">
      <alignment horizontal="left" vertical="center" wrapText="1" indent="1"/>
      <protection hidden="1"/>
    </xf>
    <xf numFmtId="210" fontId="273" fillId="25" borderId="124" xfId="0" applyNumberFormat="1" applyFont="1" applyFill="1" applyBorder="1" applyAlignment="1" applyProtection="1">
      <alignment horizontal="left" vertical="center"/>
      <protection hidden="1"/>
    </xf>
    <xf numFmtId="173" fontId="233" fillId="25" borderId="80" xfId="0" applyFont="1" applyFill="1" applyBorder="1" applyAlignment="1" applyProtection="1">
      <alignment horizontal="left" vertical="center" wrapText="1" indent="1"/>
      <protection hidden="1"/>
    </xf>
    <xf numFmtId="210" fontId="273" fillId="25" borderId="137" xfId="0" applyNumberFormat="1" applyFont="1" applyFill="1" applyBorder="1" applyAlignment="1" applyProtection="1">
      <alignment horizontal="left" vertical="center"/>
      <protection hidden="1"/>
    </xf>
    <xf numFmtId="3" fontId="212" fillId="33" borderId="337" xfId="0" applyNumberFormat="1" applyFont="1" applyFill="1" applyBorder="1" applyAlignment="1" applyProtection="1">
      <alignment horizontal="center" vertical="center"/>
      <protection hidden="1"/>
    </xf>
    <xf numFmtId="167" fontId="201" fillId="38" borderId="410" xfId="0" applyNumberFormat="1" applyFont="1" applyFill="1" applyBorder="1" applyAlignment="1" applyProtection="1">
      <alignment horizontal="center" vertical="center"/>
      <protection hidden="1"/>
    </xf>
    <xf numFmtId="167" fontId="201" fillId="38" borderId="162" xfId="0" applyNumberFormat="1" applyFont="1" applyFill="1" applyBorder="1" applyAlignment="1" applyProtection="1">
      <alignment horizontal="center" vertical="center"/>
      <protection hidden="1"/>
    </xf>
    <xf numFmtId="167" fontId="201" fillId="38" borderId="411" xfId="0" applyNumberFormat="1" applyFont="1" applyFill="1" applyBorder="1" applyAlignment="1" applyProtection="1">
      <alignment horizontal="center" vertical="center"/>
      <protection hidden="1"/>
    </xf>
    <xf numFmtId="167" fontId="201" fillId="38" borderId="408" xfId="0" applyNumberFormat="1" applyFont="1" applyFill="1" applyBorder="1" applyAlignment="1" applyProtection="1">
      <alignment horizontal="center" vertical="center"/>
      <protection hidden="1"/>
    </xf>
    <xf numFmtId="3" fontId="212" fillId="33" borderId="111" xfId="0" applyNumberFormat="1" applyFont="1" applyFill="1" applyBorder="1" applyAlignment="1" applyProtection="1">
      <alignment horizontal="center" vertical="center" wrapText="1"/>
      <protection hidden="1"/>
    </xf>
    <xf numFmtId="9" fontId="273" fillId="25" borderId="162" xfId="0" applyNumberFormat="1" applyFont="1" applyFill="1" applyBorder="1" applyAlignment="1" applyProtection="1">
      <alignment horizontal="center" vertical="center"/>
      <protection hidden="1"/>
    </xf>
    <xf numFmtId="9" fontId="273" fillId="25" borderId="111" xfId="0" applyNumberFormat="1" applyFont="1" applyFill="1" applyBorder="1" applyAlignment="1" applyProtection="1">
      <alignment horizontal="center" vertical="center"/>
      <protection hidden="1"/>
    </xf>
    <xf numFmtId="181" fontId="241" fillId="25" borderId="401" xfId="0" applyNumberFormat="1" applyFont="1" applyFill="1" applyBorder="1" applyAlignment="1" applyProtection="1">
      <alignment horizontal="left" vertical="center" indent="1"/>
      <protection hidden="1"/>
    </xf>
    <xf numFmtId="173" fontId="273" fillId="0" borderId="295" xfId="0" applyFont="1" applyBorder="1" applyAlignment="1" applyProtection="1">
      <alignment horizontal="left" vertical="center" wrapText="1" indent="1"/>
      <protection hidden="1"/>
    </xf>
    <xf numFmtId="173" fontId="273" fillId="0" borderId="162" xfId="0" applyFont="1" applyBorder="1" applyAlignment="1" applyProtection="1">
      <alignment horizontal="left" vertical="center" wrapText="1" indent="1"/>
      <protection hidden="1"/>
    </xf>
    <xf numFmtId="173" fontId="273" fillId="0" borderId="162" xfId="0" applyFont="1" applyBorder="1" applyAlignment="1" applyProtection="1">
      <alignment horizontal="left" vertical="center" indent="1"/>
      <protection hidden="1"/>
    </xf>
    <xf numFmtId="167" fontId="217" fillId="25" borderId="297" xfId="0" applyNumberFormat="1" applyFont="1" applyFill="1" applyBorder="1" applyAlignment="1" applyProtection="1">
      <alignment vertical="center"/>
      <protection hidden="1"/>
    </xf>
    <xf numFmtId="167" fontId="200" fillId="0" borderId="213" xfId="0" applyNumberFormat="1" applyFont="1" applyBorder="1" applyAlignment="1" applyProtection="1">
      <alignment horizontal="right" vertical="center"/>
      <protection hidden="1"/>
    </xf>
    <xf numFmtId="167" fontId="200" fillId="0" borderId="80" xfId="0" applyNumberFormat="1" applyFont="1" applyBorder="1" applyAlignment="1" applyProtection="1">
      <alignment horizontal="right" vertical="center"/>
      <protection hidden="1"/>
    </xf>
    <xf numFmtId="167" fontId="200" fillId="25" borderId="401" xfId="0" applyNumberFormat="1" applyFont="1" applyFill="1" applyBorder="1" applyAlignment="1" applyProtection="1">
      <alignment vertical="center"/>
      <protection hidden="1"/>
    </xf>
    <xf numFmtId="167" fontId="200" fillId="0" borderId="161" xfId="0" applyNumberFormat="1" applyFont="1" applyFill="1" applyBorder="1" applyAlignment="1" applyProtection="1">
      <alignment vertical="center"/>
      <protection hidden="1"/>
    </xf>
    <xf numFmtId="167" fontId="200" fillId="0" borderId="162" xfId="0" applyNumberFormat="1" applyFont="1" applyBorder="1" applyAlignment="1" applyProtection="1">
      <alignment vertical="center" wrapText="1"/>
      <protection hidden="1"/>
    </xf>
    <xf numFmtId="173" fontId="288" fillId="25" borderId="161" xfId="0" applyFont="1" applyFill="1" applyBorder="1" applyAlignment="1" applyProtection="1">
      <alignment horizontal="left" vertical="center" indent="1"/>
      <protection hidden="1"/>
    </xf>
    <xf numFmtId="167" fontId="200" fillId="25" borderId="336" xfId="0" applyNumberFormat="1" applyFont="1" applyFill="1" applyBorder="1" applyAlignment="1" applyProtection="1">
      <alignment vertical="center"/>
      <protection hidden="1"/>
    </xf>
    <xf numFmtId="167" fontId="200" fillId="25" borderId="161" xfId="0" applyNumberFormat="1" applyFont="1" applyFill="1" applyBorder="1" applyAlignment="1" applyProtection="1">
      <alignment vertical="center"/>
      <protection hidden="1"/>
    </xf>
    <xf numFmtId="167" fontId="15" fillId="25" borderId="336" xfId="0" applyNumberFormat="1" applyFont="1" applyFill="1" applyBorder="1" applyAlignment="1" applyProtection="1">
      <alignment vertical="center"/>
      <protection hidden="1"/>
    </xf>
    <xf numFmtId="167" fontId="15" fillId="25" borderId="161" xfId="0" applyNumberFormat="1" applyFont="1" applyFill="1" applyBorder="1" applyAlignment="1" applyProtection="1">
      <alignment vertical="center"/>
      <protection hidden="1"/>
    </xf>
    <xf numFmtId="181" fontId="278" fillId="6" borderId="111" xfId="0" applyNumberFormat="1" applyFont="1" applyFill="1" applyBorder="1" applyAlignment="1" applyProtection="1">
      <alignment horizontal="left" vertical="center" indent="1"/>
      <protection hidden="1"/>
    </xf>
    <xf numFmtId="167" fontId="278" fillId="6" borderId="112" xfId="0" applyNumberFormat="1" applyFont="1" applyFill="1" applyBorder="1" applyAlignment="1" applyProtection="1">
      <alignment vertical="center"/>
      <protection hidden="1"/>
    </xf>
    <xf numFmtId="167" fontId="278" fillId="6" borderId="124" xfId="0" applyNumberFormat="1" applyFont="1" applyFill="1" applyBorder="1" applyAlignment="1" applyProtection="1">
      <alignment vertical="center"/>
      <protection hidden="1"/>
    </xf>
    <xf numFmtId="167" fontId="278" fillId="6" borderId="111" xfId="0" applyNumberFormat="1" applyFont="1" applyFill="1" applyBorder="1" applyAlignment="1" applyProtection="1">
      <alignment vertical="center"/>
      <protection hidden="1"/>
    </xf>
    <xf numFmtId="173" fontId="200" fillId="0" borderId="172" xfId="0" applyFont="1" applyBorder="1">
      <alignment horizontal="right"/>
    </xf>
    <xf numFmtId="173" fontId="273" fillId="0" borderId="160" xfId="0" quotePrefix="1" applyFont="1" applyFill="1" applyBorder="1" applyAlignment="1" applyProtection="1">
      <alignment horizontal="left" vertical="center" wrapText="1" indent="1"/>
      <protection hidden="1"/>
    </xf>
    <xf numFmtId="173" fontId="273" fillId="0" borderId="163" xfId="0" quotePrefix="1" applyFont="1" applyFill="1" applyBorder="1" applyAlignment="1" applyProtection="1">
      <alignment horizontal="left" vertical="center" wrapText="1" indent="1"/>
      <protection hidden="1"/>
    </xf>
    <xf numFmtId="173" fontId="16" fillId="5" borderId="408" xfId="0" applyFont="1" applyFill="1" applyBorder="1" applyAlignment="1" applyProtection="1">
      <alignment horizontal="left" vertical="center" indent="1"/>
      <protection hidden="1"/>
    </xf>
    <xf numFmtId="167" fontId="288" fillId="0" borderId="160" xfId="0" applyNumberFormat="1" applyFont="1" applyFill="1" applyBorder="1" applyAlignment="1" applyProtection="1">
      <alignment vertical="center"/>
      <protection hidden="1"/>
    </xf>
    <xf numFmtId="167" fontId="288" fillId="0" borderId="163" xfId="0" applyNumberFormat="1" applyFont="1" applyFill="1" applyBorder="1" applyAlignment="1" applyProtection="1">
      <alignment vertical="center"/>
      <protection hidden="1"/>
    </xf>
    <xf numFmtId="167" fontId="212" fillId="5" borderId="408" xfId="0" applyNumberFormat="1" applyFont="1" applyFill="1" applyBorder="1" applyAlignment="1" applyProtection="1">
      <alignment horizontal="center" vertical="center"/>
      <protection hidden="1"/>
    </xf>
    <xf numFmtId="173" fontId="271" fillId="0" borderId="162" xfId="0" applyFont="1" applyBorder="1" applyAlignment="1">
      <alignment horizontal="right" vertical="center"/>
    </xf>
    <xf numFmtId="173" fontId="270" fillId="0" borderId="162" xfId="0" applyFont="1" applyBorder="1" applyAlignment="1">
      <alignment horizontal="right" vertical="center"/>
    </xf>
    <xf numFmtId="173" fontId="201" fillId="36" borderId="412" xfId="0" applyFont="1" applyFill="1" applyBorder="1" applyAlignment="1" applyProtection="1">
      <alignment horizontal="left" vertical="center" indent="1"/>
      <protection hidden="1"/>
    </xf>
    <xf numFmtId="169" fontId="201" fillId="36" borderId="413" xfId="0" applyNumberFormat="1" applyFont="1" applyFill="1" applyBorder="1" applyAlignment="1" applyProtection="1">
      <alignment horizontal="center" vertical="center"/>
      <protection hidden="1"/>
    </xf>
    <xf numFmtId="169" fontId="201" fillId="36" borderId="414" xfId="0" applyNumberFormat="1" applyFont="1" applyFill="1" applyBorder="1" applyAlignment="1" applyProtection="1">
      <alignment horizontal="center" vertical="center"/>
      <protection hidden="1"/>
    </xf>
    <xf numFmtId="173" fontId="16" fillId="36" borderId="187" xfId="0" applyFont="1" applyFill="1" applyBorder="1" applyAlignment="1" applyProtection="1">
      <alignment horizontal="left" vertical="center" indent="1"/>
      <protection hidden="1"/>
    </xf>
    <xf numFmtId="167" fontId="16" fillId="36" borderId="146" xfId="0" applyNumberFormat="1" applyFont="1" applyFill="1" applyBorder="1" applyAlignment="1" applyProtection="1">
      <alignment vertical="center"/>
      <protection hidden="1"/>
    </xf>
    <xf numFmtId="167" fontId="16" fillId="36" borderId="187" xfId="0" applyNumberFormat="1" applyFont="1" applyFill="1" applyBorder="1" applyAlignment="1" applyProtection="1">
      <alignment vertical="center"/>
      <protection hidden="1"/>
    </xf>
    <xf numFmtId="9" fontId="274" fillId="25" borderId="415" xfId="0" applyNumberFormat="1" applyFont="1" applyFill="1" applyBorder="1" applyAlignment="1" applyProtection="1">
      <alignment horizontal="center" vertical="center" wrapText="1"/>
      <protection locked="0"/>
    </xf>
    <xf numFmtId="169" fontId="266" fillId="0" borderId="211" xfId="0" applyNumberFormat="1" applyFont="1" applyBorder="1" applyAlignment="1" applyProtection="1">
      <alignment horizontal="center" vertical="center" wrapText="1"/>
      <protection hidden="1"/>
    </xf>
    <xf numFmtId="169" fontId="266" fillId="0" borderId="236" xfId="0" applyNumberFormat="1" applyFont="1" applyBorder="1" applyAlignment="1" applyProtection="1">
      <alignment horizontal="center" vertical="center" wrapText="1"/>
      <protection hidden="1"/>
    </xf>
    <xf numFmtId="169" fontId="266" fillId="25" borderId="344" xfId="0" applyNumberFormat="1" applyFont="1" applyFill="1" applyBorder="1" applyAlignment="1" applyProtection="1">
      <alignment horizontal="center" vertical="center" wrapText="1"/>
      <protection hidden="1"/>
    </xf>
    <xf numFmtId="169" fontId="279" fillId="0" borderId="236" xfId="0" applyNumberFormat="1" applyFont="1" applyBorder="1" applyAlignment="1" applyProtection="1">
      <alignment horizontal="center" vertical="center" wrapText="1"/>
      <protection hidden="1"/>
    </xf>
    <xf numFmtId="169" fontId="201" fillId="36" borderId="347" xfId="0" applyNumberFormat="1" applyFont="1" applyFill="1" applyBorder="1" applyAlignment="1" applyProtection="1">
      <alignment horizontal="center" vertical="center"/>
      <protection hidden="1"/>
    </xf>
    <xf numFmtId="169" fontId="278" fillId="6" borderId="113" xfId="0" applyNumberFormat="1" applyFont="1" applyFill="1" applyBorder="1" applyAlignment="1" applyProtection="1">
      <alignment horizontal="center" vertical="center"/>
      <protection hidden="1"/>
    </xf>
    <xf numFmtId="169" fontId="15" fillId="25" borderId="344" xfId="0" applyNumberFormat="1" applyFont="1" applyFill="1" applyBorder="1" applyAlignment="1" applyProtection="1">
      <alignment horizontal="center" vertical="center"/>
      <protection hidden="1"/>
    </xf>
    <xf numFmtId="167" fontId="217" fillId="25" borderId="219" xfId="0" applyNumberFormat="1" applyFont="1" applyFill="1" applyBorder="1" applyAlignment="1" applyProtection="1">
      <alignment vertical="center"/>
      <protection hidden="1"/>
    </xf>
    <xf numFmtId="167" fontId="200" fillId="0" borderId="274" xfId="0" applyNumberFormat="1" applyFont="1" applyBorder="1" applyAlignment="1" applyProtection="1">
      <alignment horizontal="right" vertical="center"/>
      <protection hidden="1"/>
    </xf>
    <xf numFmtId="167" fontId="200" fillId="25" borderId="218" xfId="0" applyNumberFormat="1" applyFont="1" applyFill="1" applyBorder="1" applyAlignment="1" applyProtection="1">
      <alignment vertical="center"/>
      <protection hidden="1"/>
    </xf>
    <xf numFmtId="167" fontId="200" fillId="0" borderId="137" xfId="0" applyNumberFormat="1" applyFont="1" applyBorder="1" applyAlignment="1" applyProtection="1">
      <alignment horizontal="right" vertical="center"/>
      <protection hidden="1"/>
    </xf>
    <xf numFmtId="167" fontId="15" fillId="25" borderId="218" xfId="0" applyNumberFormat="1" applyFont="1" applyFill="1" applyBorder="1" applyAlignment="1" applyProtection="1">
      <alignment vertical="center"/>
      <protection hidden="1"/>
    </xf>
    <xf numFmtId="167" fontId="16" fillId="36" borderId="334" xfId="0" applyNumberFormat="1" applyFont="1" applyFill="1" applyBorder="1" applyAlignment="1" applyProtection="1">
      <alignment vertical="center"/>
      <protection hidden="1"/>
    </xf>
    <xf numFmtId="9" fontId="266" fillId="42" borderId="416" xfId="0" applyNumberFormat="1" applyFont="1" applyFill="1" applyBorder="1" applyAlignment="1" applyProtection="1">
      <alignment horizontal="center" vertical="center" wrapText="1"/>
      <protection locked="0"/>
    </xf>
    <xf numFmtId="169" fontId="266" fillId="42" borderId="417" xfId="0" applyNumberFormat="1" applyFont="1" applyFill="1" applyBorder="1" applyAlignment="1" applyProtection="1">
      <alignment horizontal="center" vertical="center" wrapText="1"/>
      <protection locked="0"/>
    </xf>
    <xf numFmtId="169" fontId="266" fillId="42" borderId="418" xfId="0" applyNumberFormat="1" applyFont="1" applyFill="1" applyBorder="1" applyAlignment="1" applyProtection="1">
      <alignment horizontal="center" vertical="center" wrapText="1"/>
      <protection locked="0"/>
    </xf>
    <xf numFmtId="169" fontId="266" fillId="25" borderId="419" xfId="0" applyNumberFormat="1" applyFont="1" applyFill="1" applyBorder="1" applyAlignment="1" applyProtection="1">
      <alignment horizontal="center" vertical="center" wrapText="1"/>
      <protection hidden="1"/>
    </xf>
    <xf numFmtId="169" fontId="15" fillId="25" borderId="419" xfId="0" applyNumberFormat="1" applyFont="1" applyFill="1" applyBorder="1" applyAlignment="1" applyProtection="1">
      <alignment horizontal="center" vertical="center"/>
      <protection hidden="1"/>
    </xf>
    <xf numFmtId="169" fontId="201" fillId="36" borderId="420" xfId="0" applyNumberFormat="1" applyFont="1" applyFill="1" applyBorder="1" applyAlignment="1" applyProtection="1">
      <alignment horizontal="center" vertical="center"/>
      <protection hidden="1"/>
    </xf>
    <xf numFmtId="169" fontId="278" fillId="6" borderId="114" xfId="0" applyNumberFormat="1" applyFont="1" applyFill="1" applyBorder="1" applyAlignment="1" applyProtection="1">
      <alignment horizontal="center" vertical="center"/>
      <protection hidden="1"/>
    </xf>
    <xf numFmtId="167" fontId="200" fillId="0" borderId="128" xfId="0" applyNumberFormat="1" applyFont="1" applyFill="1" applyBorder="1" applyAlignment="1" applyProtection="1">
      <alignment vertical="center"/>
      <protection hidden="1"/>
    </xf>
    <xf numFmtId="167" fontId="200" fillId="0" borderId="335" xfId="0" applyNumberFormat="1" applyFont="1" applyFill="1" applyBorder="1" applyAlignment="1" applyProtection="1">
      <alignment vertical="center"/>
      <protection hidden="1"/>
    </xf>
    <xf numFmtId="167" fontId="16" fillId="34" borderId="306" xfId="0" applyNumberFormat="1" applyFont="1" applyFill="1" applyBorder="1" applyAlignment="1" applyProtection="1">
      <alignment vertical="center"/>
      <protection hidden="1"/>
    </xf>
    <xf numFmtId="170" fontId="279" fillId="0" borderId="343" xfId="0" applyNumberFormat="1" applyFont="1" applyFill="1" applyBorder="1" applyAlignment="1" applyProtection="1">
      <alignment horizontal="center" vertical="center"/>
      <protection hidden="1"/>
    </xf>
    <xf numFmtId="170" fontId="279" fillId="0" borderId="352" xfId="0" applyNumberFormat="1" applyFont="1" applyFill="1" applyBorder="1" applyAlignment="1" applyProtection="1">
      <alignment horizontal="center" vertical="center"/>
      <protection hidden="1"/>
    </xf>
    <xf numFmtId="173" fontId="266" fillId="36" borderId="421" xfId="0" applyFont="1" applyFill="1" applyBorder="1" applyAlignment="1" applyProtection="1">
      <alignment horizontal="left" vertical="center" wrapText="1" indent="1"/>
      <protection locked="0"/>
    </xf>
    <xf numFmtId="192" fontId="212" fillId="5" borderId="350" xfId="0" applyNumberFormat="1" applyFont="1" applyFill="1" applyBorder="1" applyAlignment="1" applyProtection="1">
      <alignment horizontal="center" vertical="center"/>
      <protection hidden="1"/>
    </xf>
    <xf numFmtId="167" fontId="200" fillId="0" borderId="300" xfId="0" applyNumberFormat="1" applyFont="1" applyFill="1" applyBorder="1" applyAlignment="1" applyProtection="1">
      <alignment vertical="center"/>
      <protection hidden="1"/>
    </xf>
    <xf numFmtId="167" fontId="200" fillId="0" borderId="338" xfId="0" applyNumberFormat="1" applyFont="1" applyFill="1" applyBorder="1" applyAlignment="1" applyProtection="1">
      <alignment vertical="center"/>
      <protection hidden="1"/>
    </xf>
    <xf numFmtId="167" fontId="16" fillId="34" borderId="308" xfId="0" applyNumberFormat="1" applyFont="1" applyFill="1" applyBorder="1" applyAlignment="1" applyProtection="1">
      <alignment vertical="center"/>
      <protection hidden="1"/>
    </xf>
    <xf numFmtId="170" fontId="279" fillId="0" borderId="422" xfId="0" applyNumberFormat="1" applyFont="1" applyFill="1" applyBorder="1" applyAlignment="1" applyProtection="1">
      <alignment horizontal="center" vertical="center"/>
      <protection hidden="1"/>
    </xf>
    <xf numFmtId="185" fontId="266" fillId="42" borderId="423" xfId="0" applyNumberFormat="1" applyFont="1" applyFill="1" applyBorder="1" applyAlignment="1" applyProtection="1">
      <alignment horizontal="center" vertical="center" wrapText="1"/>
      <protection locked="0"/>
    </xf>
    <xf numFmtId="173" fontId="266" fillId="36" borderId="424" xfId="0" applyFont="1" applyFill="1" applyBorder="1" applyAlignment="1" applyProtection="1">
      <alignment horizontal="left" vertical="center" wrapText="1" indent="1"/>
      <protection locked="0"/>
    </xf>
    <xf numFmtId="192" fontId="212" fillId="5" borderId="425" xfId="0" applyNumberFormat="1" applyFont="1" applyFill="1" applyBorder="1" applyAlignment="1" applyProtection="1">
      <alignment horizontal="center" vertical="center"/>
      <protection hidden="1"/>
    </xf>
    <xf numFmtId="173" fontId="16" fillId="33" borderId="359" xfId="0" applyFont="1" applyFill="1" applyBorder="1" applyAlignment="1" applyProtection="1">
      <alignment horizontal="center" vertical="center"/>
      <protection hidden="1"/>
    </xf>
    <xf numFmtId="173" fontId="57" fillId="0" borderId="173" xfId="0" applyFont="1" applyFill="1" applyBorder="1" applyAlignment="1" applyProtection="1">
      <alignment horizontal="left" vertical="center" indent="1"/>
      <protection hidden="1"/>
    </xf>
    <xf numFmtId="197" fontId="277" fillId="0" borderId="267" xfId="0" applyNumberFormat="1" applyFont="1" applyFill="1" applyBorder="1" applyAlignment="1" applyProtection="1">
      <alignment horizontal="center" vertical="center"/>
      <protection locked="0"/>
    </xf>
    <xf numFmtId="169" fontId="234" fillId="0" borderId="427" xfId="0" applyNumberFormat="1" applyFont="1" applyFill="1" applyBorder="1" applyAlignment="1" applyProtection="1">
      <alignment horizontal="center" vertical="center"/>
      <protection hidden="1"/>
    </xf>
    <xf numFmtId="200" fontId="234" fillId="0" borderId="267" xfId="0" applyNumberFormat="1" applyFont="1" applyFill="1" applyBorder="1" applyAlignment="1" applyProtection="1">
      <alignment horizontal="center" vertical="center"/>
      <protection locked="0"/>
    </xf>
    <xf numFmtId="176" fontId="57" fillId="0" borderId="178" xfId="0" applyNumberFormat="1" applyFont="1" applyFill="1" applyBorder="1" applyAlignment="1" applyProtection="1">
      <alignment horizontal="left" vertical="center" indent="1"/>
      <protection hidden="1"/>
    </xf>
    <xf numFmtId="169" fontId="234" fillId="0" borderId="295" xfId="0" applyNumberFormat="1" applyFont="1" applyFill="1" applyBorder="1" applyAlignment="1" applyProtection="1">
      <alignment horizontal="center" vertical="center"/>
      <protection locked="0"/>
    </xf>
    <xf numFmtId="173" fontId="16" fillId="33" borderId="194" xfId="0" applyFont="1" applyFill="1" applyBorder="1" applyAlignment="1" applyProtection="1">
      <alignment horizontal="center" vertical="center" wrapText="1"/>
      <protection hidden="1"/>
    </xf>
    <xf numFmtId="3" fontId="17" fillId="25" borderId="111" xfId="0" applyNumberFormat="1" applyFont="1" applyFill="1" applyBorder="1" applyAlignment="1" applyProtection="1">
      <alignment horizontal="right" vertical="center" indent="1"/>
      <protection hidden="1"/>
    </xf>
    <xf numFmtId="173" fontId="16" fillId="49" borderId="192" xfId="0" applyFont="1" applyFill="1" applyBorder="1" applyAlignment="1" applyProtection="1">
      <alignment horizontal="center"/>
      <protection hidden="1"/>
    </xf>
    <xf numFmtId="173" fontId="16" fillId="49" borderId="433" xfId="0" applyFont="1" applyFill="1" applyBorder="1" applyAlignment="1" applyProtection="1">
      <alignment horizontal="center"/>
      <protection hidden="1"/>
    </xf>
    <xf numFmtId="173" fontId="233" fillId="0" borderId="243" xfId="0" applyFont="1" applyBorder="1" applyAlignment="1" applyProtection="1">
      <alignment horizontal="left" vertical="center" indent="1"/>
      <protection hidden="1"/>
    </xf>
    <xf numFmtId="174" fontId="284" fillId="49" borderId="365" xfId="0" applyNumberFormat="1" applyFont="1" applyFill="1" applyBorder="1" applyAlignment="1" applyProtection="1">
      <alignment horizontal="center" vertical="top"/>
      <protection hidden="1"/>
    </xf>
    <xf numFmtId="174" fontId="284" fillId="49" borderId="434" xfId="0" applyNumberFormat="1" applyFont="1" applyFill="1" applyBorder="1" applyAlignment="1" applyProtection="1">
      <alignment horizontal="center" vertical="top"/>
      <protection hidden="1"/>
    </xf>
    <xf numFmtId="173" fontId="233" fillId="0" borderId="294" xfId="0" applyFont="1" applyBorder="1" applyAlignment="1" applyProtection="1">
      <alignment horizontal="left" vertical="center" indent="1"/>
      <protection hidden="1"/>
    </xf>
    <xf numFmtId="1" fontId="157" fillId="0" borderId="137" xfId="0" applyNumberFormat="1" applyFont="1" applyBorder="1" applyAlignment="1" applyProtection="1">
      <alignment horizontal="center" vertical="center"/>
      <protection hidden="1"/>
    </xf>
    <xf numFmtId="181" fontId="15" fillId="0" borderId="137" xfId="0" applyNumberFormat="1" applyFont="1" applyBorder="1" applyAlignment="1" applyProtection="1">
      <alignment horizontal="right" vertical="center"/>
      <protection hidden="1"/>
    </xf>
    <xf numFmtId="181" fontId="15" fillId="0" borderId="244" xfId="0" applyNumberFormat="1" applyFont="1" applyBorder="1" applyAlignment="1" applyProtection="1">
      <alignment horizontal="right" vertical="center"/>
      <protection hidden="1"/>
    </xf>
    <xf numFmtId="181" fontId="15" fillId="0" borderId="274" xfId="0" applyNumberFormat="1" applyFont="1" applyBorder="1" applyAlignment="1" applyProtection="1">
      <alignment horizontal="right" vertical="center"/>
      <protection hidden="1"/>
    </xf>
    <xf numFmtId="181" fontId="15" fillId="0" borderId="138" xfId="0" applyNumberFormat="1" applyFont="1" applyBorder="1" applyAlignment="1" applyProtection="1">
      <alignment horizontal="right" vertical="center"/>
      <protection hidden="1"/>
    </xf>
    <xf numFmtId="178" fontId="15" fillId="55" borderId="244" xfId="0" applyNumberFormat="1" applyFont="1" applyFill="1" applyBorder="1" applyAlignment="1" applyProtection="1">
      <alignment vertical="center"/>
      <protection hidden="1"/>
    </xf>
    <xf numFmtId="173" fontId="16" fillId="49" borderId="261" xfId="0" applyFont="1" applyFill="1" applyBorder="1" applyAlignment="1" applyProtection="1">
      <alignment horizontal="center" vertical="center"/>
      <protection hidden="1"/>
    </xf>
    <xf numFmtId="173" fontId="273" fillId="0" borderId="213" xfId="0" applyFont="1" applyFill="1" applyBorder="1" applyAlignment="1" applyProtection="1">
      <alignment horizontal="left" vertical="center"/>
      <protection hidden="1"/>
    </xf>
    <xf numFmtId="178" fontId="15" fillId="0" borderId="137" xfId="0" applyNumberFormat="1" applyFont="1" applyFill="1" applyBorder="1" applyAlignment="1" applyProtection="1">
      <alignment vertical="center"/>
      <protection hidden="1"/>
    </xf>
    <xf numFmtId="178" fontId="15" fillId="0" borderId="244" xfId="0" applyNumberFormat="1" applyFont="1" applyFill="1" applyBorder="1" applyAlignment="1" applyProtection="1">
      <alignment vertical="center"/>
      <protection hidden="1"/>
    </xf>
    <xf numFmtId="178" fontId="15" fillId="0" borderId="338" xfId="0" applyNumberFormat="1" applyFont="1" applyFill="1" applyBorder="1" applyAlignment="1" applyProtection="1">
      <alignment vertical="center"/>
      <protection hidden="1"/>
    </xf>
    <xf numFmtId="178" fontId="17" fillId="25" borderId="334" xfId="0" applyNumberFormat="1" applyFont="1" applyFill="1" applyBorder="1" applyAlignment="1" applyProtection="1">
      <alignment vertical="center"/>
      <protection hidden="1"/>
    </xf>
    <xf numFmtId="178" fontId="201" fillId="34" borderId="365" xfId="0" applyNumberFormat="1" applyFont="1" applyFill="1" applyBorder="1" applyAlignment="1" applyProtection="1">
      <alignment vertical="center"/>
      <protection hidden="1"/>
    </xf>
    <xf numFmtId="178" fontId="201" fillId="34" borderId="434" xfId="0" applyNumberFormat="1" applyFont="1" applyFill="1" applyBorder="1" applyAlignment="1" applyProtection="1">
      <alignment vertical="center"/>
      <protection hidden="1"/>
    </xf>
    <xf numFmtId="173" fontId="16" fillId="33" borderId="428" xfId="0" applyFont="1" applyFill="1" applyBorder="1" applyAlignment="1" applyProtection="1">
      <alignment horizontal="center" vertical="top"/>
      <protection hidden="1"/>
    </xf>
    <xf numFmtId="173" fontId="16" fillId="33" borderId="302" xfId="0" applyFont="1" applyFill="1" applyBorder="1" applyAlignment="1" applyProtection="1">
      <alignment horizontal="center" vertical="top"/>
      <protection hidden="1"/>
    </xf>
    <xf numFmtId="3" fontId="64" fillId="0" borderId="0" xfId="0" applyNumberFormat="1" applyFont="1" applyFill="1" applyBorder="1" applyAlignment="1">
      <alignment vertical="center"/>
    </xf>
    <xf numFmtId="167" fontId="19" fillId="0" borderId="177" xfId="0" applyNumberFormat="1" applyFont="1" applyFill="1" applyBorder="1" applyAlignment="1" applyProtection="1">
      <alignment vertical="center"/>
      <protection locked="0"/>
    </xf>
    <xf numFmtId="167" fontId="340" fillId="0" borderId="385" xfId="56" applyNumberFormat="1" applyFont="1" applyFill="1" applyBorder="1" applyAlignment="1" applyProtection="1">
      <alignment vertical="center"/>
      <protection locked="0"/>
    </xf>
    <xf numFmtId="167" fontId="341" fillId="0" borderId="176" xfId="0" applyNumberFormat="1" applyFont="1" applyFill="1" applyBorder="1" applyAlignment="1" applyProtection="1">
      <alignment vertical="center"/>
      <protection locked="0"/>
    </xf>
    <xf numFmtId="167" fontId="341" fillId="0" borderId="177" xfId="0" applyNumberFormat="1" applyFont="1" applyFill="1" applyBorder="1" applyAlignment="1" applyProtection="1">
      <alignment vertical="center"/>
      <protection locked="0"/>
    </xf>
    <xf numFmtId="167" fontId="352" fillId="25" borderId="184" xfId="0" applyNumberFormat="1" applyFont="1" applyFill="1" applyBorder="1" applyAlignment="1" applyProtection="1">
      <alignment vertical="center"/>
      <protection hidden="1"/>
    </xf>
    <xf numFmtId="167" fontId="352" fillId="25" borderId="437" xfId="0" applyNumberFormat="1" applyFont="1" applyFill="1" applyBorder="1" applyAlignment="1" applyProtection="1">
      <alignment vertical="center"/>
      <protection hidden="1"/>
    </xf>
    <xf numFmtId="3" fontId="15" fillId="0" borderId="0" xfId="0" applyNumberFormat="1" applyFont="1" applyBorder="1" applyAlignment="1">
      <alignment horizontal="right" vertical="center"/>
    </xf>
    <xf numFmtId="167" fontId="15" fillId="0" borderId="0" xfId="0" applyNumberFormat="1" applyFont="1" applyBorder="1" applyAlignment="1">
      <alignment vertical="center"/>
    </xf>
    <xf numFmtId="3" fontId="340" fillId="25" borderId="220" xfId="56" applyNumberFormat="1" applyFont="1" applyFill="1" applyBorder="1" applyAlignment="1" applyProtection="1">
      <alignment horizontal="left" vertical="center" indent="1"/>
      <protection hidden="1"/>
    </xf>
    <xf numFmtId="167" fontId="340" fillId="25" borderId="386" xfId="56" applyNumberFormat="1" applyFont="1" applyFill="1" applyBorder="1" applyAlignment="1" applyProtection="1">
      <alignment vertical="center"/>
      <protection hidden="1"/>
    </xf>
    <xf numFmtId="167" fontId="340" fillId="25" borderId="218" xfId="56" applyNumberFormat="1" applyFont="1" applyFill="1" applyBorder="1" applyAlignment="1" applyProtection="1">
      <alignment vertical="center"/>
      <protection hidden="1"/>
    </xf>
    <xf numFmtId="167" fontId="64" fillId="25" borderId="184" xfId="0" applyNumberFormat="1" applyFont="1" applyFill="1" applyBorder="1" applyAlignment="1" applyProtection="1">
      <alignment vertical="center"/>
      <protection hidden="1"/>
    </xf>
    <xf numFmtId="167" fontId="64" fillId="25" borderId="334" xfId="0" applyNumberFormat="1" applyFont="1" applyFill="1" applyBorder="1" applyAlignment="1" applyProtection="1">
      <alignment vertical="center"/>
      <protection hidden="1"/>
    </xf>
    <xf numFmtId="173" fontId="199" fillId="0" borderId="0" xfId="0" applyFont="1" applyBorder="1" applyAlignment="1">
      <alignment vertical="center"/>
    </xf>
    <xf numFmtId="3" fontId="199" fillId="0" borderId="0" xfId="0" applyNumberFormat="1" applyFont="1" applyBorder="1" applyAlignment="1">
      <alignment vertical="center"/>
    </xf>
    <xf numFmtId="173" fontId="199" fillId="0" borderId="1" xfId="0" applyFont="1" applyAlignment="1">
      <alignment vertical="center"/>
    </xf>
    <xf numFmtId="167" fontId="348" fillId="0" borderId="115" xfId="0" applyNumberFormat="1" applyFont="1" applyFill="1" applyBorder="1" applyAlignment="1" applyProtection="1">
      <alignment vertical="center"/>
      <protection hidden="1"/>
    </xf>
    <xf numFmtId="167" fontId="348" fillId="0" borderId="220" xfId="0" applyNumberFormat="1" applyFont="1" applyFill="1" applyBorder="1" applyAlignment="1" applyProtection="1">
      <alignment vertical="center"/>
      <protection hidden="1"/>
    </xf>
    <xf numFmtId="167" fontId="241" fillId="55" borderId="386" xfId="0" applyNumberFormat="1" applyFont="1" applyFill="1" applyBorder="1" applyAlignment="1" applyProtection="1">
      <alignment vertical="center"/>
      <protection hidden="1"/>
    </xf>
    <xf numFmtId="167" fontId="248" fillId="25" borderId="436" xfId="0" applyNumberFormat="1" applyFont="1" applyFill="1" applyBorder="1" applyAlignment="1">
      <alignment vertical="center"/>
    </xf>
    <xf numFmtId="167" fontId="248" fillId="25" borderId="436" xfId="0" applyNumberFormat="1" applyFont="1" applyFill="1" applyBorder="1" applyAlignment="1" applyProtection="1">
      <alignment vertical="center"/>
      <protection hidden="1"/>
    </xf>
    <xf numFmtId="167" fontId="248" fillId="25" borderId="298" xfId="0" applyNumberFormat="1" applyFont="1" applyFill="1" applyBorder="1" applyAlignment="1" applyProtection="1">
      <alignment vertical="center"/>
      <protection hidden="1"/>
    </xf>
    <xf numFmtId="167" fontId="341" fillId="0" borderId="0" xfId="0" applyNumberFormat="1" applyFont="1" applyBorder="1" applyAlignment="1" applyProtection="1">
      <alignment vertical="center"/>
      <protection hidden="1"/>
    </xf>
    <xf numFmtId="167" fontId="341" fillId="0" borderId="0" xfId="0" applyNumberFormat="1" applyFont="1" applyFill="1" applyBorder="1" applyAlignment="1">
      <alignment vertical="center"/>
    </xf>
    <xf numFmtId="173" fontId="345" fillId="0" borderId="0" xfId="0" applyFont="1" applyFill="1" applyBorder="1" applyAlignment="1">
      <alignment vertical="center"/>
    </xf>
    <xf numFmtId="167" fontId="341" fillId="0" borderId="0" xfId="0" applyNumberFormat="1" applyFont="1" applyBorder="1" applyAlignment="1">
      <alignment vertical="center"/>
    </xf>
    <xf numFmtId="167" fontId="394" fillId="55" borderId="386" xfId="0" applyNumberFormat="1" applyFont="1" applyFill="1" applyBorder="1" applyAlignment="1" applyProtection="1">
      <alignment vertical="center"/>
      <protection hidden="1"/>
    </xf>
    <xf numFmtId="167" fontId="241" fillId="25" borderId="386" xfId="0" applyNumberFormat="1" applyFont="1" applyFill="1" applyBorder="1" applyAlignment="1" applyProtection="1">
      <alignment vertical="center"/>
      <protection hidden="1"/>
    </xf>
    <xf numFmtId="167" fontId="273" fillId="25" borderId="386" xfId="0" applyNumberFormat="1" applyFont="1" applyFill="1" applyBorder="1" applyAlignment="1" applyProtection="1">
      <alignment vertical="center"/>
      <protection hidden="1"/>
    </xf>
    <xf numFmtId="167" fontId="273" fillId="25" borderId="218" xfId="0" applyNumberFormat="1" applyFont="1" applyFill="1" applyBorder="1" applyAlignment="1" applyProtection="1">
      <alignment vertical="center"/>
      <protection hidden="1"/>
    </xf>
    <xf numFmtId="167" fontId="393" fillId="55" borderId="386" xfId="0" applyNumberFormat="1" applyFont="1" applyFill="1" applyBorder="1" applyAlignment="1" applyProtection="1">
      <alignment vertical="center"/>
      <protection hidden="1"/>
    </xf>
    <xf numFmtId="9" fontId="341" fillId="0" borderId="440" xfId="0" applyNumberFormat="1" applyFont="1" applyBorder="1" applyAlignment="1" applyProtection="1">
      <alignment horizontal="center" vertical="center"/>
      <protection hidden="1"/>
    </xf>
    <xf numFmtId="167" fontId="341" fillId="0" borderId="176" xfId="0" applyNumberFormat="1" applyFont="1" applyBorder="1" applyAlignment="1" applyProtection="1">
      <alignment vertical="center"/>
      <protection hidden="1"/>
    </xf>
    <xf numFmtId="167" fontId="341" fillId="0" borderId="244" xfId="0" applyNumberFormat="1" applyFont="1" applyBorder="1" applyAlignment="1" applyProtection="1">
      <alignment vertical="center"/>
      <protection hidden="1"/>
    </xf>
    <xf numFmtId="167" fontId="341" fillId="0" borderId="176" xfId="0" applyNumberFormat="1" applyFont="1" applyBorder="1" applyAlignment="1" applyProtection="1">
      <alignment vertical="center"/>
      <protection locked="0"/>
    </xf>
    <xf numFmtId="167" fontId="341" fillId="0" borderId="244" xfId="0" applyNumberFormat="1" applyFont="1" applyBorder="1" applyAlignment="1" applyProtection="1">
      <alignment vertical="center"/>
      <protection locked="0"/>
    </xf>
    <xf numFmtId="167" fontId="19" fillId="25" borderId="445" xfId="0" applyNumberFormat="1" applyFont="1" applyFill="1" applyBorder="1" applyAlignment="1" applyProtection="1">
      <alignment horizontal="right" vertical="center"/>
      <protection hidden="1"/>
    </xf>
    <xf numFmtId="9" fontId="19" fillId="0" borderId="440" xfId="0" applyNumberFormat="1" applyFont="1" applyBorder="1" applyAlignment="1" applyProtection="1">
      <alignment horizontal="left" vertical="center" indent="1"/>
      <protection hidden="1"/>
    </xf>
    <xf numFmtId="167" fontId="19" fillId="0" borderId="176" xfId="0" applyNumberFormat="1" applyFont="1" applyBorder="1" applyAlignment="1" applyProtection="1">
      <alignment vertical="center"/>
      <protection hidden="1"/>
    </xf>
    <xf numFmtId="167" fontId="19" fillId="0" borderId="244" xfId="0" applyNumberFormat="1" applyFont="1" applyBorder="1" applyAlignment="1" applyProtection="1">
      <alignment vertical="center"/>
      <protection hidden="1"/>
    </xf>
    <xf numFmtId="167" fontId="19" fillId="0" borderId="176" xfId="0" applyNumberFormat="1" applyFont="1" applyFill="1" applyBorder="1" applyAlignment="1" applyProtection="1">
      <alignment vertical="center"/>
      <protection locked="0"/>
    </xf>
    <xf numFmtId="167" fontId="19" fillId="0" borderId="244" xfId="0" applyNumberFormat="1" applyFont="1" applyFill="1" applyBorder="1" applyAlignment="1" applyProtection="1">
      <alignment vertical="center"/>
      <protection locked="0"/>
    </xf>
    <xf numFmtId="170" fontId="303" fillId="25" borderId="0" xfId="0" applyNumberFormat="1" applyFont="1" applyFill="1" applyBorder="1" applyAlignment="1" applyProtection="1">
      <alignment horizontal="left" vertical="center" indent="1"/>
      <protection locked="0"/>
    </xf>
    <xf numFmtId="9" fontId="303" fillId="25" borderId="439" xfId="0" applyNumberFormat="1" applyFont="1" applyFill="1" applyBorder="1" applyAlignment="1" applyProtection="1">
      <alignment horizontal="center" vertical="center"/>
      <protection hidden="1"/>
    </xf>
    <xf numFmtId="167" fontId="19" fillId="25" borderId="177" xfId="0" applyNumberFormat="1" applyFont="1" applyFill="1" applyBorder="1" applyAlignment="1" applyProtection="1">
      <alignment horizontal="right" vertical="center"/>
      <protection hidden="1"/>
    </xf>
    <xf numFmtId="167" fontId="19" fillId="25" borderId="137" xfId="0" applyNumberFormat="1" applyFont="1" applyFill="1" applyBorder="1" applyAlignment="1" applyProtection="1">
      <alignment horizontal="right" vertical="center"/>
      <protection hidden="1"/>
    </xf>
    <xf numFmtId="170" fontId="303" fillId="25" borderId="443" xfId="0" applyNumberFormat="1" applyFont="1" applyFill="1" applyBorder="1" applyAlignment="1" applyProtection="1">
      <alignment horizontal="left" vertical="center" indent="1"/>
      <protection locked="0"/>
    </xf>
    <xf numFmtId="9" fontId="303" fillId="25" borderId="444" xfId="0" applyNumberFormat="1" applyFont="1" applyFill="1" applyBorder="1" applyAlignment="1" applyProtection="1">
      <alignment horizontal="center" vertical="center"/>
      <protection hidden="1"/>
    </xf>
    <xf numFmtId="167" fontId="198" fillId="25" borderId="446" xfId="0" applyNumberFormat="1" applyFont="1" applyFill="1" applyBorder="1" applyAlignment="1" applyProtection="1">
      <alignment horizontal="right" vertical="center"/>
      <protection hidden="1"/>
    </xf>
    <xf numFmtId="173" fontId="198" fillId="25" borderId="443" xfId="0" applyFont="1" applyFill="1" applyBorder="1" applyAlignment="1">
      <alignment horizontal="left" vertical="center" indent="1"/>
    </xf>
    <xf numFmtId="9" fontId="19" fillId="25" borderId="444" xfId="0" applyNumberFormat="1" applyFont="1" applyFill="1" applyBorder="1" applyAlignment="1" applyProtection="1">
      <alignment horizontal="center" vertical="center"/>
      <protection hidden="1"/>
    </xf>
    <xf numFmtId="167" fontId="19" fillId="25" borderId="446" xfId="0" applyNumberFormat="1" applyFont="1" applyFill="1" applyBorder="1" applyAlignment="1" applyProtection="1">
      <alignment horizontal="right" vertical="center"/>
      <protection hidden="1"/>
    </xf>
    <xf numFmtId="173" fontId="19" fillId="25" borderId="443" xfId="0" applyFont="1" applyFill="1" applyBorder="1" applyAlignment="1">
      <alignment horizontal="left" vertical="center" indent="1"/>
    </xf>
    <xf numFmtId="173" fontId="19" fillId="25" borderId="0" xfId="0" applyFont="1" applyFill="1" applyBorder="1" applyAlignment="1" applyProtection="1">
      <alignment horizontal="left" vertical="center" indent="1"/>
      <protection locked="0"/>
    </xf>
    <xf numFmtId="9" fontId="19" fillId="25" borderId="441" xfId="0" applyNumberFormat="1" applyFont="1" applyFill="1" applyBorder="1" applyAlignment="1" applyProtection="1">
      <alignment horizontal="center" vertical="center"/>
      <protection locked="0"/>
    </xf>
    <xf numFmtId="167" fontId="19" fillId="25" borderId="177" xfId="0" applyNumberFormat="1" applyFont="1" applyFill="1" applyBorder="1" applyAlignment="1">
      <alignment horizontal="right" vertical="center"/>
    </xf>
    <xf numFmtId="167" fontId="19" fillId="25" borderId="137" xfId="0" applyNumberFormat="1" applyFont="1" applyFill="1" applyBorder="1" applyAlignment="1">
      <alignment horizontal="right" vertical="center"/>
    </xf>
    <xf numFmtId="170" fontId="341" fillId="25" borderId="0" xfId="0" applyNumberFormat="1" applyFont="1" applyFill="1" applyBorder="1" applyAlignment="1" applyProtection="1">
      <alignment horizontal="left" vertical="center" indent="1"/>
      <protection hidden="1"/>
    </xf>
    <xf numFmtId="9" fontId="341" fillId="25" borderId="439" xfId="0" applyNumberFormat="1" applyFont="1" applyFill="1" applyBorder="1" applyAlignment="1" applyProtection="1">
      <alignment horizontal="center" vertical="center"/>
      <protection locked="0" hidden="1"/>
    </xf>
    <xf numFmtId="167" fontId="341" fillId="25" borderId="177" xfId="0" applyNumberFormat="1" applyFont="1" applyFill="1" applyBorder="1" applyAlignment="1" applyProtection="1">
      <alignment vertical="center"/>
      <protection hidden="1"/>
    </xf>
    <xf numFmtId="167" fontId="341" fillId="25" borderId="137" xfId="0" applyNumberFormat="1" applyFont="1" applyFill="1" applyBorder="1" applyAlignment="1" applyProtection="1">
      <alignment vertical="center"/>
      <protection hidden="1"/>
    </xf>
    <xf numFmtId="170" fontId="341" fillId="25" borderId="443" xfId="0" applyNumberFormat="1" applyFont="1" applyFill="1" applyBorder="1" applyAlignment="1" applyProtection="1">
      <alignment horizontal="left" vertical="center" indent="1"/>
      <protection hidden="1"/>
    </xf>
    <xf numFmtId="9" fontId="341" fillId="25" borderId="444" xfId="0" applyNumberFormat="1" applyFont="1" applyFill="1" applyBorder="1" applyAlignment="1" applyProtection="1">
      <alignment horizontal="center" vertical="center"/>
      <protection locked="0" hidden="1"/>
    </xf>
    <xf numFmtId="167" fontId="341" fillId="25" borderId="445" xfId="0" applyNumberFormat="1" applyFont="1" applyFill="1" applyBorder="1" applyAlignment="1" applyProtection="1">
      <alignment vertical="center"/>
      <protection hidden="1"/>
    </xf>
    <xf numFmtId="167" fontId="341" fillId="25" borderId="446" xfId="0" applyNumberFormat="1" applyFont="1" applyFill="1" applyBorder="1" applyAlignment="1" applyProtection="1">
      <alignment vertical="center"/>
      <protection hidden="1"/>
    </xf>
    <xf numFmtId="173" fontId="341" fillId="25" borderId="443" xfId="0" applyFont="1" applyFill="1" applyBorder="1" applyAlignment="1" applyProtection="1">
      <alignment horizontal="left" vertical="center" indent="1"/>
      <protection hidden="1"/>
    </xf>
    <xf numFmtId="9" fontId="341" fillId="25" borderId="444" xfId="0" applyNumberFormat="1" applyFont="1" applyFill="1" applyBorder="1" applyAlignment="1" applyProtection="1">
      <alignment horizontal="center" vertical="center"/>
      <protection hidden="1"/>
    </xf>
    <xf numFmtId="173" fontId="341" fillId="25" borderId="0" xfId="0" applyFont="1" applyFill="1" applyBorder="1" applyAlignment="1" applyProtection="1">
      <alignment horizontal="left" vertical="center" indent="1"/>
      <protection locked="0"/>
    </xf>
    <xf numFmtId="9" fontId="341" fillId="25" borderId="441" xfId="0" applyNumberFormat="1" applyFont="1" applyFill="1" applyBorder="1" applyAlignment="1" applyProtection="1">
      <alignment horizontal="center" vertical="center"/>
      <protection locked="0"/>
    </xf>
    <xf numFmtId="167" fontId="341" fillId="25" borderId="177" xfId="0" applyNumberFormat="1" applyFont="1" applyFill="1" applyBorder="1" applyAlignment="1" applyProtection="1">
      <alignment vertical="center"/>
      <protection locked="0"/>
    </xf>
    <xf numFmtId="167" fontId="341" fillId="25" borderId="137" xfId="0" applyNumberFormat="1" applyFont="1" applyFill="1" applyBorder="1" applyAlignment="1" applyProtection="1">
      <alignment vertical="center"/>
      <protection locked="0"/>
    </xf>
    <xf numFmtId="167" fontId="16" fillId="31" borderId="368" xfId="0" applyNumberFormat="1" applyFont="1" applyFill="1" applyBorder="1" applyAlignment="1" applyProtection="1">
      <alignment horizontal="center" vertical="center" wrapText="1"/>
      <protection hidden="1"/>
    </xf>
    <xf numFmtId="167" fontId="233" fillId="0" borderId="448" xfId="0" applyNumberFormat="1" applyFont="1" applyBorder="1" applyAlignment="1" applyProtection="1">
      <alignment horizontal="center" vertical="center"/>
      <protection locked="0"/>
    </xf>
    <xf numFmtId="173" fontId="273" fillId="0" borderId="449" xfId="0" applyFont="1" applyBorder="1" applyAlignment="1" applyProtection="1">
      <alignment horizontal="center" vertical="center" shrinkToFit="1"/>
      <protection locked="0"/>
    </xf>
    <xf numFmtId="206" fontId="329" fillId="0" borderId="186" xfId="0" applyNumberFormat="1" applyFont="1" applyFill="1" applyBorder="1" applyAlignment="1" applyProtection="1">
      <alignment horizontal="right" vertical="center" indent="1"/>
      <protection locked="0"/>
    </xf>
    <xf numFmtId="167" fontId="233" fillId="0" borderId="125" xfId="0" applyNumberFormat="1" applyFont="1" applyBorder="1" applyAlignment="1" applyProtection="1">
      <alignment horizontal="center" vertical="center"/>
      <protection locked="0"/>
    </xf>
    <xf numFmtId="167" fontId="233" fillId="0" borderId="450" xfId="0" applyNumberFormat="1" applyFont="1" applyBorder="1" applyAlignment="1" applyProtection="1">
      <alignment horizontal="center" vertical="center"/>
      <protection locked="0"/>
    </xf>
    <xf numFmtId="167" fontId="233" fillId="0" borderId="451" xfId="0" applyNumberFormat="1" applyFont="1" applyBorder="1" applyAlignment="1" applyProtection="1">
      <alignment horizontal="center" vertical="center"/>
      <protection hidden="1"/>
    </xf>
    <xf numFmtId="167" fontId="233" fillId="0" borderId="452" xfId="0" applyNumberFormat="1" applyFont="1" applyBorder="1" applyAlignment="1" applyProtection="1">
      <alignment horizontal="center" vertical="center"/>
      <protection hidden="1"/>
    </xf>
    <xf numFmtId="167" fontId="233" fillId="0" borderId="451" xfId="0" applyNumberFormat="1" applyFont="1" applyBorder="1" applyAlignment="1" applyProtection="1">
      <alignment horizontal="center" vertical="center"/>
      <protection locked="0"/>
    </xf>
    <xf numFmtId="167" fontId="233" fillId="0" borderId="452" xfId="0" applyNumberFormat="1" applyFont="1" applyBorder="1" applyAlignment="1" applyProtection="1">
      <alignment horizontal="center" vertical="center"/>
      <protection locked="0"/>
    </xf>
    <xf numFmtId="173" fontId="19" fillId="0" borderId="80" xfId="0" applyFont="1" applyBorder="1" applyAlignment="1" applyProtection="1">
      <alignment horizontal="left" vertical="center"/>
      <protection locked="0"/>
    </xf>
    <xf numFmtId="173" fontId="19" fillId="0" borderId="451" xfId="0" applyFont="1" applyBorder="1" applyAlignment="1" applyProtection="1">
      <alignment horizontal="left" vertical="center"/>
      <protection locked="0"/>
    </xf>
    <xf numFmtId="173" fontId="19" fillId="0" borderId="81" xfId="0" applyFont="1" applyBorder="1" applyAlignment="1" applyProtection="1">
      <alignment horizontal="left" vertical="center"/>
      <protection locked="0"/>
    </xf>
    <xf numFmtId="173" fontId="273" fillId="0" borderId="453" xfId="0" applyFont="1" applyBorder="1" applyAlignment="1" applyProtection="1">
      <alignment horizontal="center" vertical="center" shrinkToFit="1"/>
      <protection locked="0"/>
    </xf>
    <xf numFmtId="167" fontId="233" fillId="0" borderId="194" xfId="0" applyNumberFormat="1" applyFont="1" applyBorder="1" applyAlignment="1" applyProtection="1">
      <alignment horizontal="center" vertical="center"/>
      <protection locked="0"/>
    </xf>
    <xf numFmtId="206" fontId="329" fillId="0" borderId="264" xfId="0" applyNumberFormat="1" applyFont="1" applyFill="1" applyBorder="1" applyAlignment="1" applyProtection="1">
      <alignment horizontal="right" vertical="center" indent="1"/>
      <protection locked="0"/>
    </xf>
    <xf numFmtId="167" fontId="233" fillId="0" borderId="189" xfId="0" applyNumberFormat="1" applyFont="1" applyBorder="1" applyAlignment="1" applyProtection="1">
      <alignment horizontal="center" vertical="center"/>
      <protection locked="0"/>
    </xf>
    <xf numFmtId="167" fontId="233" fillId="0" borderId="81" xfId="0" applyNumberFormat="1" applyFont="1" applyBorder="1" applyAlignment="1" applyProtection="1">
      <alignment horizontal="center" vertical="center"/>
      <protection hidden="1"/>
    </xf>
    <xf numFmtId="167" fontId="233" fillId="0" borderId="296" xfId="0" applyNumberFormat="1" applyFont="1" applyBorder="1" applyAlignment="1" applyProtection="1">
      <alignment horizontal="center" vertical="center"/>
      <protection hidden="1"/>
    </xf>
    <xf numFmtId="167" fontId="47" fillId="0" borderId="0" xfId="0" applyNumberFormat="1" applyFont="1" applyFill="1" applyBorder="1" applyAlignment="1" applyProtection="1">
      <protection hidden="1"/>
    </xf>
    <xf numFmtId="167" fontId="47" fillId="0" borderId="0" xfId="0" applyNumberFormat="1" applyFont="1" applyFill="1" applyBorder="1" applyAlignment="1" applyProtection="1">
      <alignment vertical="top"/>
      <protection hidden="1"/>
    </xf>
    <xf numFmtId="167" fontId="47" fillId="0" borderId="0" xfId="0" applyNumberFormat="1" applyFont="1" applyFill="1" applyBorder="1" applyAlignment="1" applyProtection="1">
      <alignment vertical="center"/>
      <protection hidden="1"/>
    </xf>
    <xf numFmtId="167" fontId="233" fillId="0" borderId="81" xfId="0" applyNumberFormat="1" applyFont="1" applyBorder="1" applyAlignment="1" applyProtection="1">
      <alignment horizontal="center" vertical="center"/>
      <protection locked="0"/>
    </xf>
    <xf numFmtId="167" fontId="233" fillId="0" borderId="296" xfId="0" applyNumberFormat="1" applyFont="1" applyBorder="1" applyAlignment="1" applyProtection="1">
      <alignment horizontal="center" vertical="center"/>
      <protection locked="0"/>
    </xf>
    <xf numFmtId="167" fontId="47" fillId="0" borderId="456" xfId="0" applyNumberFormat="1" applyFont="1" applyFill="1" applyBorder="1" applyAlignment="1" applyProtection="1">
      <protection locked="0"/>
    </xf>
    <xf numFmtId="173" fontId="273" fillId="0" borderId="458" xfId="0" applyFont="1" applyBorder="1" applyAlignment="1" applyProtection="1">
      <alignment horizontal="center" vertical="center" shrinkToFit="1"/>
      <protection locked="0"/>
    </xf>
    <xf numFmtId="206" fontId="329" fillId="0" borderId="162" xfId="0" applyNumberFormat="1" applyFont="1" applyFill="1" applyBorder="1" applyAlignment="1" applyProtection="1">
      <alignment horizontal="right" vertical="center" indent="1"/>
      <protection locked="0"/>
    </xf>
    <xf numFmtId="167" fontId="233" fillId="0" borderId="80" xfId="0" applyNumberFormat="1" applyFont="1" applyBorder="1" applyAlignment="1" applyProtection="1">
      <alignment horizontal="center" vertical="center"/>
      <protection hidden="1"/>
    </xf>
    <xf numFmtId="167" fontId="233" fillId="0" borderId="315" xfId="0" applyNumberFormat="1" applyFont="1" applyBorder="1" applyAlignment="1" applyProtection="1">
      <alignment horizontal="center" vertical="center"/>
      <protection hidden="1"/>
    </xf>
    <xf numFmtId="167" fontId="233" fillId="0" borderId="80" xfId="0" applyNumberFormat="1" applyFont="1" applyBorder="1" applyAlignment="1" applyProtection="1">
      <alignment horizontal="center" vertical="center"/>
      <protection locked="0"/>
    </xf>
    <xf numFmtId="167" fontId="233" fillId="0" borderId="315" xfId="0" applyNumberFormat="1" applyFont="1" applyBorder="1" applyAlignment="1" applyProtection="1">
      <alignment horizontal="center" vertical="center"/>
      <protection locked="0"/>
    </xf>
    <xf numFmtId="167" fontId="233" fillId="0" borderId="0" xfId="0" applyNumberFormat="1" applyFont="1" applyFill="1" applyBorder="1" applyAlignment="1" applyProtection="1">
      <alignment horizontal="center" vertical="center"/>
      <protection locked="0"/>
    </xf>
    <xf numFmtId="167" fontId="233" fillId="0" borderId="319" xfId="0" applyNumberFormat="1" applyFont="1" applyFill="1" applyBorder="1" applyAlignment="1" applyProtection="1">
      <alignment horizontal="center" vertical="center"/>
      <protection locked="0"/>
    </xf>
    <xf numFmtId="167" fontId="233" fillId="0" borderId="469" xfId="0" applyNumberFormat="1" applyFont="1" applyFill="1" applyBorder="1" applyAlignment="1" applyProtection="1">
      <alignment horizontal="center" vertical="center"/>
      <protection locked="0"/>
    </xf>
    <xf numFmtId="167" fontId="233" fillId="0" borderId="166" xfId="0" applyNumberFormat="1" applyFont="1" applyFill="1" applyBorder="1" applyAlignment="1" applyProtection="1">
      <alignment vertical="center"/>
      <protection locked="0"/>
    </xf>
    <xf numFmtId="167" fontId="233" fillId="0" borderId="104" xfId="0" applyNumberFormat="1" applyFont="1" applyFill="1" applyBorder="1" applyAlignment="1" applyProtection="1">
      <alignment horizontal="center" vertical="center"/>
      <protection locked="0"/>
    </xf>
    <xf numFmtId="167" fontId="233" fillId="0" borderId="132" xfId="0" applyNumberFormat="1" applyFont="1" applyFill="1" applyBorder="1" applyAlignment="1" applyProtection="1">
      <alignment horizontal="center" vertical="center"/>
      <protection hidden="1"/>
    </xf>
    <xf numFmtId="167" fontId="233" fillId="0" borderId="473" xfId="0" applyNumberFormat="1" applyFont="1" applyFill="1" applyBorder="1" applyAlignment="1" applyProtection="1">
      <alignment horizontal="center" vertical="center"/>
      <protection hidden="1"/>
    </xf>
    <xf numFmtId="167" fontId="233" fillId="0" borderId="470" xfId="0" applyNumberFormat="1" applyFont="1" applyFill="1" applyBorder="1" applyAlignment="1" applyProtection="1">
      <alignment horizontal="center" vertical="center"/>
      <protection hidden="1"/>
    </xf>
    <xf numFmtId="167" fontId="233" fillId="0" borderId="131" xfId="0" applyNumberFormat="1" applyFont="1" applyFill="1" applyBorder="1" applyAlignment="1" applyProtection="1">
      <alignment horizontal="center" vertical="center"/>
      <protection hidden="1"/>
    </xf>
    <xf numFmtId="167" fontId="397" fillId="0" borderId="396" xfId="0" applyNumberFormat="1" applyFont="1" applyFill="1" applyBorder="1" applyAlignment="1" applyProtection="1">
      <alignment horizontal="center" vertical="center"/>
      <protection locked="0"/>
    </xf>
    <xf numFmtId="167" fontId="397" fillId="0" borderId="474" xfId="0" applyNumberFormat="1" applyFont="1" applyFill="1" applyBorder="1" applyAlignment="1" applyProtection="1">
      <alignment horizontal="center" vertical="center"/>
      <protection locked="0"/>
    </xf>
    <xf numFmtId="167" fontId="397" fillId="0" borderId="471" xfId="0" applyNumberFormat="1" applyFont="1" applyFill="1" applyBorder="1" applyAlignment="1" applyProtection="1">
      <alignment horizontal="center" vertical="center"/>
      <protection locked="0"/>
    </xf>
    <xf numFmtId="167" fontId="397" fillId="0" borderId="467" xfId="0" applyNumberFormat="1" applyFont="1" applyFill="1" applyBorder="1" applyAlignment="1" applyProtection="1">
      <alignment horizontal="center" vertical="center"/>
      <protection locked="0"/>
    </xf>
    <xf numFmtId="167" fontId="233" fillId="0" borderId="173" xfId="0" applyNumberFormat="1" applyFont="1" applyFill="1" applyBorder="1" applyAlignment="1" applyProtection="1">
      <alignment horizontal="center" vertical="center"/>
      <protection locked="0"/>
    </xf>
    <xf numFmtId="167" fontId="233" fillId="0" borderId="475" xfId="0" applyNumberFormat="1" applyFont="1" applyFill="1" applyBorder="1" applyAlignment="1" applyProtection="1">
      <alignment horizontal="center" vertical="center"/>
      <protection locked="0"/>
    </xf>
    <xf numFmtId="167" fontId="233" fillId="0" borderId="472" xfId="0" applyNumberFormat="1" applyFont="1" applyFill="1" applyBorder="1" applyAlignment="1" applyProtection="1">
      <alignment horizontal="center" vertical="center"/>
      <protection locked="0"/>
    </xf>
    <xf numFmtId="167" fontId="233" fillId="0" borderId="457" xfId="0" applyNumberFormat="1" applyFont="1" applyFill="1" applyBorder="1" applyAlignment="1" applyProtection="1">
      <alignment vertical="center"/>
      <protection locked="0"/>
    </xf>
    <xf numFmtId="167" fontId="233" fillId="0" borderId="468" xfId="0" applyNumberFormat="1" applyFont="1" applyFill="1" applyBorder="1" applyAlignment="1" applyProtection="1">
      <alignment horizontal="center" vertical="center"/>
      <protection locked="0"/>
    </xf>
    <xf numFmtId="167" fontId="16" fillId="31" borderId="426" xfId="0" applyNumberFormat="1" applyFont="1" applyFill="1" applyBorder="1" applyAlignment="1" applyProtection="1">
      <alignment horizontal="right" vertical="center"/>
      <protection hidden="1"/>
    </xf>
    <xf numFmtId="167" fontId="16" fillId="15" borderId="358" xfId="0" applyNumberFormat="1" applyFont="1" applyFill="1" applyBorder="1" applyAlignment="1" applyProtection="1">
      <alignment horizontal="left" vertical="center"/>
      <protection hidden="1"/>
    </xf>
    <xf numFmtId="167" fontId="16" fillId="3" borderId="426" xfId="0" applyNumberFormat="1" applyFont="1" applyFill="1" applyBorder="1" applyAlignment="1" applyProtection="1">
      <alignment horizontal="right" vertical="center"/>
      <protection hidden="1"/>
    </xf>
    <xf numFmtId="167" fontId="16" fillId="3" borderId="476" xfId="0" applyNumberFormat="1" applyFont="1" applyFill="1" applyBorder="1" applyAlignment="1" applyProtection="1">
      <alignment vertical="center"/>
      <protection hidden="1"/>
    </xf>
    <xf numFmtId="167" fontId="16" fillId="3" borderId="477" xfId="0" applyNumberFormat="1" applyFont="1" applyFill="1" applyBorder="1" applyAlignment="1" applyProtection="1">
      <alignment horizontal="right" vertical="center"/>
      <protection hidden="1"/>
    </xf>
    <xf numFmtId="167" fontId="16" fillId="3" borderId="129" xfId="0" applyNumberFormat="1" applyFont="1" applyFill="1" applyBorder="1" applyAlignment="1" applyProtection="1">
      <alignment vertical="center"/>
      <protection hidden="1"/>
    </xf>
    <xf numFmtId="167" fontId="16" fillId="3" borderId="303" xfId="0" applyNumberFormat="1" applyFont="1" applyFill="1" applyBorder="1" applyAlignment="1" applyProtection="1">
      <alignment horizontal="right" vertical="center"/>
      <protection hidden="1"/>
    </xf>
    <xf numFmtId="167" fontId="16" fillId="3" borderId="300" xfId="0" applyNumberFormat="1" applyFont="1" applyFill="1" applyBorder="1" applyAlignment="1" applyProtection="1">
      <alignment vertical="center"/>
      <protection hidden="1"/>
    </xf>
    <xf numFmtId="167" fontId="57" fillId="0" borderId="464" xfId="0" applyNumberFormat="1" applyFont="1" applyBorder="1" applyAlignment="1" applyProtection="1">
      <alignment horizontal="center" vertical="center"/>
      <protection locked="0"/>
    </xf>
    <xf numFmtId="167" fontId="57" fillId="0" borderId="315" xfId="0" applyNumberFormat="1" applyFont="1" applyBorder="1" applyAlignment="1" applyProtection="1">
      <alignment horizontal="center" vertical="center"/>
      <protection locked="0"/>
    </xf>
    <xf numFmtId="167" fontId="57" fillId="0" borderId="482" xfId="0" applyNumberFormat="1" applyFont="1" applyBorder="1" applyAlignment="1" applyProtection="1">
      <alignment horizontal="center" vertical="center"/>
      <protection locked="0"/>
    </xf>
    <xf numFmtId="167" fontId="57" fillId="0" borderId="452" xfId="0" applyNumberFormat="1" applyFont="1" applyBorder="1" applyAlignment="1" applyProtection="1">
      <alignment horizontal="center" vertical="center"/>
      <protection locked="0"/>
    </xf>
    <xf numFmtId="167" fontId="248" fillId="25" borderId="438" xfId="0" applyNumberFormat="1" applyFont="1" applyFill="1" applyBorder="1" applyAlignment="1" applyProtection="1">
      <alignment horizontal="center" vertical="center"/>
      <protection hidden="1"/>
    </xf>
    <xf numFmtId="167" fontId="248" fillId="25" borderId="437" xfId="0" applyNumberFormat="1" applyFont="1" applyFill="1" applyBorder="1" applyAlignment="1" applyProtection="1">
      <alignment horizontal="center" vertical="center"/>
      <protection hidden="1"/>
    </xf>
    <xf numFmtId="167" fontId="16" fillId="49" borderId="18" xfId="0" applyNumberFormat="1" applyFont="1" applyFill="1" applyBorder="1" applyAlignment="1" applyProtection="1">
      <alignment horizontal="center"/>
      <protection hidden="1"/>
    </xf>
    <xf numFmtId="173" fontId="16" fillId="49" borderId="384" xfId="0" quotePrefix="1" applyFont="1" applyFill="1" applyBorder="1" applyAlignment="1" applyProtection="1">
      <alignment vertical="center"/>
      <protection hidden="1"/>
    </xf>
    <xf numFmtId="167" fontId="16" fillId="31" borderId="488" xfId="0" applyNumberFormat="1" applyFont="1" applyFill="1" applyBorder="1" applyAlignment="1" applyProtection="1">
      <alignment horizontal="center" vertical="center"/>
      <protection hidden="1"/>
    </xf>
    <xf numFmtId="167" fontId="16" fillId="10" borderId="428" xfId="0" applyNumberFormat="1" applyFont="1" applyFill="1" applyBorder="1" applyAlignment="1" applyProtection="1">
      <alignment horizontal="center" vertical="center"/>
      <protection hidden="1"/>
    </xf>
    <xf numFmtId="167" fontId="16" fillId="10" borderId="434" xfId="0" applyNumberFormat="1" applyFont="1" applyFill="1" applyBorder="1" applyAlignment="1" applyProtection="1">
      <alignment horizontal="center" vertical="center"/>
      <protection hidden="1"/>
    </xf>
    <xf numFmtId="167" fontId="16" fillId="10" borderId="81" xfId="0" applyNumberFormat="1" applyFont="1" applyFill="1" applyBorder="1" applyAlignment="1" applyProtection="1">
      <alignment horizontal="center" vertical="center"/>
      <protection hidden="1"/>
    </xf>
    <xf numFmtId="167" fontId="16" fillId="10" borderId="489" xfId="0" applyNumberFormat="1" applyFont="1" applyFill="1" applyBorder="1" applyAlignment="1" applyProtection="1">
      <alignment horizontal="center" vertical="center"/>
      <protection hidden="1"/>
    </xf>
    <xf numFmtId="167" fontId="16" fillId="10" borderId="407" xfId="0" applyNumberFormat="1" applyFont="1" applyFill="1" applyBorder="1" applyAlignment="1" applyProtection="1">
      <alignment horizontal="center" vertical="center"/>
      <protection hidden="1"/>
    </xf>
    <xf numFmtId="167" fontId="16" fillId="35" borderId="493" xfId="0" applyNumberFormat="1" applyFont="1" applyFill="1" applyBorder="1" applyAlignment="1" applyProtection="1">
      <alignment horizontal="center" wrapText="1"/>
      <protection hidden="1"/>
    </xf>
    <xf numFmtId="167" fontId="16" fillId="35" borderId="461" xfId="0" applyNumberFormat="1" applyFont="1" applyFill="1" applyBorder="1" applyAlignment="1" applyProtection="1">
      <alignment horizontal="center" vertical="top" wrapText="1"/>
      <protection hidden="1"/>
    </xf>
    <xf numFmtId="167" fontId="16" fillId="35" borderId="194" xfId="0" applyNumberFormat="1" applyFont="1" applyFill="1" applyBorder="1" applyAlignment="1" applyProtection="1">
      <alignment horizontal="center" vertical="center"/>
      <protection hidden="1"/>
    </xf>
    <xf numFmtId="167" fontId="16" fillId="35" borderId="489" xfId="0" applyNumberFormat="1" applyFont="1" applyFill="1" applyBorder="1" applyAlignment="1" applyProtection="1">
      <alignment horizontal="center" vertical="center"/>
      <protection hidden="1"/>
    </xf>
    <xf numFmtId="173" fontId="273" fillId="0" borderId="496" xfId="0" applyFont="1" applyFill="1" applyBorder="1" applyAlignment="1">
      <alignment horizontal="left" vertical="center" wrapText="1" indent="1"/>
    </xf>
    <xf numFmtId="173" fontId="331" fillId="0" borderId="498" xfId="0" applyFont="1" applyFill="1" applyBorder="1" applyAlignment="1">
      <alignment horizontal="left" vertical="center" wrapText="1" indent="1"/>
    </xf>
    <xf numFmtId="0" fontId="201" fillId="49" borderId="160" xfId="32" applyFont="1" applyFill="1" applyBorder="1" applyAlignment="1" applyProtection="1">
      <alignment horizontal="center"/>
      <protection hidden="1"/>
    </xf>
    <xf numFmtId="174" fontId="53" fillId="49" borderId="267" xfId="0" applyNumberFormat="1" applyFont="1" applyFill="1" applyBorder="1" applyAlignment="1" applyProtection="1">
      <alignment horizontal="center" vertical="top"/>
      <protection hidden="1"/>
    </xf>
    <xf numFmtId="173" fontId="16" fillId="34" borderId="275" xfId="0" applyFont="1" applyFill="1" applyBorder="1" applyAlignment="1" applyProtection="1">
      <alignment horizontal="center" vertical="center"/>
      <protection hidden="1"/>
    </xf>
    <xf numFmtId="169" fontId="40" fillId="34" borderId="351" xfId="0" applyNumberFormat="1" applyFont="1" applyFill="1" applyBorder="1" applyAlignment="1" applyProtection="1">
      <alignment horizontal="center" vertical="center"/>
      <protection hidden="1"/>
    </xf>
    <xf numFmtId="173" fontId="17" fillId="0" borderId="0" xfId="0" applyFont="1" applyFill="1" applyBorder="1" applyAlignment="1" applyProtection="1">
      <alignment horizontal="center"/>
    </xf>
    <xf numFmtId="173" fontId="17" fillId="0" borderId="0" xfId="0" applyFont="1" applyFill="1" applyBorder="1" applyAlignment="1" applyProtection="1">
      <alignment horizontal="left"/>
    </xf>
    <xf numFmtId="173" fontId="17" fillId="2" borderId="0" xfId="0" applyFont="1" applyFill="1" applyBorder="1" applyAlignment="1" applyProtection="1">
      <alignment horizontal="center"/>
      <protection locked="0"/>
    </xf>
    <xf numFmtId="167" fontId="41" fillId="9" borderId="112" xfId="0" applyNumberFormat="1" applyFont="1" applyFill="1" applyBorder="1" applyAlignment="1" applyProtection="1">
      <alignment horizontal="center" vertical="center"/>
      <protection hidden="1"/>
    </xf>
    <xf numFmtId="169" fontId="87" fillId="9" borderId="507" xfId="0" applyNumberFormat="1" applyFont="1" applyFill="1" applyBorder="1" applyAlignment="1" applyProtection="1">
      <alignment horizontal="center" vertical="center"/>
      <protection hidden="1"/>
    </xf>
    <xf numFmtId="167" fontId="41" fillId="9" borderId="508" xfId="0" applyNumberFormat="1" applyFont="1" applyFill="1" applyBorder="1" applyAlignment="1" applyProtection="1">
      <alignment horizontal="center" vertical="center"/>
      <protection hidden="1"/>
    </xf>
    <xf numFmtId="167" fontId="41" fillId="9" borderId="327" xfId="0" applyNumberFormat="1" applyFont="1" applyFill="1" applyBorder="1" applyAlignment="1" applyProtection="1">
      <alignment horizontal="center" vertical="center"/>
      <protection hidden="1"/>
    </xf>
    <xf numFmtId="167" fontId="45" fillId="9" borderId="112" xfId="0" applyNumberFormat="1" applyFont="1" applyFill="1" applyBorder="1" applyAlignment="1" applyProtection="1">
      <alignment vertical="center"/>
      <protection hidden="1"/>
    </xf>
    <xf numFmtId="9" fontId="45" fillId="9" borderId="507" xfId="0" applyNumberFormat="1" applyFont="1" applyFill="1" applyBorder="1" applyAlignment="1" applyProtection="1">
      <alignment horizontal="center" vertical="center"/>
      <protection hidden="1"/>
    </xf>
    <xf numFmtId="167" fontId="45" fillId="9" borderId="279" xfId="0" applyNumberFormat="1" applyFont="1" applyFill="1" applyBorder="1" applyAlignment="1" applyProtection="1">
      <alignment vertical="center"/>
      <protection hidden="1"/>
    </xf>
    <xf numFmtId="167" fontId="45" fillId="9" borderId="183" xfId="0" applyNumberFormat="1" applyFont="1" applyFill="1" applyBorder="1" applyAlignment="1" applyProtection="1">
      <alignment vertical="center"/>
      <protection hidden="1"/>
    </xf>
    <xf numFmtId="167" fontId="45" fillId="9" borderId="261" xfId="0" applyNumberFormat="1" applyFont="1" applyFill="1" applyBorder="1" applyAlignment="1" applyProtection="1">
      <alignment vertical="center"/>
      <protection hidden="1"/>
    </xf>
    <xf numFmtId="173" fontId="15" fillId="0" borderId="145" xfId="0" applyFont="1" applyBorder="1" applyAlignment="1" applyProtection="1">
      <alignment horizontal="left" vertical="center" indent="1"/>
      <protection locked="0"/>
    </xf>
    <xf numFmtId="173" fontId="15" fillId="0" borderId="81" xfId="0" applyFont="1" applyBorder="1" applyAlignment="1" applyProtection="1">
      <alignment horizontal="left" vertical="center" indent="1"/>
      <protection locked="0"/>
    </xf>
    <xf numFmtId="173" fontId="15" fillId="0" borderId="80" xfId="0" applyFont="1" applyBorder="1" applyAlignment="1" applyProtection="1">
      <alignment horizontal="left" vertical="center" indent="1"/>
      <protection locked="0"/>
    </xf>
    <xf numFmtId="173" fontId="209" fillId="38" borderId="510" xfId="0" applyFont="1" applyFill="1" applyBorder="1" applyAlignment="1" applyProtection="1">
      <alignment horizontal="center" vertical="center" wrapText="1"/>
      <protection hidden="1"/>
    </xf>
    <xf numFmtId="0" fontId="204" fillId="35" borderId="261" xfId="0" applyNumberFormat="1" applyFont="1" applyFill="1" applyBorder="1" applyAlignment="1" applyProtection="1">
      <alignment horizontal="center" vertical="center"/>
      <protection locked="0"/>
    </xf>
    <xf numFmtId="167" fontId="273" fillId="0" borderId="312" xfId="0" applyNumberFormat="1" applyFont="1" applyBorder="1" applyAlignment="1" applyProtection="1">
      <alignment horizontal="right" vertical="center"/>
      <protection locked="0"/>
    </xf>
    <xf numFmtId="167" fontId="273" fillId="0" borderId="80" xfId="0" applyNumberFormat="1" applyFont="1" applyBorder="1" applyAlignment="1" applyProtection="1">
      <alignment horizontal="right" vertical="center"/>
      <protection locked="0"/>
    </xf>
    <xf numFmtId="165" fontId="22" fillId="0" borderId="513" xfId="0" applyNumberFormat="1" applyFont="1" applyFill="1" applyBorder="1" applyAlignment="1" applyProtection="1">
      <alignment horizontal="center" vertical="center"/>
      <protection locked="0"/>
    </xf>
    <xf numFmtId="0" fontId="212" fillId="0" borderId="103" xfId="0" applyNumberFormat="1" applyFont="1" applyBorder="1" applyAlignment="1" applyProtection="1">
      <alignment horizontal="center" vertical="center"/>
      <protection hidden="1"/>
    </xf>
    <xf numFmtId="0" fontId="221" fillId="0" borderId="0" xfId="0" applyNumberFormat="1" applyFont="1" applyFill="1" applyBorder="1" applyAlignment="1" applyProtection="1">
      <alignment horizontal="centerContinuous" vertical="center"/>
      <protection hidden="1"/>
    </xf>
    <xf numFmtId="173" fontId="221" fillId="33" borderId="374" xfId="0" applyFont="1" applyFill="1" applyBorder="1" applyAlignment="1" applyProtection="1">
      <alignment horizontal="left" vertical="center" indent="1"/>
      <protection hidden="1"/>
    </xf>
    <xf numFmtId="10" fontId="221" fillId="33" borderId="514" xfId="0" applyNumberFormat="1" applyFont="1" applyFill="1" applyBorder="1" applyAlignment="1" applyProtection="1">
      <alignment horizontal="center" vertical="center"/>
      <protection locked="0"/>
    </xf>
    <xf numFmtId="173" fontId="221" fillId="33" borderId="80" xfId="0" applyFont="1" applyFill="1" applyBorder="1" applyAlignment="1" applyProtection="1">
      <alignment horizontal="left" vertical="center" indent="1"/>
      <protection hidden="1"/>
    </xf>
    <xf numFmtId="174" fontId="221" fillId="33" borderId="514" xfId="0" applyNumberFormat="1" applyFont="1" applyFill="1" applyBorder="1" applyAlignment="1" applyProtection="1">
      <alignment horizontal="centerContinuous" vertical="center"/>
      <protection locked="0"/>
    </xf>
    <xf numFmtId="202" fontId="221" fillId="33" borderId="515" xfId="29" applyNumberFormat="1" applyFont="1" applyFill="1" applyBorder="1" applyAlignment="1" applyProtection="1">
      <alignment horizontal="center" vertical="center"/>
      <protection hidden="1"/>
    </xf>
    <xf numFmtId="0" fontId="229" fillId="0" borderId="145" xfId="0" applyNumberFormat="1" applyFont="1" applyBorder="1" applyAlignment="1" applyProtection="1">
      <alignment horizontal="center" vertical="center"/>
      <protection locked="0"/>
    </xf>
    <xf numFmtId="0" fontId="229" fillId="0" borderId="335" xfId="0" applyNumberFormat="1" applyFont="1" applyBorder="1" applyAlignment="1" applyProtection="1">
      <alignment horizontal="center" vertical="center"/>
      <protection locked="0"/>
    </xf>
    <xf numFmtId="0" fontId="229" fillId="0" borderId="275" xfId="0" applyNumberFormat="1" applyFont="1" applyBorder="1" applyAlignment="1" applyProtection="1">
      <alignment horizontal="center" vertical="center"/>
      <protection locked="0"/>
    </xf>
    <xf numFmtId="184" fontId="200" fillId="0" borderId="174" xfId="0" applyNumberFormat="1" applyFont="1" applyBorder="1" applyAlignment="1" applyProtection="1">
      <alignment vertical="center"/>
      <protection hidden="1"/>
    </xf>
    <xf numFmtId="184" fontId="200" fillId="0" borderId="173" xfId="0" applyNumberFormat="1" applyFont="1" applyBorder="1" applyAlignment="1" applyProtection="1">
      <alignment vertical="center"/>
      <protection hidden="1"/>
    </xf>
    <xf numFmtId="184" fontId="200" fillId="0" borderId="186" xfId="0" applyNumberFormat="1" applyFont="1" applyBorder="1" applyAlignment="1" applyProtection="1">
      <alignment vertical="center"/>
      <protection hidden="1"/>
    </xf>
    <xf numFmtId="184" fontId="200" fillId="0" borderId="163" xfId="0" applyNumberFormat="1" applyFont="1" applyBorder="1" applyAlignment="1" applyProtection="1">
      <alignment vertical="center"/>
      <protection hidden="1"/>
    </xf>
    <xf numFmtId="184" fontId="200" fillId="0" borderId="264" xfId="0" applyNumberFormat="1" applyFont="1" applyBorder="1" applyAlignment="1" applyProtection="1">
      <alignment vertical="center"/>
      <protection hidden="1"/>
    </xf>
    <xf numFmtId="0" fontId="229" fillId="0" borderId="213" xfId="0" applyNumberFormat="1" applyFont="1" applyBorder="1" applyAlignment="1" applyProtection="1">
      <alignment horizontal="center" vertical="center"/>
      <protection locked="0"/>
    </xf>
    <xf numFmtId="184" fontId="200" fillId="0" borderId="295" xfId="0" applyNumberFormat="1" applyFont="1" applyBorder="1" applyAlignment="1" applyProtection="1">
      <alignment vertical="center"/>
      <protection hidden="1"/>
    </xf>
    <xf numFmtId="184" fontId="200" fillId="0" borderId="126" xfId="0" applyNumberFormat="1" applyFont="1" applyBorder="1" applyAlignment="1" applyProtection="1">
      <alignment vertical="center"/>
      <protection hidden="1"/>
    </xf>
    <xf numFmtId="184" fontId="200" fillId="0" borderId="178" xfId="0" applyNumberFormat="1" applyFont="1" applyBorder="1" applyAlignment="1" applyProtection="1">
      <alignment vertical="center"/>
      <protection hidden="1"/>
    </xf>
    <xf numFmtId="173" fontId="221" fillId="33" borderId="516" xfId="0" applyFont="1" applyFill="1" applyBorder="1" applyAlignment="1" applyProtection="1">
      <alignment horizontal="center" vertical="center"/>
      <protection hidden="1"/>
    </xf>
    <xf numFmtId="173" fontId="221" fillId="33" borderId="517" xfId="0" applyFont="1" applyFill="1" applyBorder="1" applyAlignment="1" applyProtection="1">
      <alignment horizontal="center" vertical="center"/>
      <protection hidden="1"/>
    </xf>
    <xf numFmtId="173" fontId="221" fillId="33" borderId="409" xfId="0" applyFont="1" applyFill="1" applyBorder="1" applyAlignment="1" applyProtection="1">
      <alignment horizontal="center" vertical="center"/>
      <protection hidden="1"/>
    </xf>
    <xf numFmtId="173" fontId="221" fillId="33" borderId="518" xfId="0" applyFont="1" applyFill="1" applyBorder="1" applyAlignment="1" applyProtection="1">
      <alignment horizontal="center" vertical="center"/>
      <protection hidden="1"/>
    </xf>
    <xf numFmtId="173" fontId="221" fillId="33" borderId="519" xfId="0" applyFont="1" applyFill="1" applyBorder="1" applyAlignment="1" applyProtection="1">
      <alignment horizontal="center" vertical="center"/>
      <protection hidden="1"/>
    </xf>
    <xf numFmtId="0" fontId="201" fillId="0" borderId="103" xfId="0" applyNumberFormat="1" applyFont="1" applyBorder="1" applyAlignment="1" applyProtection="1">
      <alignment horizontal="center" vertical="center"/>
      <protection hidden="1"/>
    </xf>
    <xf numFmtId="0" fontId="229" fillId="0" borderId="186" xfId="0" applyNumberFormat="1" applyFont="1" applyBorder="1" applyAlignment="1" applyProtection="1">
      <alignment horizontal="center" vertical="center"/>
      <protection locked="0"/>
    </xf>
    <xf numFmtId="0" fontId="229" fillId="0" borderId="264" xfId="0" applyNumberFormat="1" applyFont="1" applyBorder="1" applyAlignment="1" applyProtection="1">
      <alignment horizontal="center" vertical="center"/>
      <protection locked="0"/>
    </xf>
    <xf numFmtId="4" fontId="200" fillId="25" borderId="0" xfId="0" applyNumberFormat="1" applyFont="1" applyFill="1" applyBorder="1" applyAlignment="1" applyProtection="1">
      <alignment vertical="center"/>
      <protection locked="0"/>
    </xf>
    <xf numFmtId="173" fontId="200" fillId="0" borderId="103" xfId="0" applyFont="1" applyBorder="1" applyAlignment="1" applyProtection="1">
      <protection locked="0"/>
    </xf>
    <xf numFmtId="173" fontId="201" fillId="29" borderId="304" xfId="0" applyFont="1" applyFill="1" applyBorder="1" applyAlignment="1" applyProtection="1">
      <alignment horizontal="center" vertical="center"/>
      <protection hidden="1"/>
    </xf>
    <xf numFmtId="10" fontId="201" fillId="39" borderId="520" xfId="0" applyNumberFormat="1" applyFont="1" applyFill="1" applyBorder="1" applyAlignment="1" applyProtection="1">
      <alignment horizontal="center" vertical="center"/>
      <protection hidden="1"/>
    </xf>
    <xf numFmtId="167" fontId="221" fillId="29" borderId="80" xfId="0" applyNumberFormat="1" applyFont="1" applyFill="1" applyBorder="1" applyAlignment="1" applyProtection="1">
      <alignment vertical="center"/>
      <protection hidden="1"/>
    </xf>
    <xf numFmtId="167" fontId="201" fillId="39" borderId="521" xfId="0" applyNumberFormat="1" applyFont="1" applyFill="1" applyBorder="1" applyAlignment="1" applyProtection="1">
      <alignment horizontal="right" vertical="center"/>
      <protection hidden="1"/>
    </xf>
    <xf numFmtId="171" fontId="221" fillId="29" borderId="145" xfId="0" applyNumberFormat="1" applyFont="1" applyFill="1" applyBorder="1" applyAlignment="1" applyProtection="1">
      <alignment horizontal="center" vertical="center"/>
      <protection hidden="1"/>
    </xf>
    <xf numFmtId="202" fontId="201" fillId="39" borderId="520" xfId="29" applyNumberFormat="1" applyFont="1" applyFill="1" applyBorder="1" applyAlignment="1" applyProtection="1">
      <alignment horizontal="center" vertical="center"/>
      <protection hidden="1"/>
    </xf>
    <xf numFmtId="10" fontId="221" fillId="29" borderId="80" xfId="0" applyNumberFormat="1" applyFont="1" applyFill="1" applyBorder="1" applyAlignment="1" applyProtection="1">
      <alignment horizontal="center" vertical="center"/>
      <protection hidden="1"/>
    </xf>
    <xf numFmtId="167" fontId="201" fillId="39" borderId="521" xfId="29" applyNumberFormat="1" applyFont="1" applyFill="1" applyBorder="1" applyAlignment="1" applyProtection="1">
      <alignment horizontal="right" vertical="center"/>
      <protection hidden="1"/>
    </xf>
    <xf numFmtId="173" fontId="221" fillId="29" borderId="516" xfId="0" applyFont="1" applyFill="1" applyBorder="1" applyAlignment="1" applyProtection="1">
      <alignment horizontal="center" vertical="center"/>
      <protection hidden="1"/>
    </xf>
    <xf numFmtId="173" fontId="221" fillId="29" borderId="517" xfId="0" applyFont="1" applyFill="1" applyBorder="1" applyAlignment="1" applyProtection="1">
      <alignment horizontal="center" vertical="center"/>
      <protection hidden="1"/>
    </xf>
    <xf numFmtId="173" fontId="221" fillId="29" borderId="409" xfId="0" applyFont="1" applyFill="1" applyBorder="1" applyAlignment="1" applyProtection="1">
      <alignment horizontal="center" vertical="center"/>
      <protection hidden="1"/>
    </xf>
    <xf numFmtId="173" fontId="221" fillId="29" borderId="518" xfId="0" applyFont="1" applyFill="1" applyBorder="1" applyAlignment="1" applyProtection="1">
      <alignment horizontal="center" vertical="center"/>
      <protection hidden="1"/>
    </xf>
    <xf numFmtId="173" fontId="221" fillId="60" borderId="350" xfId="0" applyFont="1" applyFill="1" applyBorder="1" applyAlignment="1" applyProtection="1">
      <alignment horizontal="center" vertical="center"/>
      <protection locked="0"/>
    </xf>
    <xf numFmtId="184" fontId="200" fillId="0" borderId="427" xfId="0" applyNumberFormat="1" applyFont="1" applyBorder="1" applyAlignment="1" applyProtection="1">
      <alignment vertical="center"/>
      <protection hidden="1"/>
    </xf>
    <xf numFmtId="4" fontId="200" fillId="25" borderId="137" xfId="0" applyNumberFormat="1" applyFont="1" applyFill="1" applyBorder="1" applyAlignment="1" applyProtection="1">
      <alignment vertical="center"/>
      <protection locked="0"/>
    </xf>
    <xf numFmtId="173" fontId="241" fillId="42" borderId="112" xfId="0" applyFont="1" applyFill="1" applyBorder="1" applyAlignment="1" applyProtection="1">
      <alignment horizontal="right" vertical="center" indent="1"/>
      <protection hidden="1"/>
    </xf>
    <xf numFmtId="184" fontId="217" fillId="42" borderId="111" xfId="0" applyNumberFormat="1" applyFont="1" applyFill="1" applyBorder="1" applyAlignment="1" applyProtection="1">
      <alignment vertical="center"/>
      <protection locked="0"/>
    </xf>
    <xf numFmtId="184" fontId="217" fillId="42" borderId="115" xfId="0" applyNumberFormat="1" applyFont="1" applyFill="1" applyBorder="1" applyAlignment="1" applyProtection="1">
      <alignment vertical="center"/>
      <protection locked="0"/>
    </xf>
    <xf numFmtId="184" fontId="217" fillId="42" borderId="113" xfId="0" applyNumberFormat="1" applyFont="1" applyFill="1" applyBorder="1" applyAlignment="1" applyProtection="1">
      <alignment vertical="center"/>
      <protection locked="0"/>
    </xf>
    <xf numFmtId="173" fontId="221" fillId="33" borderId="279" xfId="0" applyFont="1" applyFill="1" applyBorder="1" applyAlignment="1" applyProtection="1">
      <alignment horizontal="center" vertical="center"/>
      <protection hidden="1"/>
    </xf>
    <xf numFmtId="173" fontId="221" fillId="33" borderId="183" xfId="0" applyFont="1" applyFill="1" applyBorder="1" applyAlignment="1" applyProtection="1">
      <alignment horizontal="center" vertical="center"/>
      <protection hidden="1"/>
    </xf>
    <xf numFmtId="173" fontId="221" fillId="33" borderId="260" xfId="0" quotePrefix="1" applyFont="1" applyFill="1" applyBorder="1" applyAlignment="1" applyProtection="1">
      <alignment horizontal="center" vertical="center"/>
      <protection hidden="1"/>
    </xf>
    <xf numFmtId="173" fontId="221" fillId="33" borderId="522" xfId="0" applyFont="1" applyFill="1" applyBorder="1" applyAlignment="1" applyProtection="1">
      <alignment horizontal="center" vertical="center"/>
      <protection hidden="1"/>
    </xf>
    <xf numFmtId="173" fontId="221" fillId="33" borderId="261" xfId="0" applyFont="1" applyFill="1" applyBorder="1" applyAlignment="1" applyProtection="1">
      <alignment horizontal="center" vertical="center"/>
      <protection hidden="1"/>
    </xf>
    <xf numFmtId="0" fontId="229" fillId="0" borderId="80" xfId="0" applyNumberFormat="1" applyFont="1" applyFill="1" applyBorder="1" applyAlignment="1" applyProtection="1">
      <alignment horizontal="center" vertical="center"/>
      <protection locked="0"/>
    </xf>
    <xf numFmtId="0" fontId="229" fillId="0" borderId="145" xfId="0" applyNumberFormat="1" applyFont="1" applyFill="1" applyBorder="1" applyAlignment="1" applyProtection="1">
      <alignment horizontal="center" vertical="center"/>
      <protection locked="0"/>
    </xf>
    <xf numFmtId="0" fontId="229" fillId="0" borderId="145" xfId="0" applyNumberFormat="1" applyFont="1" applyFill="1" applyBorder="1" applyAlignment="1" applyProtection="1">
      <alignment horizontal="center" vertical="center"/>
      <protection hidden="1"/>
    </xf>
    <xf numFmtId="184" fontId="200" fillId="0" borderId="0" xfId="8" applyNumberFormat="1" applyFont="1" applyFill="1" applyBorder="1" applyAlignment="1" applyProtection="1">
      <alignment vertical="center"/>
      <protection hidden="1"/>
    </xf>
    <xf numFmtId="184" fontId="200" fillId="0" borderId="130" xfId="8" applyNumberFormat="1" applyFont="1" applyFill="1" applyBorder="1" applyAlignment="1" applyProtection="1">
      <alignment vertical="center"/>
      <protection hidden="1"/>
    </xf>
    <xf numFmtId="184" fontId="200" fillId="0" borderId="427" xfId="8" applyNumberFormat="1" applyFont="1" applyFill="1" applyBorder="1" applyAlignment="1" applyProtection="1">
      <alignment vertical="center"/>
      <protection hidden="1"/>
    </xf>
    <xf numFmtId="184" fontId="200" fillId="0" borderId="186" xfId="8" applyNumberFormat="1" applyFont="1" applyFill="1" applyBorder="1" applyAlignment="1" applyProtection="1">
      <alignment vertical="center"/>
      <protection hidden="1"/>
    </xf>
    <xf numFmtId="184" fontId="200" fillId="0" borderId="125" xfId="8" applyNumberFormat="1" applyFont="1" applyFill="1" applyBorder="1" applyAlignment="1" applyProtection="1">
      <alignment vertical="center"/>
      <protection hidden="1"/>
    </xf>
    <xf numFmtId="184" fontId="200" fillId="0" borderId="221" xfId="8" applyNumberFormat="1" applyFont="1" applyFill="1" applyBorder="1" applyAlignment="1" applyProtection="1">
      <alignment vertical="center"/>
      <protection hidden="1"/>
    </xf>
    <xf numFmtId="184" fontId="200" fillId="0" borderId="160" xfId="8" applyNumberFormat="1" applyFont="1" applyFill="1" applyBorder="1" applyAlignment="1" applyProtection="1">
      <alignment vertical="center"/>
      <protection hidden="1"/>
    </xf>
    <xf numFmtId="0" fontId="229" fillId="0" borderId="335" xfId="0" applyNumberFormat="1" applyFont="1" applyFill="1" applyBorder="1" applyAlignment="1" applyProtection="1">
      <alignment horizontal="center" vertical="center"/>
      <protection hidden="1"/>
    </xf>
    <xf numFmtId="184" fontId="200" fillId="0" borderId="163" xfId="8" applyNumberFormat="1" applyFont="1" applyFill="1" applyBorder="1" applyAlignment="1" applyProtection="1">
      <alignment vertical="center"/>
      <protection hidden="1"/>
    </xf>
    <xf numFmtId="184" fontId="200" fillId="0" borderId="132" xfId="8" applyNumberFormat="1" applyFont="1" applyFill="1" applyBorder="1" applyAlignment="1" applyProtection="1">
      <alignment vertical="center"/>
      <protection hidden="1"/>
    </xf>
    <xf numFmtId="184" fontId="200" fillId="0" borderId="222" xfId="8" applyNumberFormat="1" applyFont="1" applyFill="1" applyBorder="1" applyAlignment="1" applyProtection="1">
      <alignment vertical="center"/>
      <protection hidden="1"/>
    </xf>
    <xf numFmtId="184" fontId="241" fillId="25" borderId="112" xfId="0" applyNumberFormat="1" applyFont="1" applyFill="1" applyBorder="1" applyAlignment="1" applyProtection="1">
      <alignment horizontal="right" vertical="center" indent="1"/>
      <protection hidden="1"/>
    </xf>
    <xf numFmtId="184" fontId="217" fillId="25" borderId="111" xfId="0" applyNumberFormat="1" applyFont="1" applyFill="1" applyBorder="1" applyAlignment="1" applyProtection="1">
      <alignment vertical="center"/>
      <protection hidden="1"/>
    </xf>
    <xf numFmtId="184" fontId="217" fillId="33" borderId="111" xfId="0" applyNumberFormat="1" applyFont="1" applyFill="1" applyBorder="1" applyAlignment="1" applyProtection="1">
      <alignment vertical="center"/>
      <protection locked="0"/>
    </xf>
    <xf numFmtId="184" fontId="217" fillId="25" borderId="115" xfId="0" applyNumberFormat="1" applyFont="1" applyFill="1" applyBorder="1" applyAlignment="1" applyProtection="1">
      <alignment vertical="center"/>
      <protection hidden="1"/>
    </xf>
    <xf numFmtId="184" fontId="217" fillId="25" borderId="523" xfId="0" applyNumberFormat="1" applyFont="1" applyFill="1" applyBorder="1" applyAlignment="1" applyProtection="1">
      <alignment vertical="center"/>
      <protection hidden="1"/>
    </xf>
    <xf numFmtId="173" fontId="16" fillId="49" borderId="509" xfId="0" quotePrefix="1" applyFont="1" applyFill="1" applyBorder="1" applyAlignment="1" applyProtection="1">
      <alignment horizontal="center" vertical="center" wrapText="1"/>
      <protection hidden="1"/>
    </xf>
    <xf numFmtId="173" fontId="16" fillId="49" borderId="212" xfId="0" quotePrefix="1" applyFont="1" applyFill="1" applyBorder="1" applyAlignment="1" applyProtection="1">
      <alignment horizontal="center" vertical="center" wrapText="1"/>
      <protection hidden="1"/>
    </xf>
    <xf numFmtId="173" fontId="16" fillId="49" borderId="434" xfId="0" quotePrefix="1" applyFont="1" applyFill="1" applyBorder="1" applyAlignment="1" applyProtection="1">
      <alignment horizontal="center" vertical="center" wrapText="1"/>
      <protection hidden="1"/>
    </xf>
    <xf numFmtId="173" fontId="16" fillId="49" borderId="279" xfId="0" quotePrefix="1" applyFont="1" applyFill="1" applyBorder="1" applyAlignment="1" applyProtection="1">
      <alignment horizontal="center" vertical="center" wrapText="1"/>
      <protection hidden="1"/>
    </xf>
    <xf numFmtId="173" fontId="16" fillId="49" borderId="182" xfId="0" quotePrefix="1" applyFont="1" applyFill="1" applyBorder="1" applyAlignment="1" applyProtection="1">
      <alignment horizontal="center" vertical="center" wrapText="1"/>
      <protection hidden="1"/>
    </xf>
    <xf numFmtId="173" fontId="16" fillId="49" borderId="261" xfId="0" quotePrefix="1" applyFont="1" applyFill="1" applyBorder="1" applyAlignment="1" applyProtection="1">
      <alignment horizontal="center" vertical="center" wrapText="1"/>
      <protection hidden="1"/>
    </xf>
    <xf numFmtId="173" fontId="203" fillId="0" borderId="0" xfId="7" applyFont="1" applyFill="1" applyBorder="1" applyAlignment="1" applyProtection="1">
      <protection locked="0"/>
    </xf>
    <xf numFmtId="167" fontId="41" fillId="36" borderId="112" xfId="0" applyNumberFormat="1" applyFont="1" applyFill="1" applyBorder="1" applyAlignment="1" applyProtection="1">
      <alignment horizontal="center" vertical="center"/>
      <protection hidden="1"/>
    </xf>
    <xf numFmtId="167" fontId="41" fillId="36" borderId="183" xfId="0" applyNumberFormat="1" applyFont="1" applyFill="1" applyBorder="1" applyAlignment="1" applyProtection="1">
      <alignment horizontal="center" vertical="center"/>
      <protection hidden="1"/>
    </xf>
    <xf numFmtId="167" fontId="41" fillId="36" borderId="124" xfId="0" applyNumberFormat="1" applyFont="1" applyFill="1" applyBorder="1" applyAlignment="1" applyProtection="1">
      <alignment horizontal="center" vertical="center"/>
      <protection hidden="1"/>
    </xf>
    <xf numFmtId="9" fontId="232" fillId="25" borderId="80" xfId="0" applyNumberFormat="1" applyFont="1" applyFill="1" applyBorder="1" applyAlignment="1" applyProtection="1">
      <alignment horizontal="center" wrapText="1"/>
      <protection hidden="1"/>
    </xf>
    <xf numFmtId="173" fontId="232" fillId="25" borderId="81" xfId="0" applyFont="1" applyFill="1" applyBorder="1" applyAlignment="1" applyProtection="1">
      <alignment horizontal="center" vertical="top"/>
      <protection hidden="1"/>
    </xf>
    <xf numFmtId="9" fontId="232" fillId="25" borderId="137" xfId="0" applyNumberFormat="1" applyFont="1" applyFill="1" applyBorder="1" applyAlignment="1" applyProtection="1">
      <alignment horizontal="center" wrapText="1"/>
      <protection hidden="1"/>
    </xf>
    <xf numFmtId="173" fontId="232" fillId="25" borderId="138" xfId="0" applyFont="1" applyFill="1" applyBorder="1" applyAlignment="1" applyProtection="1">
      <alignment horizontal="center" vertical="top"/>
      <protection hidden="1"/>
    </xf>
    <xf numFmtId="167" fontId="16" fillId="49" borderId="342" xfId="0" applyNumberFormat="1" applyFont="1" applyFill="1" applyBorder="1" applyAlignment="1" applyProtection="1">
      <alignment horizontal="center" vertical="center"/>
      <protection hidden="1"/>
    </xf>
    <xf numFmtId="167" fontId="16" fillId="49" borderId="532" xfId="0" applyNumberFormat="1" applyFont="1" applyFill="1" applyBorder="1" applyAlignment="1" applyProtection="1">
      <alignment horizontal="center" vertical="center"/>
      <protection hidden="1"/>
    </xf>
    <xf numFmtId="167" fontId="16" fillId="49" borderId="354" xfId="0" applyNumberFormat="1" applyFont="1" applyFill="1" applyBorder="1" applyAlignment="1" applyProtection="1">
      <alignment horizontal="center" vertical="center"/>
      <protection hidden="1"/>
    </xf>
    <xf numFmtId="9" fontId="161" fillId="0" borderId="130" xfId="0" applyNumberFormat="1" applyFont="1" applyFill="1" applyBorder="1" applyAlignment="1" applyProtection="1">
      <alignment horizontal="center" vertical="center"/>
      <protection locked="0"/>
    </xf>
    <xf numFmtId="9" fontId="160" fillId="0" borderId="130" xfId="0" applyNumberFormat="1" applyFont="1" applyFill="1" applyBorder="1" applyAlignment="1" applyProtection="1">
      <alignment horizontal="center" vertical="center"/>
      <protection locked="0"/>
    </xf>
    <xf numFmtId="9" fontId="38" fillId="0" borderId="236" xfId="0" applyNumberFormat="1" applyFont="1" applyBorder="1" applyAlignment="1" applyProtection="1">
      <alignment horizontal="center" vertical="center"/>
      <protection hidden="1"/>
    </xf>
    <xf numFmtId="9" fontId="59" fillId="0" borderId="235" xfId="0" applyNumberFormat="1" applyFont="1" applyBorder="1" applyAlignment="1" applyProtection="1">
      <alignment horizontal="center" vertical="center"/>
      <protection hidden="1"/>
    </xf>
    <xf numFmtId="9" fontId="38" fillId="0" borderId="235" xfId="0" applyNumberFormat="1" applyFont="1" applyFill="1" applyBorder="1" applyAlignment="1" applyProtection="1">
      <alignment horizontal="center" vertical="center"/>
      <protection hidden="1"/>
    </xf>
    <xf numFmtId="3" fontId="204" fillId="36" borderId="539" xfId="0" applyNumberFormat="1" applyFont="1" applyFill="1" applyBorder="1" applyAlignment="1" applyProtection="1">
      <alignment horizontal="center" vertical="center"/>
      <protection hidden="1"/>
    </xf>
    <xf numFmtId="3" fontId="222" fillId="36" borderId="543" xfId="0" applyNumberFormat="1" applyFont="1" applyFill="1" applyBorder="1" applyAlignment="1" applyProtection="1">
      <alignment horizontal="center" vertical="center" wrapText="1"/>
      <protection hidden="1"/>
    </xf>
    <xf numFmtId="167" fontId="61" fillId="36" borderId="539" xfId="0" applyNumberFormat="1" applyFont="1" applyFill="1" applyBorder="1" applyAlignment="1" applyProtection="1">
      <alignment horizontal="center" vertical="center"/>
      <protection hidden="1"/>
    </xf>
    <xf numFmtId="167" fontId="61" fillId="36" borderId="544" xfId="0" applyNumberFormat="1" applyFont="1" applyFill="1" applyBorder="1" applyAlignment="1" applyProtection="1">
      <alignment horizontal="center" vertical="center"/>
      <protection hidden="1"/>
    </xf>
    <xf numFmtId="167" fontId="61" fillId="36" borderId="214" xfId="0" applyNumberFormat="1" applyFont="1" applyFill="1" applyBorder="1" applyAlignment="1" applyProtection="1">
      <alignment horizontal="center" vertical="center"/>
      <protection hidden="1"/>
    </xf>
    <xf numFmtId="3" fontId="204" fillId="36" borderId="300" xfId="0" applyNumberFormat="1" applyFont="1" applyFill="1" applyBorder="1" applyAlignment="1" applyProtection="1">
      <alignment horizontal="center" vertical="center"/>
      <protection hidden="1"/>
    </xf>
    <xf numFmtId="171" fontId="163" fillId="0" borderId="125" xfId="0" applyNumberFormat="1" applyFont="1" applyBorder="1" applyAlignment="1" applyProtection="1">
      <alignment horizontal="center" vertical="center"/>
      <protection locked="0"/>
    </xf>
    <xf numFmtId="176" fontId="163" fillId="0" borderId="441" xfId="0" applyNumberFormat="1" applyFont="1" applyBorder="1" applyAlignment="1" applyProtection="1">
      <alignment horizontal="center" vertical="center"/>
      <protection locked="0"/>
    </xf>
    <xf numFmtId="3" fontId="225" fillId="36" borderId="214" xfId="0" applyNumberFormat="1" applyFont="1" applyFill="1" applyBorder="1" applyAlignment="1" applyProtection="1">
      <alignment horizontal="center" vertical="center"/>
      <protection hidden="1"/>
    </xf>
    <xf numFmtId="171" fontId="163" fillId="0" borderId="221" xfId="0" applyNumberFormat="1" applyFont="1" applyBorder="1" applyAlignment="1" applyProtection="1">
      <alignment horizontal="center" vertical="center"/>
      <protection locked="0" hidden="1"/>
    </xf>
    <xf numFmtId="176" fontId="163" fillId="0" borderId="440" xfId="0" applyNumberFormat="1" applyFont="1" applyBorder="1" applyAlignment="1" applyProtection="1">
      <alignment horizontal="center" vertical="center"/>
      <protection locked="0" hidden="1"/>
    </xf>
    <xf numFmtId="171" fontId="163" fillId="0" borderId="221" xfId="0" applyNumberFormat="1" applyFont="1" applyBorder="1" applyAlignment="1" applyProtection="1">
      <alignment horizontal="center" vertical="center"/>
      <protection locked="0"/>
    </xf>
    <xf numFmtId="176" fontId="163" fillId="0" borderId="440" xfId="0" applyNumberFormat="1" applyFont="1" applyBorder="1" applyAlignment="1" applyProtection="1">
      <alignment horizontal="center" vertical="center"/>
      <protection locked="0"/>
    </xf>
    <xf numFmtId="3" fontId="222" fillId="36" borderId="558" xfId="0" applyNumberFormat="1" applyFont="1" applyFill="1" applyBorder="1" applyAlignment="1" applyProtection="1">
      <alignment horizontal="center" vertical="center" wrapText="1"/>
      <protection hidden="1"/>
    </xf>
    <xf numFmtId="10" fontId="168" fillId="0" borderId="236" xfId="0" applyNumberFormat="1" applyFont="1" applyFill="1" applyBorder="1" applyAlignment="1" applyProtection="1">
      <alignment horizontal="center" vertical="center"/>
      <protection locked="0"/>
    </xf>
    <xf numFmtId="10" fontId="168" fillId="0" borderId="235" xfId="0" applyNumberFormat="1" applyFont="1" applyFill="1" applyBorder="1" applyAlignment="1" applyProtection="1">
      <alignment horizontal="center" vertical="center"/>
      <protection locked="0"/>
    </xf>
    <xf numFmtId="167" fontId="45" fillId="36" borderId="279" xfId="0" applyNumberFormat="1" applyFont="1" applyFill="1" applyBorder="1" applyAlignment="1" applyProtection="1">
      <alignment vertical="center"/>
      <protection hidden="1"/>
    </xf>
    <xf numFmtId="167" fontId="45" fillId="36" borderId="183" xfId="0" applyNumberFormat="1" applyFont="1" applyFill="1" applyBorder="1" applyAlignment="1" applyProtection="1">
      <alignment vertical="center"/>
      <protection hidden="1"/>
    </xf>
    <xf numFmtId="167" fontId="45" fillId="36" borderId="261" xfId="0" applyNumberFormat="1" applyFont="1" applyFill="1" applyBorder="1" applyAlignment="1" applyProtection="1">
      <alignment vertical="center"/>
      <protection hidden="1"/>
    </xf>
    <xf numFmtId="167" fontId="45" fillId="36" borderId="112" xfId="0" applyNumberFormat="1" applyFont="1" applyFill="1" applyBorder="1" applyAlignment="1" applyProtection="1">
      <alignment vertical="center"/>
      <protection hidden="1"/>
    </xf>
    <xf numFmtId="9" fontId="45" fillId="36" borderId="113" xfId="0" applyNumberFormat="1" applyFont="1" applyFill="1" applyBorder="1" applyAlignment="1" applyProtection="1">
      <alignment horizontal="center" vertical="center"/>
      <protection hidden="1"/>
    </xf>
    <xf numFmtId="10" fontId="94" fillId="0" borderId="138" xfId="0" applyNumberFormat="1" applyFont="1" applyFill="1" applyBorder="1" applyAlignment="1" applyProtection="1">
      <alignment horizontal="center" vertical="center"/>
      <protection locked="0"/>
    </xf>
    <xf numFmtId="3" fontId="93" fillId="0" borderId="137" xfId="0" applyNumberFormat="1" applyFont="1" applyFill="1" applyBorder="1" applyAlignment="1" applyProtection="1">
      <alignment horizontal="right" vertical="center" indent="1"/>
      <protection locked="0"/>
    </xf>
    <xf numFmtId="3" fontId="220" fillId="36" borderId="219" xfId="0" applyNumberFormat="1" applyFont="1" applyFill="1" applyBorder="1" applyAlignment="1" applyProtection="1">
      <alignment horizontal="center" vertical="center" wrapText="1"/>
      <protection hidden="1"/>
    </xf>
    <xf numFmtId="3" fontId="199" fillId="36" borderId="510" xfId="0" applyNumberFormat="1" applyFont="1" applyFill="1" applyBorder="1" applyAlignment="1" applyProtection="1">
      <alignment horizontal="center" vertical="center"/>
      <protection hidden="1"/>
    </xf>
    <xf numFmtId="173" fontId="79" fillId="57" borderId="386" xfId="0" applyFont="1" applyFill="1" applyBorder="1" applyAlignment="1" applyProtection="1">
      <alignment horizontal="center" vertical="center"/>
      <protection hidden="1"/>
    </xf>
    <xf numFmtId="169" fontId="87" fillId="36" borderId="113" xfId="0" applyNumberFormat="1" applyFont="1" applyFill="1" applyBorder="1" applyAlignment="1" applyProtection="1">
      <alignment horizontal="center" vertical="center"/>
      <protection hidden="1"/>
    </xf>
    <xf numFmtId="10" fontId="94" fillId="0" borderId="244" xfId="0" applyNumberFormat="1" applyFont="1" applyFill="1" applyBorder="1" applyAlignment="1" applyProtection="1">
      <alignment horizontal="center" vertical="center"/>
      <protection locked="0"/>
    </xf>
    <xf numFmtId="173" fontId="0" fillId="0" borderId="0" xfId="0" applyBorder="1" applyAlignment="1">
      <alignment vertical="center"/>
    </xf>
    <xf numFmtId="173" fontId="123" fillId="11" borderId="0" xfId="0" applyFont="1" applyFill="1" applyBorder="1" applyAlignment="1" applyProtection="1">
      <alignment horizontal="left" indent="1"/>
      <protection hidden="1"/>
    </xf>
    <xf numFmtId="173" fontId="335" fillId="33" borderId="296" xfId="0" applyFont="1" applyFill="1" applyBorder="1" applyAlignment="1" applyProtection="1">
      <alignment horizontal="center" vertical="center" wrapText="1"/>
      <protection hidden="1"/>
    </xf>
    <xf numFmtId="3" fontId="201" fillId="67" borderId="541" xfId="0" applyNumberFormat="1" applyFont="1" applyFill="1" applyBorder="1" applyAlignment="1" applyProtection="1">
      <alignment horizontal="center" vertical="center" wrapText="1"/>
      <protection hidden="1"/>
    </xf>
    <xf numFmtId="3" fontId="201" fillId="65" borderId="542" xfId="0" applyNumberFormat="1" applyFont="1" applyFill="1" applyBorder="1" applyAlignment="1" applyProtection="1">
      <alignment horizontal="center" vertical="center" wrapText="1"/>
      <protection hidden="1"/>
    </xf>
    <xf numFmtId="167" fontId="17" fillId="54" borderId="435" xfId="0" applyNumberFormat="1" applyFont="1" applyFill="1" applyBorder="1" applyAlignment="1" applyProtection="1">
      <alignment vertical="center"/>
      <protection hidden="1"/>
    </xf>
    <xf numFmtId="167" fontId="17" fillId="54" borderId="124" xfId="0" applyNumberFormat="1" applyFont="1" applyFill="1" applyBorder="1" applyAlignment="1" applyProtection="1">
      <alignment vertical="center"/>
      <protection hidden="1"/>
    </xf>
    <xf numFmtId="173" fontId="0" fillId="0" borderId="0" xfId="0" applyBorder="1" applyAlignment="1" applyProtection="1">
      <alignment horizontal="left" vertical="center" indent="1"/>
      <protection locked="0"/>
    </xf>
    <xf numFmtId="173" fontId="19" fillId="0" borderId="0" xfId="0" applyFont="1" applyBorder="1" applyAlignment="1" applyProtection="1">
      <alignment horizontal="left" vertical="center" indent="1"/>
      <protection locked="0"/>
    </xf>
    <xf numFmtId="173" fontId="16" fillId="33" borderId="428" xfId="0" applyFont="1" applyFill="1" applyBorder="1" applyAlignment="1" applyProtection="1">
      <alignment horizontal="center" vertical="center"/>
      <protection hidden="1"/>
    </xf>
    <xf numFmtId="173" fontId="25" fillId="0" borderId="145" xfId="0" applyFont="1" applyBorder="1" applyAlignment="1" applyProtection="1">
      <alignment horizontal="left" vertical="center" indent="1"/>
      <protection hidden="1"/>
    </xf>
    <xf numFmtId="173" fontId="25" fillId="0" borderId="81" xfId="0" applyFont="1" applyBorder="1" applyAlignment="1" applyProtection="1">
      <alignment horizontal="left" vertical="center" indent="1"/>
      <protection hidden="1"/>
    </xf>
    <xf numFmtId="173" fontId="25" fillId="0" borderId="80" xfId="0" applyFont="1" applyBorder="1" applyAlignment="1" applyProtection="1">
      <alignment horizontal="left" vertical="center" indent="1"/>
      <protection hidden="1"/>
    </xf>
    <xf numFmtId="9" fontId="25" fillId="0" borderId="319" xfId="0" applyNumberFormat="1" applyFont="1" applyBorder="1" applyAlignment="1" applyProtection="1">
      <alignment horizontal="center" vertical="center"/>
      <protection locked="0"/>
    </xf>
    <xf numFmtId="9" fontId="25" fillId="0" borderId="328" xfId="0" applyNumberFormat="1" applyFont="1" applyBorder="1" applyAlignment="1" applyProtection="1">
      <alignment horizontal="center" vertical="center"/>
      <protection locked="0"/>
    </xf>
    <xf numFmtId="9" fontId="25" fillId="0" borderId="296" xfId="0" applyNumberFormat="1" applyFont="1" applyBorder="1" applyAlignment="1" applyProtection="1">
      <alignment horizontal="center" vertical="center"/>
      <protection locked="0"/>
    </xf>
    <xf numFmtId="185" fontId="25" fillId="30" borderId="124" xfId="0" applyNumberFormat="1" applyFont="1" applyFill="1" applyBorder="1" applyAlignment="1" applyProtection="1">
      <alignment horizontal="center" vertical="center"/>
      <protection locked="0"/>
    </xf>
    <xf numFmtId="9" fontId="30" fillId="42" borderId="564" xfId="0" applyNumberFormat="1" applyFont="1" applyFill="1" applyBorder="1" applyAlignment="1" applyProtection="1">
      <alignment horizontal="center" vertical="center"/>
      <protection hidden="1"/>
    </xf>
    <xf numFmtId="173" fontId="19" fillId="0" borderId="129" xfId="0" applyFont="1" applyBorder="1" applyProtection="1">
      <alignment horizontal="right"/>
      <protection locked="0"/>
    </xf>
    <xf numFmtId="3" fontId="64" fillId="4" borderId="80" xfId="0" applyNumberFormat="1" applyFont="1" applyFill="1" applyBorder="1" applyAlignment="1" applyProtection="1">
      <alignment horizontal="left" vertical="center"/>
      <protection hidden="1"/>
    </xf>
    <xf numFmtId="167" fontId="64" fillId="4" borderId="137" xfId="0" applyNumberFormat="1" applyFont="1" applyFill="1" applyBorder="1" applyAlignment="1" applyProtection="1">
      <alignment horizontal="right" vertical="center"/>
      <protection locked="0"/>
    </xf>
    <xf numFmtId="2" fontId="237" fillId="55" borderId="145" xfId="0" applyNumberFormat="1" applyFont="1" applyFill="1" applyBorder="1" applyAlignment="1" applyProtection="1">
      <alignment horizontal="left" vertical="center"/>
      <protection hidden="1"/>
    </xf>
    <xf numFmtId="0" fontId="237" fillId="55" borderId="244" xfId="0" applyNumberFormat="1" applyFont="1" applyFill="1" applyBorder="1" applyAlignment="1" applyProtection="1">
      <alignment horizontal="center" vertical="center"/>
      <protection locked="0"/>
    </xf>
    <xf numFmtId="173" fontId="16" fillId="49" borderId="539" xfId="0" applyFont="1" applyFill="1" applyBorder="1" applyAlignment="1" applyProtection="1">
      <alignment horizontal="center" vertical="top"/>
      <protection hidden="1"/>
    </xf>
    <xf numFmtId="177" fontId="377" fillId="24" borderId="214" xfId="0" applyNumberFormat="1" applyFont="1" applyFill="1" applyBorder="1" applyAlignment="1" applyProtection="1">
      <alignment horizontal="center" vertical="top"/>
      <protection hidden="1"/>
    </xf>
    <xf numFmtId="173" fontId="16" fillId="31" borderId="273" xfId="0" applyFont="1" applyFill="1" applyBorder="1" applyAlignment="1" applyProtection="1">
      <alignment horizontal="center" vertical="center"/>
      <protection hidden="1"/>
    </xf>
    <xf numFmtId="173" fontId="16" fillId="49" borderId="566" xfId="0" applyFont="1" applyFill="1" applyBorder="1" applyAlignment="1" applyProtection="1">
      <alignment horizontal="center" vertical="center"/>
      <protection hidden="1"/>
    </xf>
    <xf numFmtId="173" fontId="107" fillId="49" borderId="366" xfId="0" applyFont="1" applyFill="1" applyBorder="1" applyAlignment="1" applyProtection="1">
      <alignment horizontal="center" vertical="top"/>
      <protection hidden="1"/>
    </xf>
    <xf numFmtId="167" fontId="288" fillId="25" borderId="145" xfId="29" applyNumberFormat="1" applyFont="1" applyFill="1" applyBorder="1" applyAlignment="1" applyProtection="1">
      <alignment horizontal="right" vertical="center"/>
      <protection hidden="1"/>
    </xf>
    <xf numFmtId="169" fontId="288" fillId="25" borderId="235" xfId="29" applyNumberFormat="1" applyFont="1" applyFill="1" applyBorder="1" applyAlignment="1" applyProtection="1">
      <alignment horizontal="center" vertical="center"/>
      <protection hidden="1"/>
    </xf>
    <xf numFmtId="167" fontId="34" fillId="6" borderId="146" xfId="0" applyNumberFormat="1" applyFont="1" applyFill="1" applyBorder="1" applyAlignment="1" applyProtection="1">
      <alignment vertical="center"/>
      <protection hidden="1"/>
    </xf>
    <xf numFmtId="169" fontId="34" fillId="6" borderId="347" xfId="0" applyNumberFormat="1" applyFont="1" applyFill="1" applyBorder="1" applyAlignment="1" applyProtection="1">
      <alignment horizontal="center" vertical="center"/>
      <protection hidden="1"/>
    </xf>
    <xf numFmtId="167" fontId="34" fillId="6" borderId="146" xfId="0" applyNumberFormat="1" applyFont="1" applyFill="1" applyBorder="1" applyAlignment="1" applyProtection="1">
      <alignment horizontal="right" vertical="center"/>
      <protection hidden="1"/>
    </xf>
    <xf numFmtId="169" fontId="59" fillId="30" borderId="567" xfId="0" applyNumberFormat="1" applyFont="1" applyFill="1" applyBorder="1" applyAlignment="1" applyProtection="1">
      <alignment horizontal="center" vertical="center"/>
      <protection hidden="1"/>
    </xf>
    <xf numFmtId="173" fontId="268" fillId="33" borderId="267" xfId="6" applyFont="1" applyFill="1" applyBorder="1" applyAlignment="1" applyProtection="1">
      <alignment horizontal="center" vertical="center" wrapText="1"/>
      <protection hidden="1"/>
    </xf>
    <xf numFmtId="173" fontId="263" fillId="0" borderId="194" xfId="0" applyFont="1" applyFill="1" applyBorder="1" applyAlignment="1" applyProtection="1">
      <alignment horizontal="center"/>
      <protection locked="0"/>
    </xf>
    <xf numFmtId="181" fontId="265" fillId="0" borderId="194" xfId="0" applyNumberFormat="1" applyFont="1" applyBorder="1" applyAlignment="1" applyProtection="1">
      <alignment horizontal="left" vertical="center" wrapText="1" indent="1"/>
      <protection locked="0"/>
    </xf>
    <xf numFmtId="173" fontId="265" fillId="0" borderId="194" xfId="0" applyFont="1" applyBorder="1" applyAlignment="1" applyProtection="1">
      <alignment horizontal="left" vertical="center" wrapText="1" indent="1"/>
      <protection locked="0"/>
    </xf>
    <xf numFmtId="9" fontId="266" fillId="0" borderId="194" xfId="0" applyNumberFormat="1" applyFont="1" applyBorder="1" applyAlignment="1" applyProtection="1">
      <alignment horizontal="center" vertical="center" wrapText="1"/>
      <protection locked="0"/>
    </xf>
    <xf numFmtId="181" fontId="200" fillId="0" borderId="194" xfId="0" applyNumberFormat="1" applyFont="1" applyBorder="1" applyAlignment="1" applyProtection="1">
      <alignment vertical="center" wrapText="1"/>
      <protection locked="0"/>
    </xf>
    <xf numFmtId="173" fontId="267" fillId="0" borderId="194" xfId="0" applyFont="1" applyBorder="1" applyAlignment="1" applyProtection="1">
      <alignment horizontal="left" vertical="center" indent="1"/>
      <protection locked="0"/>
    </xf>
    <xf numFmtId="181" fontId="265" fillId="0" borderId="115" xfId="0" applyNumberFormat="1" applyFont="1" applyBorder="1" applyAlignment="1" applyProtection="1">
      <alignment horizontal="left" vertical="center" wrapText="1" indent="1"/>
      <protection locked="0"/>
    </xf>
    <xf numFmtId="173" fontId="265" fillId="0" borderId="115" xfId="0" applyFont="1" applyBorder="1" applyAlignment="1" applyProtection="1">
      <alignment horizontal="left" vertical="center" wrapText="1" indent="9"/>
      <protection locked="0"/>
    </xf>
    <xf numFmtId="1" fontId="157" fillId="0" borderId="436" xfId="0" applyNumberFormat="1" applyFont="1" applyBorder="1" applyAlignment="1" applyProtection="1">
      <alignment horizontal="center" vertical="center"/>
      <protection hidden="1"/>
    </xf>
    <xf numFmtId="181" fontId="15" fillId="0" borderId="398" xfId="0" applyNumberFormat="1" applyFont="1" applyBorder="1" applyAlignment="1" applyProtection="1">
      <alignment horizontal="right" vertical="center"/>
      <protection hidden="1"/>
    </xf>
    <xf numFmtId="181" fontId="15" fillId="0" borderId="176" xfId="0" applyNumberFormat="1" applyFont="1" applyBorder="1" applyAlignment="1" applyProtection="1">
      <alignment horizontal="right" vertical="center"/>
      <protection hidden="1"/>
    </xf>
    <xf numFmtId="181" fontId="15" fillId="0" borderId="177" xfId="0" applyNumberFormat="1" applyFont="1" applyBorder="1" applyAlignment="1" applyProtection="1">
      <alignment horizontal="right" vertical="center"/>
      <protection hidden="1"/>
    </xf>
    <xf numFmtId="181" fontId="15" fillId="0" borderId="570" xfId="0" applyNumberFormat="1" applyFont="1" applyBorder="1" applyAlignment="1" applyProtection="1">
      <alignment horizontal="right" vertical="center"/>
      <protection hidden="1"/>
    </xf>
    <xf numFmtId="181" fontId="15" fillId="0" borderId="266" xfId="0" applyNumberFormat="1" applyFont="1" applyBorder="1" applyAlignment="1" applyProtection="1">
      <alignment horizontal="right" vertical="center"/>
      <protection hidden="1"/>
    </xf>
    <xf numFmtId="173" fontId="248" fillId="0" borderId="0" xfId="0" applyFont="1" applyFill="1" applyBorder="1" applyAlignment="1" applyProtection="1">
      <alignment horizontal="right" vertical="center" indent="1"/>
      <protection hidden="1"/>
    </xf>
    <xf numFmtId="201" fontId="260" fillId="0" borderId="497" xfId="0" applyNumberFormat="1" applyFont="1" applyBorder="1" applyAlignment="1" applyProtection="1">
      <alignment horizontal="center" vertical="center"/>
      <protection locked="0"/>
    </xf>
    <xf numFmtId="201" fontId="57" fillId="0" borderId="268" xfId="0" applyNumberFormat="1" applyFont="1" applyFill="1" applyBorder="1" applyAlignment="1" applyProtection="1">
      <alignment horizontal="center" vertical="center"/>
      <protection locked="0"/>
    </xf>
    <xf numFmtId="173" fontId="16" fillId="33" borderId="571" xfId="0" applyFont="1" applyFill="1" applyBorder="1" applyAlignment="1" applyProtection="1">
      <alignment horizontal="center" vertical="center"/>
      <protection hidden="1"/>
    </xf>
    <xf numFmtId="173" fontId="16" fillId="33" borderId="266" xfId="0" applyFont="1" applyFill="1" applyBorder="1" applyAlignment="1" applyProtection="1">
      <alignment horizontal="center" vertical="center"/>
      <protection hidden="1"/>
    </xf>
    <xf numFmtId="173" fontId="45" fillId="33" borderId="366" xfId="0" applyFont="1" applyFill="1" applyBorder="1" applyAlignment="1" applyProtection="1">
      <alignment horizontal="center" vertical="top"/>
      <protection hidden="1"/>
    </xf>
    <xf numFmtId="178" fontId="15" fillId="0" borderId="385" xfId="0" applyNumberFormat="1" applyFont="1" applyFill="1" applyBorder="1" applyAlignment="1" applyProtection="1">
      <alignment vertical="center"/>
      <protection hidden="1"/>
    </xf>
    <xf numFmtId="178" fontId="15" fillId="0" borderId="176" xfId="0" applyNumberFormat="1" applyFont="1" applyFill="1" applyBorder="1" applyAlignment="1" applyProtection="1">
      <alignment vertical="center"/>
      <protection hidden="1"/>
    </xf>
    <xf numFmtId="178" fontId="15" fillId="55" borderId="399" xfId="0" applyNumberFormat="1" applyFont="1" applyFill="1" applyBorder="1" applyAlignment="1" applyProtection="1">
      <alignment vertical="center"/>
      <protection hidden="1"/>
    </xf>
    <xf numFmtId="178" fontId="15" fillId="55" borderId="177" xfId="0" applyNumberFormat="1" applyFont="1" applyFill="1" applyBorder="1" applyAlignment="1" applyProtection="1">
      <alignment vertical="center"/>
      <protection hidden="1"/>
    </xf>
    <xf numFmtId="178" fontId="15" fillId="0" borderId="399" xfId="0" applyNumberFormat="1" applyFont="1" applyFill="1" applyBorder="1" applyAlignment="1" applyProtection="1">
      <alignment vertical="center"/>
      <protection hidden="1"/>
    </xf>
    <xf numFmtId="178" fontId="17" fillId="25" borderId="184" xfId="0" applyNumberFormat="1" applyFont="1" applyFill="1" applyBorder="1" applyAlignment="1" applyProtection="1">
      <alignment vertical="center"/>
      <protection hidden="1"/>
    </xf>
    <xf numFmtId="178" fontId="15" fillId="55" borderId="385" xfId="0" applyNumberFormat="1" applyFont="1" applyFill="1" applyBorder="1" applyAlignment="1" applyProtection="1">
      <alignment vertical="center"/>
      <protection hidden="1"/>
    </xf>
    <xf numFmtId="178" fontId="15" fillId="55" borderId="574" xfId="0" applyNumberFormat="1" applyFont="1" applyFill="1" applyBorder="1" applyAlignment="1" applyProtection="1">
      <alignment vertical="center"/>
      <protection hidden="1"/>
    </xf>
    <xf numFmtId="177" fontId="57" fillId="0" borderId="0" xfId="0" applyNumberFormat="1" applyFont="1" applyBorder="1" applyAlignment="1">
      <alignment horizontal="center" vertical="center"/>
    </xf>
    <xf numFmtId="2" fontId="292" fillId="0" borderId="0" xfId="0" applyNumberFormat="1" applyFont="1" applyBorder="1" applyAlignment="1" applyProtection="1">
      <alignment horizontal="center" vertical="center"/>
      <protection locked="0"/>
    </xf>
    <xf numFmtId="2" fontId="292" fillId="0" borderId="0" xfId="0" applyNumberFormat="1" applyFont="1" applyBorder="1" applyAlignment="1">
      <alignment horizontal="center" vertical="center"/>
    </xf>
    <xf numFmtId="167" fontId="176" fillId="0" borderId="128" xfId="0" applyNumberFormat="1" applyFont="1" applyFill="1" applyBorder="1" applyAlignment="1" applyProtection="1">
      <alignment vertical="center"/>
      <protection hidden="1"/>
    </xf>
    <xf numFmtId="169" fontId="176" fillId="0" borderId="343" xfId="0" applyNumberFormat="1" applyFont="1" applyFill="1" applyBorder="1" applyAlignment="1" applyProtection="1">
      <alignment horizontal="center" vertical="center"/>
      <protection hidden="1"/>
    </xf>
    <xf numFmtId="167" fontId="233" fillId="0" borderId="128" xfId="0" applyNumberFormat="1" applyFont="1" applyFill="1" applyBorder="1" applyAlignment="1" applyProtection="1">
      <alignment vertical="center"/>
      <protection hidden="1"/>
    </xf>
    <xf numFmtId="188" fontId="233" fillId="0" borderId="300" xfId="0" applyNumberFormat="1" applyFont="1" applyFill="1" applyBorder="1" applyAlignment="1" applyProtection="1">
      <alignment vertical="center"/>
      <protection hidden="1"/>
    </xf>
    <xf numFmtId="167" fontId="233" fillId="0" borderId="255" xfId="0" applyNumberFormat="1" applyFont="1" applyFill="1" applyBorder="1" applyAlignment="1" applyProtection="1">
      <alignment vertical="center"/>
      <protection hidden="1"/>
    </xf>
    <xf numFmtId="167" fontId="233" fillId="0" borderId="217" xfId="0" applyNumberFormat="1" applyFont="1" applyFill="1" applyBorder="1" applyAlignment="1" applyProtection="1">
      <alignment vertical="center"/>
      <protection hidden="1"/>
    </xf>
    <xf numFmtId="173" fontId="241" fillId="0" borderId="80" xfId="0" applyFont="1" applyBorder="1" applyAlignment="1" applyProtection="1">
      <alignment horizontal="left" vertical="center"/>
      <protection hidden="1"/>
    </xf>
    <xf numFmtId="167" fontId="273" fillId="0" borderId="177" xfId="0" quotePrefix="1" applyNumberFormat="1" applyFont="1" applyBorder="1" applyAlignment="1" applyProtection="1">
      <alignment vertical="center"/>
      <protection locked="0"/>
    </xf>
    <xf numFmtId="167" fontId="273" fillId="0" borderId="137" xfId="0" applyNumberFormat="1" applyFont="1" applyFill="1" applyBorder="1" applyAlignment="1" applyProtection="1">
      <alignment vertical="center"/>
      <protection hidden="1"/>
    </xf>
    <xf numFmtId="173" fontId="273" fillId="0" borderId="145" xfId="0" applyFont="1" applyBorder="1" applyAlignment="1" applyProtection="1">
      <alignment vertical="center"/>
      <protection hidden="1"/>
    </xf>
    <xf numFmtId="167" fontId="273" fillId="0" borderId="176" xfId="0" quotePrefix="1" applyNumberFormat="1" applyFont="1" applyBorder="1" applyAlignment="1" applyProtection="1">
      <alignment vertical="center"/>
      <protection locked="0"/>
    </xf>
    <xf numFmtId="167" fontId="273" fillId="0" borderId="244" xfId="0" applyNumberFormat="1" applyFont="1" applyFill="1" applyBorder="1" applyAlignment="1" applyProtection="1">
      <alignment vertical="center"/>
      <protection locked="0" hidden="1"/>
    </xf>
    <xf numFmtId="167" fontId="273" fillId="0" borderId="176" xfId="0" quotePrefix="1" applyNumberFormat="1" applyFont="1" applyFill="1" applyBorder="1" applyAlignment="1" applyProtection="1">
      <alignment vertical="center"/>
      <protection locked="0"/>
    </xf>
    <xf numFmtId="167" fontId="241" fillId="0" borderId="80" xfId="0" applyNumberFormat="1" applyFont="1" applyFill="1" applyBorder="1" applyAlignment="1" applyProtection="1">
      <alignment vertical="center"/>
      <protection hidden="1"/>
    </xf>
    <xf numFmtId="167" fontId="273" fillId="0" borderId="145" xfId="0" applyNumberFormat="1" applyFont="1" applyFill="1" applyBorder="1" applyAlignment="1" applyProtection="1">
      <alignment vertical="center"/>
      <protection hidden="1"/>
    </xf>
    <xf numFmtId="167" fontId="273" fillId="0" borderId="145" xfId="0" quotePrefix="1" applyNumberFormat="1" applyFont="1" applyBorder="1" applyAlignment="1" applyProtection="1">
      <alignment vertical="center"/>
      <protection locked="0" hidden="1"/>
    </xf>
    <xf numFmtId="167" fontId="273" fillId="0" borderId="244" xfId="0" applyNumberFormat="1" applyFont="1" applyFill="1" applyBorder="1" applyAlignment="1" applyProtection="1">
      <alignment vertical="center"/>
      <protection locked="0"/>
    </xf>
    <xf numFmtId="167" fontId="273" fillId="0" borderId="244" xfId="0" quotePrefix="1" applyNumberFormat="1" applyFont="1" applyFill="1" applyBorder="1" applyAlignment="1" applyProtection="1">
      <alignment vertical="center"/>
      <protection locked="0"/>
    </xf>
    <xf numFmtId="167" fontId="273" fillId="0" borderId="244" xfId="0" quotePrefix="1" applyNumberFormat="1" applyFont="1" applyBorder="1" applyAlignment="1" applyProtection="1">
      <alignment vertical="center"/>
      <protection locked="0" hidden="1"/>
    </xf>
    <xf numFmtId="173" fontId="273" fillId="0" borderId="145" xfId="0" applyFont="1" applyBorder="1" applyAlignment="1" applyProtection="1">
      <alignment horizontal="left" vertical="center"/>
      <protection hidden="1"/>
    </xf>
    <xf numFmtId="173" fontId="273" fillId="0" borderId="145" xfId="0" applyFont="1" applyBorder="1" applyAlignment="1" applyProtection="1">
      <alignment horizontal="left" vertical="center"/>
      <protection locked="0"/>
    </xf>
    <xf numFmtId="167" fontId="248" fillId="0" borderId="80" xfId="0" applyNumberFormat="1" applyFont="1" applyFill="1" applyBorder="1" applyAlignment="1" applyProtection="1">
      <alignment vertical="center"/>
      <protection locked="0"/>
    </xf>
    <xf numFmtId="167" fontId="233" fillId="0" borderId="145" xfId="0" applyNumberFormat="1" applyFont="1" applyFill="1" applyBorder="1" applyAlignment="1" applyProtection="1">
      <alignment vertical="center"/>
      <protection locked="0"/>
    </xf>
    <xf numFmtId="167" fontId="233" fillId="0" borderId="145" xfId="0" applyNumberFormat="1" applyFont="1" applyFill="1" applyBorder="1" applyAlignment="1" applyProtection="1">
      <alignment vertical="center"/>
      <protection hidden="1"/>
    </xf>
    <xf numFmtId="167" fontId="248" fillId="0" borderId="80" xfId="0" applyNumberFormat="1" applyFont="1" applyFill="1" applyBorder="1" applyAlignment="1" applyProtection="1">
      <alignment vertical="center"/>
      <protection hidden="1"/>
    </xf>
    <xf numFmtId="167" fontId="233" fillId="0" borderId="145" xfId="0" quotePrefix="1" applyNumberFormat="1" applyFont="1" applyFill="1" applyBorder="1" applyAlignment="1" applyProtection="1">
      <alignment vertical="center"/>
      <protection hidden="1"/>
    </xf>
    <xf numFmtId="167" fontId="248" fillId="0" borderId="137" xfId="0" applyNumberFormat="1" applyFont="1" applyFill="1" applyBorder="1" applyAlignment="1" applyProtection="1">
      <alignment vertical="center"/>
      <protection locked="0"/>
    </xf>
    <xf numFmtId="167" fontId="233" fillId="0" borderId="244" xfId="0" applyNumberFormat="1" applyFont="1" applyFill="1" applyBorder="1" applyAlignment="1" applyProtection="1">
      <alignment vertical="center"/>
      <protection locked="0"/>
    </xf>
    <xf numFmtId="167" fontId="233" fillId="0" borderId="244" xfId="0" quotePrefix="1" applyNumberFormat="1" applyFont="1" applyFill="1" applyBorder="1" applyAlignment="1" applyProtection="1">
      <alignment vertical="center"/>
      <protection locked="0"/>
    </xf>
    <xf numFmtId="167" fontId="233" fillId="0" borderId="244" xfId="0" quotePrefix="1" applyNumberFormat="1" applyFont="1" applyBorder="1" applyAlignment="1" applyProtection="1">
      <alignment vertical="center"/>
      <protection hidden="1"/>
    </xf>
    <xf numFmtId="173" fontId="137" fillId="0" borderId="137" xfId="0" applyFont="1" applyFill="1" applyBorder="1" applyAlignment="1" applyProtection="1">
      <alignment horizontal="center" vertical="center"/>
      <protection locked="0" hidden="1"/>
    </xf>
    <xf numFmtId="173" fontId="137" fillId="0" borderId="244" xfId="0" applyFont="1" applyFill="1" applyBorder="1" applyAlignment="1" applyProtection="1">
      <alignment horizontal="center" vertical="center"/>
      <protection locked="0" hidden="1"/>
    </xf>
    <xf numFmtId="3" fontId="233" fillId="0" borderId="464" xfId="0" applyNumberFormat="1" applyFont="1" applyFill="1" applyBorder="1" applyAlignment="1" applyProtection="1">
      <alignment horizontal="right" vertical="center" indent="1"/>
      <protection locked="0"/>
    </xf>
    <xf numFmtId="3" fontId="233" fillId="0" borderId="560" xfId="0" applyNumberFormat="1" applyFont="1" applyFill="1" applyBorder="1" applyAlignment="1" applyProtection="1">
      <alignment horizontal="right" vertical="center" indent="1"/>
      <protection locked="0"/>
    </xf>
    <xf numFmtId="3" fontId="233" fillId="0" borderId="466" xfId="0" applyNumberFormat="1" applyFont="1" applyFill="1" applyBorder="1" applyAlignment="1" applyProtection="1">
      <alignment horizontal="right" vertical="center" indent="1"/>
      <protection locked="0"/>
    </xf>
    <xf numFmtId="167" fontId="342" fillId="26" borderId="111" xfId="0" applyNumberFormat="1" applyFont="1" applyFill="1" applyBorder="1" applyAlignment="1" applyProtection="1">
      <alignment vertical="center"/>
      <protection hidden="1"/>
    </xf>
    <xf numFmtId="173" fontId="359" fillId="0" borderId="0" xfId="0" quotePrefix="1" applyFont="1" applyBorder="1" applyAlignment="1" applyProtection="1">
      <alignment horizontal="left" vertical="center" indent="2"/>
      <protection hidden="1"/>
    </xf>
    <xf numFmtId="173" fontId="247" fillId="24" borderId="112" xfId="0" applyFont="1" applyFill="1" applyBorder="1" applyAlignment="1" applyProtection="1">
      <alignment horizontal="center" vertical="center"/>
      <protection hidden="1"/>
    </xf>
    <xf numFmtId="173" fontId="247" fillId="24" borderId="200" xfId="0" applyFont="1" applyFill="1" applyBorder="1" applyAlignment="1" applyProtection="1">
      <alignment horizontal="center" vertical="center"/>
      <protection hidden="1"/>
    </xf>
    <xf numFmtId="173" fontId="248" fillId="24" borderId="564" xfId="0" applyFont="1" applyFill="1" applyBorder="1" applyAlignment="1" applyProtection="1">
      <alignment horizontal="center" vertical="center" wrapText="1"/>
      <protection hidden="1"/>
    </xf>
    <xf numFmtId="173" fontId="248" fillId="24" borderId="124" xfId="0" applyFont="1" applyFill="1" applyBorder="1" applyAlignment="1" applyProtection="1">
      <alignment horizontal="center" vertical="center" wrapText="1"/>
      <protection hidden="1"/>
    </xf>
    <xf numFmtId="173" fontId="25" fillId="0" borderId="80" xfId="0" applyFont="1" applyBorder="1" applyAlignment="1" applyProtection="1">
      <alignment horizontal="left" vertical="center" indent="1"/>
      <protection locked="0"/>
    </xf>
    <xf numFmtId="9" fontId="25" fillId="0" borderId="441" xfId="0" applyNumberFormat="1" applyFont="1" applyBorder="1" applyAlignment="1" applyProtection="1">
      <alignment horizontal="center" vertical="center"/>
      <protection locked="0"/>
    </xf>
    <xf numFmtId="185" fontId="25" fillId="0" borderId="137" xfId="0" applyNumberFormat="1" applyFont="1" applyBorder="1" applyAlignment="1" applyProtection="1">
      <alignment horizontal="center" vertical="center"/>
      <protection locked="0"/>
    </xf>
    <xf numFmtId="173" fontId="25" fillId="0" borderId="145" xfId="0" applyFont="1" applyBorder="1" applyAlignment="1" applyProtection="1">
      <alignment horizontal="left" vertical="center" indent="1"/>
      <protection locked="0"/>
    </xf>
    <xf numFmtId="9" fontId="25" fillId="0" borderId="440" xfId="0" applyNumberFormat="1" applyFont="1" applyBorder="1" applyAlignment="1" applyProtection="1">
      <alignment horizontal="center" vertical="center"/>
      <protection locked="0"/>
    </xf>
    <xf numFmtId="185" fontId="25" fillId="0" borderId="244" xfId="0" applyNumberFormat="1" applyFont="1" applyBorder="1" applyAlignment="1" applyProtection="1">
      <alignment horizontal="center" vertical="center"/>
      <protection locked="0"/>
    </xf>
    <xf numFmtId="173" fontId="25" fillId="0" borderId="81" xfId="0" applyFont="1" applyBorder="1" applyAlignment="1" applyProtection="1">
      <alignment horizontal="left" vertical="center" indent="1"/>
      <protection locked="0"/>
    </xf>
    <xf numFmtId="9" fontId="25" fillId="0" borderId="549" xfId="0" applyNumberFormat="1" applyFont="1" applyBorder="1" applyAlignment="1" applyProtection="1">
      <alignment horizontal="center" vertical="center"/>
      <protection locked="0"/>
    </xf>
    <xf numFmtId="185" fontId="25" fillId="0" borderId="138" xfId="0" applyNumberFormat="1" applyFont="1" applyBorder="1" applyAlignment="1" applyProtection="1">
      <alignment horizontal="center" vertical="center"/>
      <protection locked="0"/>
    </xf>
    <xf numFmtId="173" fontId="248" fillId="24" borderId="112" xfId="0" applyFont="1" applyFill="1" applyBorder="1" applyAlignment="1" applyProtection="1">
      <alignment horizontal="center" vertical="center" wrapText="1"/>
      <protection hidden="1"/>
    </xf>
    <xf numFmtId="173" fontId="265" fillId="0" borderId="128" xfId="0" applyFont="1" applyBorder="1" applyAlignment="1" applyProtection="1">
      <alignment horizontal="left" vertical="center" wrapText="1" indent="9"/>
      <protection locked="0"/>
    </xf>
    <xf numFmtId="173" fontId="263" fillId="0" borderId="129" xfId="0" applyFont="1" applyFill="1" applyBorder="1" applyAlignment="1" applyProtection="1">
      <alignment horizontal="center"/>
      <protection locked="0"/>
    </xf>
    <xf numFmtId="181" fontId="265" fillId="0" borderId="129" xfId="0" applyNumberFormat="1" applyFont="1" applyBorder="1" applyAlignment="1" applyProtection="1">
      <alignment horizontal="left" vertical="center" wrapText="1" indent="1"/>
      <protection locked="0"/>
    </xf>
    <xf numFmtId="173" fontId="265" fillId="0" borderId="129" xfId="0" applyFont="1" applyBorder="1" applyAlignment="1" applyProtection="1">
      <alignment horizontal="left" vertical="center" wrapText="1" indent="1"/>
      <protection locked="0"/>
    </xf>
    <xf numFmtId="9" fontId="266" fillId="0" borderId="129" xfId="0" applyNumberFormat="1" applyFont="1" applyBorder="1" applyAlignment="1" applyProtection="1">
      <alignment horizontal="center" vertical="center" wrapText="1"/>
      <protection locked="0"/>
    </xf>
    <xf numFmtId="181" fontId="200" fillId="0" borderId="129" xfId="0" applyNumberFormat="1" applyFont="1" applyBorder="1" applyAlignment="1" applyProtection="1">
      <alignment vertical="center" wrapText="1"/>
      <protection locked="0"/>
    </xf>
    <xf numFmtId="173" fontId="267" fillId="0" borderId="129" xfId="0" applyFont="1" applyBorder="1" applyAlignment="1" applyProtection="1">
      <alignment horizontal="left" vertical="center" indent="1"/>
      <protection locked="0"/>
    </xf>
    <xf numFmtId="181" fontId="265" fillId="0" borderId="300" xfId="0" applyNumberFormat="1" applyFont="1" applyBorder="1" applyAlignment="1" applyProtection="1">
      <alignment horizontal="left" vertical="center" wrapText="1" indent="1"/>
      <protection locked="0"/>
    </xf>
    <xf numFmtId="173" fontId="30" fillId="0" borderId="125" xfId="0" applyFont="1" applyFill="1" applyBorder="1" applyAlignment="1" applyProtection="1">
      <alignment vertical="center" wrapText="1" shrinkToFit="1"/>
      <protection hidden="1"/>
    </xf>
    <xf numFmtId="173" fontId="30" fillId="0" borderId="0" xfId="0" applyFont="1" applyFill="1" applyBorder="1" applyAlignment="1" applyProtection="1">
      <alignment vertical="center" wrapText="1" shrinkToFit="1"/>
      <protection hidden="1"/>
    </xf>
    <xf numFmtId="173" fontId="407" fillId="69" borderId="0" xfId="0" applyFont="1" applyFill="1" applyBorder="1" applyAlignment="1" applyProtection="1">
      <alignment horizontal="left" vertical="center" indent="1"/>
      <protection hidden="1"/>
    </xf>
    <xf numFmtId="173" fontId="407" fillId="69" borderId="0" xfId="0" applyFont="1" applyFill="1" applyBorder="1" applyAlignment="1" applyProtection="1">
      <alignment horizontal="left" vertical="center" indent="2"/>
      <protection hidden="1"/>
    </xf>
    <xf numFmtId="173" fontId="246" fillId="0" borderId="0" xfId="0" applyFont="1" applyFill="1" applyBorder="1" applyProtection="1">
      <alignment horizontal="right"/>
      <protection locked="0"/>
    </xf>
    <xf numFmtId="173" fontId="248" fillId="24" borderId="200" xfId="0" applyFont="1" applyFill="1" applyBorder="1" applyAlignment="1" applyProtection="1">
      <alignment horizontal="center" vertical="center" wrapText="1"/>
      <protection hidden="1"/>
    </xf>
    <xf numFmtId="185" fontId="25" fillId="0" borderId="315" xfId="0" applyNumberFormat="1" applyFont="1" applyBorder="1" applyAlignment="1" applyProtection="1">
      <alignment horizontal="center" vertical="center"/>
      <protection locked="0"/>
    </xf>
    <xf numFmtId="185" fontId="25" fillId="0" borderId="328" xfId="0" applyNumberFormat="1" applyFont="1" applyBorder="1" applyAlignment="1" applyProtection="1">
      <alignment horizontal="center" vertical="center"/>
      <protection locked="0"/>
    </xf>
    <xf numFmtId="185" fontId="25" fillId="0" borderId="296" xfId="0" applyNumberFormat="1" applyFont="1" applyBorder="1" applyAlignment="1" applyProtection="1">
      <alignment horizontal="center" vertical="center"/>
      <protection locked="0"/>
    </xf>
    <xf numFmtId="185" fontId="25" fillId="30" borderId="200" xfId="0" applyNumberFormat="1" applyFont="1" applyFill="1" applyBorder="1" applyAlignment="1" applyProtection="1">
      <alignment horizontal="center" vertical="center"/>
      <protection locked="0"/>
    </xf>
    <xf numFmtId="173" fontId="41" fillId="33" borderId="111" xfId="0" applyFont="1" applyFill="1" applyBorder="1" applyAlignment="1" applyProtection="1">
      <alignment horizontal="center" vertical="center"/>
      <protection hidden="1"/>
    </xf>
    <xf numFmtId="173" fontId="247" fillId="0" borderId="0" xfId="0" applyFont="1" applyBorder="1" applyAlignment="1" applyProtection="1">
      <alignment horizontal="right" vertical="center" indent="1"/>
      <protection locked="0"/>
    </xf>
    <xf numFmtId="214" fontId="25" fillId="0" borderId="6" xfId="0" applyNumberFormat="1" applyFont="1" applyBorder="1" applyAlignment="1" applyProtection="1">
      <alignment horizontal="center" vertical="center"/>
      <protection locked="0" hidden="1"/>
    </xf>
    <xf numFmtId="0" fontId="25" fillId="0" borderId="6" xfId="0" applyNumberFormat="1" applyFont="1" applyBorder="1" applyAlignment="1" applyProtection="1">
      <alignment horizontal="center" vertical="center"/>
      <protection locked="0"/>
    </xf>
    <xf numFmtId="173" fontId="397" fillId="0" borderId="0" xfId="0" applyFont="1" applyBorder="1" applyProtection="1">
      <alignment horizontal="right"/>
      <protection locked="0"/>
    </xf>
    <xf numFmtId="173" fontId="411" fillId="0" borderId="0" xfId="0" applyFont="1" applyBorder="1" applyProtection="1">
      <alignment horizontal="right"/>
      <protection locked="0"/>
    </xf>
    <xf numFmtId="173" fontId="273" fillId="0" borderId="0" xfId="0" quotePrefix="1" applyFont="1" applyBorder="1" applyAlignment="1">
      <alignment horizontal="right"/>
    </xf>
    <xf numFmtId="173" fontId="366" fillId="11" borderId="0" xfId="0" applyFont="1" applyFill="1" applyBorder="1" applyAlignment="1" applyProtection="1">
      <alignment horizontal="right"/>
      <protection locked="0"/>
    </xf>
    <xf numFmtId="173" fontId="366" fillId="11" borderId="0" xfId="0" applyFont="1" applyFill="1" applyBorder="1" applyAlignment="1" applyProtection="1">
      <alignment horizontal="right" vertical="top"/>
      <protection locked="0"/>
    </xf>
    <xf numFmtId="173" fontId="397" fillId="11" borderId="0" xfId="0" applyFont="1" applyFill="1" applyBorder="1" applyProtection="1">
      <alignment horizontal="right"/>
      <protection locked="0"/>
    </xf>
    <xf numFmtId="173" fontId="384" fillId="0" borderId="0" xfId="0" applyFont="1" applyBorder="1" applyAlignment="1" applyProtection="1">
      <alignment horizontal="right" vertical="center"/>
      <protection locked="0"/>
    </xf>
    <xf numFmtId="173" fontId="287" fillId="0" borderId="0" xfId="0" applyFont="1" applyBorder="1">
      <alignment horizontal="right"/>
    </xf>
    <xf numFmtId="173" fontId="237" fillId="0" borderId="0" xfId="0" applyFont="1" applyBorder="1" applyProtection="1">
      <alignment horizontal="right"/>
      <protection locked="0"/>
    </xf>
    <xf numFmtId="173" fontId="397" fillId="0" borderId="0" xfId="0" applyFont="1" applyFill="1" applyBorder="1" applyProtection="1">
      <alignment horizontal="right"/>
      <protection locked="0"/>
    </xf>
    <xf numFmtId="173" fontId="411" fillId="0" borderId="0" xfId="0" applyFont="1" applyFill="1" applyBorder="1" applyProtection="1">
      <alignment horizontal="right"/>
      <protection locked="0"/>
    </xf>
    <xf numFmtId="173" fontId="233" fillId="0" borderId="0" xfId="0" applyFont="1" applyFill="1" applyBorder="1" applyProtection="1">
      <alignment horizontal="right"/>
      <protection locked="0"/>
    </xf>
    <xf numFmtId="173" fontId="412" fillId="0" borderId="0" xfId="0" applyFont="1" applyBorder="1" applyProtection="1">
      <alignment horizontal="right"/>
      <protection locked="0"/>
    </xf>
    <xf numFmtId="173" fontId="359" fillId="0" borderId="0" xfId="0" applyFont="1" applyFill="1" applyBorder="1" applyProtection="1">
      <alignment horizontal="right"/>
      <protection locked="0"/>
    </xf>
    <xf numFmtId="173" fontId="326" fillId="0" borderId="0" xfId="0" applyFont="1" applyBorder="1" applyProtection="1">
      <alignment horizontal="right"/>
      <protection locked="0"/>
    </xf>
    <xf numFmtId="173" fontId="413" fillId="0" borderId="0" xfId="7" applyFont="1" applyFill="1" applyBorder="1" applyAlignment="1" applyProtection="1">
      <alignment vertical="center"/>
      <protection locked="0"/>
    </xf>
    <xf numFmtId="173" fontId="233" fillId="0" borderId="0" xfId="0" applyFont="1" applyFill="1" applyBorder="1" applyAlignment="1" applyProtection="1">
      <alignment horizontal="right" vertical="center"/>
      <protection locked="0"/>
    </xf>
    <xf numFmtId="173" fontId="237" fillId="0" borderId="0" xfId="0" applyFont="1" applyFill="1" applyBorder="1" applyProtection="1">
      <alignment horizontal="right"/>
      <protection locked="0"/>
    </xf>
    <xf numFmtId="173" fontId="384" fillId="0" borderId="0" xfId="0" applyFont="1" applyFill="1" applyBorder="1" applyProtection="1">
      <alignment horizontal="right"/>
      <protection locked="0"/>
    </xf>
    <xf numFmtId="173" fontId="415" fillId="0" borderId="0" xfId="0" applyFont="1" applyBorder="1" applyProtection="1">
      <alignment horizontal="right"/>
      <protection locked="0"/>
    </xf>
    <xf numFmtId="173" fontId="413" fillId="0" borderId="0" xfId="7" applyFont="1" applyBorder="1" applyAlignment="1" applyProtection="1">
      <alignment vertical="center"/>
      <protection locked="0"/>
    </xf>
    <xf numFmtId="167" fontId="183" fillId="0" borderId="128" xfId="0" applyNumberFormat="1" applyFont="1" applyFill="1" applyBorder="1" applyAlignment="1" applyProtection="1">
      <alignment vertical="center"/>
      <protection hidden="1"/>
    </xf>
    <xf numFmtId="167" fontId="183" fillId="0" borderId="300" xfId="0" applyNumberFormat="1" applyFont="1" applyFill="1" applyBorder="1" applyAlignment="1" applyProtection="1">
      <alignment vertical="center"/>
      <protection hidden="1"/>
    </xf>
    <xf numFmtId="167" fontId="183" fillId="0" borderId="385" xfId="0" applyNumberFormat="1" applyFont="1" applyFill="1" applyBorder="1" applyAlignment="1" applyProtection="1">
      <alignment vertical="center"/>
      <protection hidden="1"/>
    </xf>
    <xf numFmtId="167" fontId="401" fillId="0" borderId="335" xfId="0" applyNumberFormat="1" applyFont="1" applyFill="1" applyBorder="1" applyAlignment="1" applyProtection="1">
      <alignment vertical="center"/>
      <protection hidden="1"/>
    </xf>
    <xf numFmtId="169" fontId="176" fillId="0" borderId="352" xfId="0" applyNumberFormat="1" applyFont="1" applyFill="1" applyBorder="1" applyAlignment="1" applyProtection="1">
      <alignment horizontal="center" vertical="center"/>
      <protection hidden="1"/>
    </xf>
    <xf numFmtId="167" fontId="176" fillId="0" borderId="335" xfId="0" applyNumberFormat="1" applyFont="1" applyFill="1" applyBorder="1" applyAlignment="1" applyProtection="1">
      <alignment vertical="center"/>
      <protection hidden="1"/>
    </xf>
    <xf numFmtId="167" fontId="183" fillId="0" borderId="399" xfId="0" applyNumberFormat="1" applyFont="1" applyFill="1" applyBorder="1" applyAlignment="1" applyProtection="1">
      <alignment vertical="center"/>
      <protection hidden="1"/>
    </xf>
    <xf numFmtId="167" fontId="183" fillId="0" borderId="338" xfId="0" applyNumberFormat="1" applyFont="1" applyFill="1" applyBorder="1" applyAlignment="1" applyProtection="1">
      <alignment vertical="center"/>
      <protection hidden="1"/>
    </xf>
    <xf numFmtId="169" fontId="180" fillId="0" borderId="143" xfId="0" applyNumberFormat="1" applyFont="1" applyFill="1" applyBorder="1" applyAlignment="1" applyProtection="1">
      <alignment horizontal="center" vertical="center"/>
      <protection locked="0"/>
    </xf>
    <xf numFmtId="173" fontId="177" fillId="0" borderId="143" xfId="0" applyFont="1" applyBorder="1" applyAlignment="1" applyProtection="1">
      <alignment horizontal="right" vertical="center"/>
      <protection locked="0"/>
    </xf>
    <xf numFmtId="167" fontId="176" fillId="68" borderId="387" xfId="0" applyNumberFormat="1" applyFont="1" applyFill="1" applyBorder="1" applyAlignment="1" applyProtection="1">
      <alignment horizontal="center" vertical="center"/>
      <protection hidden="1"/>
    </xf>
    <xf numFmtId="167" fontId="176" fillId="68" borderId="143" xfId="0" applyNumberFormat="1" applyFont="1" applyFill="1" applyBorder="1" applyAlignment="1" applyProtection="1">
      <alignment horizontal="center" vertical="center"/>
      <protection hidden="1"/>
    </xf>
    <xf numFmtId="167" fontId="176" fillId="68" borderId="393" xfId="0" applyNumberFormat="1" applyFont="1" applyFill="1" applyBorder="1" applyAlignment="1" applyProtection="1">
      <alignment horizontal="center" vertical="center"/>
      <protection hidden="1"/>
    </xf>
    <xf numFmtId="169" fontId="182" fillId="0" borderId="191" xfId="0" applyNumberFormat="1" applyFont="1" applyFill="1" applyBorder="1" applyAlignment="1" applyProtection="1">
      <alignment horizontal="center" vertical="center"/>
      <protection locked="0"/>
    </xf>
    <xf numFmtId="173" fontId="13" fillId="0" borderId="191" xfId="0" applyFont="1" applyBorder="1" applyAlignment="1" applyProtection="1">
      <alignment horizontal="right" vertical="center"/>
      <protection locked="0"/>
    </xf>
    <xf numFmtId="167" fontId="176" fillId="68" borderId="539" xfId="0" applyNumberFormat="1" applyFont="1" applyFill="1" applyBorder="1" applyAlignment="1" applyProtection="1">
      <alignment horizontal="center" vertical="center"/>
      <protection hidden="1"/>
    </xf>
    <xf numFmtId="167" fontId="176" fillId="68" borderId="191" xfId="0" applyNumberFormat="1" applyFont="1" applyFill="1" applyBorder="1" applyAlignment="1" applyProtection="1">
      <alignment horizontal="center" vertical="center"/>
      <protection hidden="1"/>
    </xf>
    <xf numFmtId="167" fontId="176" fillId="68" borderId="214" xfId="0" applyNumberFormat="1" applyFont="1" applyFill="1" applyBorder="1" applyAlignment="1" applyProtection="1">
      <alignment horizontal="center" vertical="center"/>
      <protection hidden="1"/>
    </xf>
    <xf numFmtId="167" fontId="176" fillId="0" borderId="80" xfId="0" applyNumberFormat="1" applyFont="1" applyFill="1" applyBorder="1" applyAlignment="1" applyProtection="1">
      <alignment vertical="center"/>
      <protection hidden="1"/>
    </xf>
    <xf numFmtId="188" fontId="183" fillId="0" borderId="177" xfId="0" applyNumberFormat="1" applyFont="1" applyFill="1" applyBorder="1" applyAlignment="1" applyProtection="1">
      <alignment vertical="center"/>
      <protection hidden="1"/>
    </xf>
    <xf numFmtId="188" fontId="183" fillId="0" borderId="137" xfId="0" applyNumberFormat="1" applyFont="1" applyFill="1" applyBorder="1" applyAlignment="1" applyProtection="1">
      <alignment vertical="center"/>
      <protection hidden="1"/>
    </xf>
    <xf numFmtId="167" fontId="176" fillId="4" borderId="81" xfId="0" applyNumberFormat="1" applyFont="1" applyFill="1" applyBorder="1" applyAlignment="1" applyProtection="1">
      <alignment horizontal="right" vertical="center"/>
      <protection locked="0"/>
    </xf>
    <xf numFmtId="167" fontId="176" fillId="4" borderId="266" xfId="0" applyNumberFormat="1" applyFont="1" applyFill="1" applyBorder="1" applyAlignment="1" applyProtection="1">
      <alignment horizontal="right" vertical="center"/>
      <protection locked="0"/>
    </xf>
    <xf numFmtId="167" fontId="176" fillId="4" borderId="138" xfId="0" applyNumberFormat="1" applyFont="1" applyFill="1" applyBorder="1" applyAlignment="1" applyProtection="1">
      <alignment horizontal="right" vertical="center"/>
      <protection locked="0"/>
    </xf>
    <xf numFmtId="167" fontId="176" fillId="0" borderId="336" xfId="0" applyNumberFormat="1" applyFont="1" applyFill="1" applyBorder="1" applyAlignment="1" applyProtection="1">
      <alignment vertical="center"/>
      <protection hidden="1"/>
    </xf>
    <xf numFmtId="167" fontId="183" fillId="0" borderId="386" xfId="0" applyNumberFormat="1" applyFont="1" applyFill="1" applyBorder="1" applyAlignment="1" applyProtection="1">
      <alignment vertical="center"/>
      <protection hidden="1"/>
    </xf>
    <xf numFmtId="167" fontId="183" fillId="0" borderId="218" xfId="0" applyNumberFormat="1" applyFont="1" applyFill="1" applyBorder="1" applyAlignment="1" applyProtection="1">
      <alignment vertical="center"/>
      <protection hidden="1"/>
    </xf>
    <xf numFmtId="167" fontId="176" fillId="4" borderId="336" xfId="0" applyNumberFormat="1" applyFont="1" applyFill="1" applyBorder="1" applyAlignment="1" applyProtection="1">
      <alignment horizontal="right" vertical="center"/>
      <protection locked="0"/>
    </xf>
    <xf numFmtId="167" fontId="176" fillId="4" borderId="386" xfId="0" applyNumberFormat="1" applyFont="1" applyFill="1" applyBorder="1" applyAlignment="1" applyProtection="1">
      <alignment horizontal="right" vertical="center"/>
      <protection locked="0"/>
    </xf>
    <xf numFmtId="167" fontId="176" fillId="4" borderId="218" xfId="0" applyNumberFormat="1" applyFont="1" applyFill="1" applyBorder="1" applyAlignment="1" applyProtection="1">
      <alignment horizontal="right" vertical="center"/>
      <protection locked="0"/>
    </xf>
    <xf numFmtId="173" fontId="200" fillId="0" borderId="585" xfId="0" applyFont="1" applyBorder="1" applyAlignment="1"/>
    <xf numFmtId="173" fontId="203" fillId="0" borderId="300" xfId="7" applyFont="1" applyFill="1" applyBorder="1" applyAlignment="1" applyProtection="1">
      <alignment horizontal="left" vertical="center" indent="1"/>
      <protection locked="0"/>
    </xf>
    <xf numFmtId="173" fontId="203" fillId="0" borderId="338" xfId="7" applyFont="1" applyFill="1" applyBorder="1" applyAlignment="1" applyProtection="1">
      <alignment horizontal="left" vertical="center" indent="1"/>
      <protection locked="0"/>
    </xf>
    <xf numFmtId="167" fontId="134" fillId="0" borderId="124" xfId="0" applyNumberFormat="1" applyFont="1" applyFill="1" applyBorder="1" applyAlignment="1" applyProtection="1">
      <alignment vertical="center"/>
      <protection hidden="1"/>
    </xf>
    <xf numFmtId="188" fontId="233" fillId="0" borderId="385" xfId="0" applyNumberFormat="1" applyFont="1" applyFill="1" applyBorder="1" applyAlignment="1" applyProtection="1">
      <alignment vertical="center"/>
      <protection hidden="1"/>
    </xf>
    <xf numFmtId="167" fontId="233" fillId="0" borderId="397" xfId="0" applyNumberFormat="1" applyFont="1" applyFill="1" applyBorder="1" applyAlignment="1" applyProtection="1">
      <alignment vertical="center"/>
      <protection hidden="1"/>
    </xf>
    <xf numFmtId="167" fontId="134" fillId="0" borderId="435" xfId="0" applyNumberFormat="1" applyFont="1" applyFill="1" applyBorder="1" applyAlignment="1" applyProtection="1">
      <alignment vertical="center"/>
      <protection hidden="1"/>
    </xf>
    <xf numFmtId="167" fontId="273" fillId="0" borderId="176" xfId="0" applyNumberFormat="1" applyFont="1" applyFill="1" applyBorder="1" applyAlignment="1" applyProtection="1">
      <alignment vertical="center"/>
      <protection locked="0"/>
    </xf>
    <xf numFmtId="167" fontId="241" fillId="0" borderId="176" xfId="0" quotePrefix="1" applyNumberFormat="1" applyFont="1" applyFill="1" applyBorder="1" applyAlignment="1" applyProtection="1">
      <alignment vertical="center"/>
      <protection locked="0"/>
    </xf>
    <xf numFmtId="167" fontId="248" fillId="0" borderId="177" xfId="0" applyNumberFormat="1" applyFont="1" applyFill="1" applyBorder="1" applyAlignment="1" applyProtection="1">
      <alignment vertical="center"/>
      <protection locked="0"/>
    </xf>
    <xf numFmtId="167" fontId="233" fillId="0" borderId="176" xfId="0" applyNumberFormat="1" applyFont="1" applyFill="1" applyBorder="1" applyAlignment="1" applyProtection="1">
      <alignment vertical="center"/>
      <protection locked="0"/>
    </xf>
    <xf numFmtId="167" fontId="233" fillId="0" borderId="176" xfId="0" quotePrefix="1" applyNumberFormat="1" applyFont="1" applyFill="1" applyBorder="1" applyAlignment="1" applyProtection="1">
      <alignment vertical="center"/>
      <protection locked="0"/>
    </xf>
    <xf numFmtId="167" fontId="233" fillId="0" borderId="176" xfId="0" quotePrefix="1" applyNumberFormat="1" applyFont="1" applyBorder="1" applyAlignment="1" applyProtection="1">
      <alignment vertical="center"/>
      <protection hidden="1"/>
    </xf>
    <xf numFmtId="173" fontId="416" fillId="0" borderId="0" xfId="0" applyFont="1" applyFill="1" applyBorder="1" applyAlignment="1" applyProtection="1">
      <alignment horizontal="center" vertical="center"/>
      <protection locked="0"/>
    </xf>
    <xf numFmtId="167" fontId="41" fillId="9" borderId="111" xfId="0" applyNumberFormat="1" applyFont="1" applyFill="1" applyBorder="1" applyAlignment="1" applyProtection="1">
      <alignment horizontal="center" vertical="center"/>
      <protection hidden="1"/>
    </xf>
    <xf numFmtId="167" fontId="45" fillId="9" borderId="111" xfId="0" applyNumberFormat="1" applyFont="1" applyFill="1" applyBorder="1" applyAlignment="1" applyProtection="1">
      <alignment vertical="center"/>
      <protection hidden="1"/>
    </xf>
    <xf numFmtId="169" fontId="176" fillId="0" borderId="236" xfId="0" applyNumberFormat="1" applyFont="1" applyFill="1" applyBorder="1" applyAlignment="1" applyProtection="1">
      <alignment horizontal="center" vertical="center"/>
      <protection hidden="1"/>
    </xf>
    <xf numFmtId="167" fontId="183" fillId="0" borderId="335" xfId="0" applyNumberFormat="1" applyFont="1" applyFill="1" applyBorder="1" applyAlignment="1" applyProtection="1">
      <alignment vertical="center"/>
      <protection hidden="1"/>
    </xf>
    <xf numFmtId="167" fontId="183" fillId="0" borderId="336" xfId="0" applyNumberFormat="1" applyFont="1" applyFill="1" applyBorder="1" applyAlignment="1" applyProtection="1">
      <alignment vertical="center"/>
      <protection hidden="1"/>
    </xf>
    <xf numFmtId="173" fontId="414" fillId="0" borderId="0" xfId="7" applyFont="1" applyBorder="1" applyAlignment="1" applyProtection="1"/>
    <xf numFmtId="173" fontId="0" fillId="0" borderId="558" xfId="0" applyBorder="1" applyAlignment="1">
      <alignment vertical="center"/>
    </xf>
    <xf numFmtId="167" fontId="183" fillId="0" borderId="80" xfId="0" applyNumberFormat="1" applyFont="1" applyFill="1" applyBorder="1" applyAlignment="1" applyProtection="1">
      <alignment vertical="center"/>
      <protection hidden="1"/>
    </xf>
    <xf numFmtId="169" fontId="176" fillId="0" borderId="344" xfId="0" applyNumberFormat="1" applyFont="1" applyFill="1" applyBorder="1" applyAlignment="1" applyProtection="1">
      <alignment vertical="center"/>
      <protection hidden="1"/>
    </xf>
    <xf numFmtId="188" fontId="233" fillId="0" borderId="128" xfId="0" applyNumberFormat="1" applyFont="1" applyFill="1" applyBorder="1" applyAlignment="1" applyProtection="1">
      <alignment vertical="center"/>
      <protection hidden="1"/>
    </xf>
    <xf numFmtId="169" fontId="176" fillId="0" borderId="344" xfId="0" applyNumberFormat="1" applyFont="1" applyFill="1" applyBorder="1" applyAlignment="1" applyProtection="1">
      <alignment horizontal="center" vertical="center"/>
      <protection hidden="1"/>
    </xf>
    <xf numFmtId="9" fontId="232" fillId="0" borderId="236" xfId="0" applyNumberFormat="1" applyFont="1" applyBorder="1" applyAlignment="1" applyProtection="1">
      <alignment horizontal="center" vertical="center"/>
      <protection hidden="1"/>
    </xf>
    <xf numFmtId="173" fontId="402" fillId="25" borderId="138" xfId="0" applyFont="1" applyFill="1" applyBorder="1" applyAlignment="1" applyProtection="1">
      <alignment horizontal="center" vertical="center"/>
      <protection locked="0" hidden="1"/>
    </xf>
    <xf numFmtId="173" fontId="201" fillId="25" borderId="194" xfId="0" applyFont="1" applyFill="1" applyBorder="1" applyAlignment="1" applyProtection="1">
      <alignment horizontal="left" vertical="center"/>
      <protection hidden="1"/>
    </xf>
    <xf numFmtId="167" fontId="241" fillId="25" borderId="138" xfId="0" applyNumberFormat="1" applyFont="1" applyFill="1" applyBorder="1" applyAlignment="1" applyProtection="1">
      <alignment vertical="center"/>
      <protection hidden="1"/>
    </xf>
    <xf numFmtId="9" fontId="38" fillId="25" borderId="538" xfId="0" applyNumberFormat="1" applyFont="1" applyFill="1" applyBorder="1" applyAlignment="1" applyProtection="1">
      <alignment horizontal="center" vertical="center"/>
      <protection hidden="1"/>
    </xf>
    <xf numFmtId="167" fontId="363" fillId="53" borderId="112" xfId="0" applyNumberFormat="1" applyFont="1" applyFill="1" applyBorder="1" applyAlignment="1" applyProtection="1">
      <alignment vertical="center"/>
      <protection hidden="1"/>
    </xf>
    <xf numFmtId="169" fontId="417" fillId="53" borderId="113" xfId="28" applyNumberFormat="1" applyFont="1" applyFill="1" applyBorder="1" applyAlignment="1" applyProtection="1">
      <alignment horizontal="center" vertical="center"/>
      <protection hidden="1"/>
    </xf>
    <xf numFmtId="173" fontId="418" fillId="0" borderId="0" xfId="0" applyFont="1" applyBorder="1" applyProtection="1">
      <alignment horizontal="right"/>
      <protection locked="0"/>
    </xf>
    <xf numFmtId="167" fontId="363" fillId="53" borderId="435" xfId="0" applyNumberFormat="1" applyFont="1" applyFill="1" applyBorder="1" applyAlignment="1" applyProtection="1">
      <alignment vertical="center"/>
      <protection hidden="1"/>
    </xf>
    <xf numFmtId="167" fontId="363" fillId="53" borderId="124" xfId="0" applyNumberFormat="1" applyFont="1" applyFill="1" applyBorder="1" applyAlignment="1" applyProtection="1">
      <alignment vertical="center"/>
      <protection hidden="1"/>
    </xf>
    <xf numFmtId="173" fontId="384" fillId="0" borderId="0" xfId="0" applyFont="1" applyBorder="1" applyProtection="1">
      <alignment horizontal="right"/>
      <protection locked="0"/>
    </xf>
    <xf numFmtId="168" fontId="419" fillId="0" borderId="0" xfId="0" applyNumberFormat="1" applyFont="1" applyFill="1" applyBorder="1" applyAlignment="1" applyProtection="1">
      <protection locked="0"/>
    </xf>
    <xf numFmtId="168" fontId="59" fillId="0" borderId="0" xfId="0" applyNumberFormat="1" applyFont="1" applyFill="1" applyBorder="1" applyAlignment="1" applyProtection="1">
      <protection locked="0"/>
    </xf>
    <xf numFmtId="169" fontId="420" fillId="0" borderId="0" xfId="0" applyNumberFormat="1" applyFont="1" applyFill="1" applyBorder="1" applyAlignment="1" applyProtection="1">
      <alignment horizontal="center" vertical="center"/>
      <protection locked="0"/>
    </xf>
    <xf numFmtId="169" fontId="421" fillId="53" borderId="113" xfId="28" applyNumberFormat="1" applyFont="1" applyFill="1" applyBorder="1" applyAlignment="1" applyProtection="1">
      <alignment horizontal="center" vertical="center"/>
      <protection hidden="1"/>
    </xf>
    <xf numFmtId="167" fontId="273" fillId="25" borderId="266" xfId="0" quotePrefix="1" applyNumberFormat="1" applyFont="1" applyFill="1" applyBorder="1" applyAlignment="1" applyProtection="1">
      <alignment vertical="center"/>
      <protection locked="0"/>
    </xf>
    <xf numFmtId="167" fontId="273" fillId="25" borderId="81" xfId="0" applyNumberFormat="1" applyFont="1" applyFill="1" applyBorder="1" applyAlignment="1" applyProtection="1">
      <alignment vertical="center"/>
      <protection hidden="1"/>
    </xf>
    <xf numFmtId="167" fontId="273" fillId="25" borderId="267" xfId="0" applyNumberFormat="1" applyFont="1" applyFill="1" applyBorder="1" applyAlignment="1" applyProtection="1">
      <alignment vertical="center"/>
      <protection hidden="1"/>
    </xf>
    <xf numFmtId="171" fontId="57" fillId="25" borderId="189" xfId="0" applyNumberFormat="1" applyFont="1" applyFill="1" applyBorder="1" applyAlignment="1" applyProtection="1">
      <alignment horizontal="center" vertical="center"/>
      <protection locked="0" hidden="1"/>
    </xf>
    <xf numFmtId="176" fontId="57" fillId="25" borderId="549" xfId="0" applyNumberFormat="1" applyFont="1" applyFill="1" applyBorder="1" applyAlignment="1" applyProtection="1">
      <alignment horizontal="center" vertical="center"/>
      <protection locked="0" hidden="1"/>
    </xf>
    <xf numFmtId="167" fontId="233" fillId="25" borderId="81" xfId="0" applyNumberFormat="1" applyFont="1" applyFill="1" applyBorder="1" applyAlignment="1" applyProtection="1">
      <alignment vertical="center"/>
      <protection locked="0"/>
    </xf>
    <xf numFmtId="10" fontId="94" fillId="25" borderId="538" xfId="0" applyNumberFormat="1" applyFont="1" applyFill="1" applyBorder="1" applyAlignment="1" applyProtection="1">
      <alignment horizontal="center" vertical="center"/>
      <protection locked="0"/>
    </xf>
    <xf numFmtId="167" fontId="233" fillId="25" borderId="275" xfId="0" applyNumberFormat="1" applyFont="1" applyFill="1" applyBorder="1" applyAlignment="1" applyProtection="1">
      <alignment vertical="center"/>
      <protection hidden="1"/>
    </xf>
    <xf numFmtId="173" fontId="135" fillId="0" borderId="137" xfId="0" applyFont="1" applyFill="1" applyBorder="1" applyAlignment="1" applyProtection="1">
      <alignment vertical="center" wrapText="1"/>
      <protection hidden="1"/>
    </xf>
    <xf numFmtId="173" fontId="363" fillId="25" borderId="81" xfId="0" applyFont="1" applyFill="1" applyBorder="1" applyAlignment="1" applyProtection="1">
      <alignment horizontal="left" vertical="center"/>
      <protection hidden="1"/>
    </xf>
    <xf numFmtId="167" fontId="363" fillId="54" borderId="112" xfId="0" applyNumberFormat="1" applyFont="1" applyFill="1" applyBorder="1" applyAlignment="1" applyProtection="1">
      <alignment vertical="center"/>
      <protection hidden="1"/>
    </xf>
    <xf numFmtId="167" fontId="363" fillId="54" borderId="435" xfId="0" applyNumberFormat="1" applyFont="1" applyFill="1" applyBorder="1" applyAlignment="1" applyProtection="1">
      <alignment vertical="center"/>
      <protection hidden="1"/>
    </xf>
    <xf numFmtId="167" fontId="363" fillId="54" borderId="124" xfId="0" applyNumberFormat="1" applyFont="1" applyFill="1" applyBorder="1" applyAlignment="1" applyProtection="1">
      <alignment vertical="center"/>
      <protection hidden="1"/>
    </xf>
    <xf numFmtId="9" fontId="232" fillId="25" borderId="398" xfId="0" applyNumberFormat="1" applyFont="1" applyFill="1" applyBorder="1" applyAlignment="1" applyProtection="1">
      <alignment horizontal="center" wrapText="1"/>
      <protection hidden="1"/>
    </xf>
    <xf numFmtId="173" fontId="232" fillId="25" borderId="266" xfId="0" applyFont="1" applyFill="1" applyBorder="1" applyAlignment="1" applyProtection="1">
      <alignment horizontal="center" vertical="top"/>
      <protection hidden="1"/>
    </xf>
    <xf numFmtId="10" fontId="422" fillId="0" borderId="235" xfId="0" applyNumberFormat="1" applyFont="1" applyFill="1" applyBorder="1" applyAlignment="1" applyProtection="1">
      <alignment horizontal="center" vertical="center"/>
      <protection locked="0"/>
    </xf>
    <xf numFmtId="3" fontId="204" fillId="36" borderId="589" xfId="0" applyNumberFormat="1" applyFont="1" applyFill="1" applyBorder="1" applyAlignment="1" applyProtection="1">
      <alignment horizontal="center" vertical="center"/>
      <protection hidden="1"/>
    </xf>
    <xf numFmtId="3" fontId="204" fillId="36" borderId="590" xfId="0" applyNumberFormat="1" applyFont="1" applyFill="1" applyBorder="1" applyAlignment="1" applyProtection="1">
      <alignment horizontal="center" vertical="center"/>
      <protection hidden="1"/>
    </xf>
    <xf numFmtId="173" fontId="292" fillId="0" borderId="0" xfId="0" applyFont="1" applyFill="1" applyBorder="1" applyAlignment="1" applyProtection="1">
      <alignment horizontal="left" vertical="center" wrapText="1" indent="1"/>
      <protection hidden="1"/>
    </xf>
    <xf numFmtId="173" fontId="261" fillId="0" borderId="0" xfId="0" applyFont="1" applyFill="1" applyBorder="1" applyAlignment="1" applyProtection="1">
      <alignment horizontal="right" vertical="center"/>
      <protection locked="0"/>
    </xf>
    <xf numFmtId="173" fontId="292" fillId="0" borderId="0" xfId="0" applyFont="1" applyBorder="1" applyProtection="1">
      <alignment horizontal="right"/>
      <protection locked="0"/>
    </xf>
    <xf numFmtId="3" fontId="292" fillId="0" borderId="0" xfId="0" applyNumberFormat="1" applyFont="1" applyBorder="1" applyAlignment="1" applyProtection="1">
      <alignment horizontal="right" vertical="center" indent="1"/>
      <protection hidden="1"/>
    </xf>
    <xf numFmtId="3" fontId="292" fillId="0" borderId="0" xfId="0" applyNumberFormat="1" applyFont="1" applyBorder="1" applyAlignment="1" applyProtection="1">
      <alignment horizontal="right" indent="1"/>
      <protection locked="0"/>
    </xf>
    <xf numFmtId="173" fontId="200" fillId="0" borderId="0" xfId="0" applyFont="1" applyFill="1" applyBorder="1" applyAlignment="1">
      <alignment vertical="center"/>
    </xf>
    <xf numFmtId="173" fontId="200" fillId="0" borderId="0" xfId="0" applyFont="1" applyFill="1" applyBorder="1" applyAlignment="1">
      <alignment horizontal="center" vertical="center"/>
    </xf>
    <xf numFmtId="3" fontId="233" fillId="0" borderId="160" xfId="0" applyNumberFormat="1" applyFont="1" applyFill="1" applyBorder="1" applyAlignment="1" applyProtection="1">
      <alignment horizontal="right" indent="1"/>
      <protection hidden="1"/>
    </xf>
    <xf numFmtId="3" fontId="233" fillId="0" borderId="162" xfId="0" applyNumberFormat="1" applyFont="1" applyFill="1" applyBorder="1" applyAlignment="1" applyProtection="1">
      <alignment horizontal="right" indent="1"/>
      <protection hidden="1"/>
    </xf>
    <xf numFmtId="3" fontId="15" fillId="0" borderId="0" xfId="0" applyNumberFormat="1" applyFont="1" applyBorder="1" applyAlignment="1" applyProtection="1">
      <alignment horizontal="right" vertical="top"/>
      <protection locked="0"/>
    </xf>
    <xf numFmtId="169" fontId="15" fillId="0" borderId="0" xfId="0" applyNumberFormat="1" applyFont="1" applyBorder="1" applyAlignment="1" applyProtection="1">
      <alignment horizontal="center" vertical="top"/>
      <protection locked="0"/>
    </xf>
    <xf numFmtId="3" fontId="17" fillId="0" borderId="0" xfId="0" applyNumberFormat="1" applyFont="1" applyBorder="1" applyAlignment="1" applyProtection="1">
      <alignment horizontal="right" vertical="top"/>
      <protection locked="0"/>
    </xf>
    <xf numFmtId="169" fontId="17" fillId="0" borderId="0" xfId="0" applyNumberFormat="1" applyFont="1" applyBorder="1" applyAlignment="1" applyProtection="1">
      <alignment horizontal="center" vertical="top"/>
      <protection locked="0"/>
    </xf>
    <xf numFmtId="3" fontId="233" fillId="0" borderId="591" xfId="0" applyNumberFormat="1" applyFont="1" applyFill="1" applyBorder="1" applyAlignment="1" applyProtection="1">
      <alignment horizontal="right" indent="1"/>
      <protection hidden="1"/>
    </xf>
    <xf numFmtId="169" fontId="57" fillId="0" borderId="565" xfId="0" applyNumberFormat="1" applyFont="1" applyFill="1" applyBorder="1" applyAlignment="1" applyProtection="1">
      <alignment horizontal="center" vertical="top"/>
      <protection hidden="1"/>
    </xf>
    <xf numFmtId="169" fontId="57" fillId="0" borderId="162" xfId="0" applyNumberFormat="1" applyFont="1" applyFill="1" applyBorder="1" applyAlignment="1" applyProtection="1">
      <alignment horizontal="center" vertical="top"/>
      <protection hidden="1"/>
    </xf>
    <xf numFmtId="169" fontId="57" fillId="0" borderId="267" xfId="0" applyNumberFormat="1" applyFont="1" applyFill="1" applyBorder="1" applyAlignment="1" applyProtection="1">
      <alignment horizontal="center" vertical="top"/>
      <protection hidden="1"/>
    </xf>
    <xf numFmtId="169" fontId="229" fillId="50" borderId="0" xfId="0" applyNumberFormat="1" applyFont="1" applyFill="1" applyBorder="1" applyAlignment="1">
      <alignment horizontal="center" vertical="center"/>
    </xf>
    <xf numFmtId="3" fontId="424" fillId="0" borderId="0" xfId="0" applyNumberFormat="1" applyFont="1" applyBorder="1" applyAlignment="1" applyProtection="1">
      <alignment horizontal="center" vertical="center" wrapText="1"/>
      <protection locked="0"/>
    </xf>
    <xf numFmtId="169" fontId="425" fillId="50" borderId="0" xfId="0" applyNumberFormat="1" applyFont="1" applyFill="1" applyBorder="1" applyAlignment="1">
      <alignment horizontal="center" vertical="center" wrapText="1"/>
    </xf>
    <xf numFmtId="173" fontId="21" fillId="0" borderId="0" xfId="0" applyFont="1" applyFill="1" applyBorder="1" applyAlignment="1" applyProtection="1">
      <alignment horizontal="center" vertical="center" wrapText="1"/>
      <protection hidden="1"/>
    </xf>
    <xf numFmtId="3" fontId="212" fillId="36" borderId="160" xfId="0" applyNumberFormat="1" applyFont="1" applyFill="1" applyBorder="1" applyAlignment="1" applyProtection="1">
      <alignment horizontal="right" indent="1"/>
      <protection hidden="1"/>
    </xf>
    <xf numFmtId="169" fontId="212" fillId="36" borderId="267" xfId="0" applyNumberFormat="1" applyFont="1" applyFill="1" applyBorder="1" applyAlignment="1" applyProtection="1">
      <alignment horizontal="center" vertical="top"/>
      <protection hidden="1"/>
    </xf>
    <xf numFmtId="169" fontId="31" fillId="0" borderId="0" xfId="0" applyNumberFormat="1" applyFont="1" applyFill="1" applyBorder="1" applyAlignment="1" applyProtection="1">
      <alignment horizontal="center" vertical="center"/>
      <protection locked="0" hidden="1"/>
    </xf>
    <xf numFmtId="9" fontId="28" fillId="0" borderId="0" xfId="0" applyNumberFormat="1" applyFont="1" applyFill="1" applyBorder="1" applyAlignment="1" applyProtection="1">
      <alignment horizontal="left" vertical="center"/>
      <protection locked="0"/>
    </xf>
    <xf numFmtId="167" fontId="273" fillId="0" borderId="177" xfId="0" applyNumberFormat="1" applyFont="1" applyFill="1" applyBorder="1" applyAlignment="1" applyProtection="1">
      <alignment vertical="center"/>
      <protection locked="0"/>
    </xf>
    <xf numFmtId="167" fontId="273" fillId="0" borderId="137" xfId="0" applyNumberFormat="1" applyFont="1" applyFill="1" applyBorder="1" applyAlignment="1" applyProtection="1">
      <alignment vertical="center"/>
      <protection locked="0"/>
    </xf>
    <xf numFmtId="3" fontId="302" fillId="0" borderId="0" xfId="0" applyNumberFormat="1" applyFont="1" applyFill="1" applyBorder="1" applyAlignment="1" applyProtection="1">
      <alignment horizontal="right" vertical="center"/>
      <protection locked="0"/>
    </xf>
    <xf numFmtId="169" fontId="426" fillId="0" borderId="0" xfId="0" applyNumberFormat="1" applyFont="1" applyFill="1" applyBorder="1" applyAlignment="1" applyProtection="1">
      <alignment horizontal="center" vertical="center"/>
      <protection locked="0"/>
    </xf>
    <xf numFmtId="169" fontId="261" fillId="0" borderId="0" xfId="0" applyNumberFormat="1" applyFont="1" applyFill="1" applyBorder="1" applyAlignment="1" applyProtection="1">
      <alignment horizontal="center" vertical="center"/>
      <protection hidden="1"/>
    </xf>
    <xf numFmtId="169" fontId="292" fillId="0" borderId="0" xfId="0" applyNumberFormat="1" applyFont="1" applyFill="1" applyBorder="1" applyAlignment="1" applyProtection="1">
      <alignment horizontal="center" vertical="center"/>
      <protection hidden="1"/>
    </xf>
    <xf numFmtId="9" fontId="292" fillId="0" borderId="0" xfId="0" applyNumberFormat="1" applyFont="1" applyFill="1" applyBorder="1" applyAlignment="1" applyProtection="1">
      <alignment horizontal="center" vertical="center" wrapText="1"/>
      <protection hidden="1"/>
    </xf>
    <xf numFmtId="173" fontId="0" fillId="0" borderId="0" xfId="0" applyBorder="1" applyAlignment="1">
      <alignment horizontal="left" vertical="center" indent="1"/>
    </xf>
    <xf numFmtId="173" fontId="15" fillId="0" borderId="128" xfId="0" applyFont="1" applyBorder="1" applyProtection="1">
      <alignment horizontal="right"/>
      <protection locked="0"/>
    </xf>
    <xf numFmtId="173" fontId="15" fillId="0" borderId="129" xfId="0" applyFont="1" applyBorder="1" applyProtection="1">
      <alignment horizontal="right"/>
      <protection locked="0"/>
    </xf>
    <xf numFmtId="3" fontId="15" fillId="0" borderId="129" xfId="0" applyNumberFormat="1" applyFont="1" applyBorder="1" applyAlignment="1" applyProtection="1">
      <alignment horizontal="right" indent="1"/>
      <protection locked="0"/>
    </xf>
    <xf numFmtId="173" fontId="15" fillId="0" borderId="80" xfId="0" applyFont="1" applyBorder="1" applyProtection="1">
      <alignment horizontal="right"/>
      <protection locked="0"/>
    </xf>
    <xf numFmtId="173" fontId="15" fillId="0" borderId="137" xfId="0" applyFont="1" applyBorder="1" applyProtection="1">
      <alignment horizontal="right"/>
      <protection locked="0"/>
    </xf>
    <xf numFmtId="173" fontId="28" fillId="0" borderId="80" xfId="0" applyFont="1" applyFill="1" applyBorder="1" applyAlignment="1" applyProtection="1">
      <alignment vertical="center"/>
      <protection locked="0"/>
    </xf>
    <xf numFmtId="173" fontId="28" fillId="0" borderId="80" xfId="0" applyFont="1" applyBorder="1" applyAlignment="1" applyProtection="1">
      <alignment horizontal="right" vertical="center"/>
      <protection locked="0"/>
    </xf>
    <xf numFmtId="173" fontId="28" fillId="0" borderId="80" xfId="0" applyFont="1" applyFill="1" applyBorder="1" applyAlignment="1" applyProtection="1">
      <alignment horizontal="right" vertical="center"/>
      <protection locked="0"/>
    </xf>
    <xf numFmtId="173" fontId="28" fillId="0" borderId="80" xfId="0" applyFont="1" applyFill="1" applyBorder="1" applyProtection="1">
      <alignment horizontal="right"/>
      <protection locked="0"/>
    </xf>
    <xf numFmtId="173" fontId="28" fillId="0" borderId="80" xfId="0" applyFont="1" applyBorder="1" applyProtection="1">
      <alignment horizontal="right"/>
      <protection locked="0"/>
    </xf>
    <xf numFmtId="173" fontId="15" fillId="0" borderId="80" xfId="0" applyFont="1" applyFill="1" applyBorder="1" applyProtection="1">
      <alignment horizontal="right"/>
      <protection locked="0"/>
    </xf>
    <xf numFmtId="173" fontId="28" fillId="0" borderId="137" xfId="0" applyFont="1" applyFill="1" applyBorder="1" applyProtection="1">
      <alignment horizontal="right"/>
      <protection locked="0"/>
    </xf>
    <xf numFmtId="173" fontId="15" fillId="0" borderId="81" xfId="0" applyFont="1" applyBorder="1" applyProtection="1">
      <alignment horizontal="right"/>
      <protection locked="0"/>
    </xf>
    <xf numFmtId="173" fontId="15" fillId="0" borderId="194" xfId="0" applyFont="1" applyBorder="1" applyProtection="1">
      <alignment horizontal="right"/>
      <protection locked="0"/>
    </xf>
    <xf numFmtId="3" fontId="15" fillId="0" borderId="194" xfId="0" applyNumberFormat="1" applyFont="1" applyBorder="1" applyAlignment="1" applyProtection="1">
      <alignment horizontal="right" indent="1"/>
      <protection locked="0"/>
    </xf>
    <xf numFmtId="3" fontId="15" fillId="0" borderId="129" xfId="0" applyNumberFormat="1" applyFont="1" applyFill="1" applyBorder="1" applyAlignment="1" applyProtection="1">
      <alignment horizontal="right" indent="1"/>
      <protection locked="0"/>
    </xf>
    <xf numFmtId="173" fontId="15" fillId="0" borderId="300" xfId="0" applyFont="1" applyBorder="1" applyProtection="1">
      <alignment horizontal="right"/>
      <protection locked="0"/>
    </xf>
    <xf numFmtId="173" fontId="28" fillId="0" borderId="137" xfId="0" applyFont="1" applyFill="1" applyBorder="1" applyAlignment="1" applyProtection="1">
      <alignment vertical="center"/>
      <protection locked="0"/>
    </xf>
    <xf numFmtId="173" fontId="28" fillId="0" borderId="137" xfId="0" applyFont="1" applyBorder="1" applyAlignment="1" applyProtection="1">
      <alignment horizontal="right" vertical="center"/>
      <protection locked="0"/>
    </xf>
    <xf numFmtId="173" fontId="28" fillId="0" borderId="137" xfId="0" applyFont="1" applyFill="1" applyBorder="1" applyAlignment="1" applyProtection="1">
      <alignment horizontal="right" vertical="center"/>
      <protection locked="0"/>
    </xf>
    <xf numFmtId="173" fontId="28" fillId="0" borderId="137" xfId="0" applyFont="1" applyBorder="1" applyProtection="1">
      <alignment horizontal="right"/>
      <protection locked="0"/>
    </xf>
    <xf numFmtId="173" fontId="15" fillId="0" borderId="137" xfId="0" applyFont="1" applyFill="1" applyBorder="1" applyProtection="1">
      <alignment horizontal="right"/>
      <protection locked="0"/>
    </xf>
    <xf numFmtId="3" fontId="15" fillId="0" borderId="194" xfId="0" applyNumberFormat="1" applyFont="1" applyFill="1" applyBorder="1" applyAlignment="1" applyProtection="1">
      <alignment horizontal="right" indent="1"/>
      <protection locked="0"/>
    </xf>
    <xf numFmtId="173" fontId="15" fillId="0" borderId="138" xfId="0" applyFont="1" applyBorder="1" applyProtection="1">
      <alignment horizontal="right"/>
      <protection locked="0"/>
    </xf>
    <xf numFmtId="3" fontId="292" fillId="0" borderId="0"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horizontal="center" vertical="center"/>
      <protection hidden="1"/>
    </xf>
    <xf numFmtId="215" fontId="59" fillId="0" borderId="567" xfId="0" applyNumberFormat="1" applyFont="1" applyFill="1" applyBorder="1" applyAlignment="1" applyProtection="1">
      <alignment horizontal="center" vertical="center"/>
      <protection hidden="1"/>
    </xf>
    <xf numFmtId="173" fontId="0" fillId="0" borderId="0" xfId="0" applyBorder="1" applyAlignment="1">
      <alignment vertical="center"/>
    </xf>
    <xf numFmtId="173" fontId="203" fillId="0" borderId="0" xfId="7" applyFont="1" applyBorder="1" applyAlignment="1" applyProtection="1">
      <alignment horizontal="left" vertical="center"/>
    </xf>
    <xf numFmtId="173" fontId="0" fillId="0" borderId="0" xfId="0" applyBorder="1" applyAlignment="1">
      <alignment horizontal="left" indent="1"/>
    </xf>
    <xf numFmtId="173" fontId="0" fillId="0" borderId="0" xfId="0" applyBorder="1" applyAlignment="1" applyProtection="1">
      <alignment vertical="center"/>
      <protection hidden="1"/>
    </xf>
    <xf numFmtId="173" fontId="240" fillId="26" borderId="112" xfId="0" applyFont="1" applyFill="1" applyBorder="1" applyAlignment="1" applyProtection="1">
      <alignment horizontal="left" vertical="center" indent="1"/>
      <protection hidden="1"/>
    </xf>
    <xf numFmtId="9" fontId="240" fillId="26" borderId="127" xfId="0" quotePrefix="1" applyNumberFormat="1" applyFont="1" applyFill="1" applyBorder="1" applyAlignment="1">
      <alignment horizontal="right" vertical="center"/>
    </xf>
    <xf numFmtId="210" fontId="240" fillId="26" borderId="124" xfId="0" quotePrefix="1" applyNumberFormat="1" applyFont="1" applyFill="1" applyBorder="1" applyAlignment="1" applyProtection="1">
      <alignment horizontal="left" vertical="center"/>
      <protection hidden="1"/>
    </xf>
    <xf numFmtId="169" fontId="214" fillId="26" borderId="111" xfId="0" applyNumberFormat="1" applyFont="1" applyFill="1" applyBorder="1" applyAlignment="1" applyProtection="1">
      <alignment horizontal="center" vertical="center"/>
      <protection hidden="1"/>
    </xf>
    <xf numFmtId="173" fontId="61" fillId="0" borderId="0" xfId="0" quotePrefix="1" applyFont="1" applyFill="1" applyBorder="1" applyAlignment="1" applyProtection="1">
      <alignment horizontal="center" vertical="center"/>
      <protection hidden="1"/>
    </xf>
    <xf numFmtId="173" fontId="384" fillId="0" borderId="0" xfId="0" applyFont="1" applyFill="1" applyBorder="1" applyAlignment="1" applyProtection="1">
      <alignment horizontal="center" vertical="center"/>
      <protection hidden="1"/>
    </xf>
    <xf numFmtId="167" fontId="384" fillId="0" borderId="0" xfId="0" applyNumberFormat="1" applyFont="1" applyFill="1" applyBorder="1" applyAlignment="1" applyProtection="1">
      <alignment horizontal="right" vertical="center"/>
      <protection locked="0"/>
    </xf>
    <xf numFmtId="173" fontId="62" fillId="0" borderId="0" xfId="0" applyFont="1" applyFill="1" applyBorder="1" applyAlignment="1" applyProtection="1">
      <alignment horizontal="center" vertical="center" wrapText="1"/>
      <protection hidden="1"/>
    </xf>
    <xf numFmtId="0" fontId="384" fillId="0" borderId="162" xfId="0" applyNumberFormat="1" applyFont="1" applyFill="1" applyBorder="1" applyAlignment="1" applyProtection="1">
      <alignment horizontal="center" vertical="center"/>
      <protection locked="0"/>
    </xf>
    <xf numFmtId="169" fontId="22" fillId="0" borderId="255" xfId="0" applyNumberFormat="1" applyFont="1" applyBorder="1" applyAlignment="1">
      <alignment horizontal="left" vertical="center"/>
    </xf>
    <xf numFmtId="169" fontId="22" fillId="0" borderId="217" xfId="0" applyNumberFormat="1" applyFont="1" applyBorder="1" applyAlignment="1" applyProtection="1">
      <alignment horizontal="center" vertical="center"/>
      <protection hidden="1"/>
    </xf>
    <xf numFmtId="173" fontId="53" fillId="49" borderId="539" xfId="0" applyFont="1" applyFill="1" applyBorder="1" applyAlignment="1" applyProtection="1">
      <alignment horizontal="center" vertical="top" wrapText="1"/>
      <protection hidden="1"/>
    </xf>
    <xf numFmtId="0" fontId="273" fillId="24" borderId="385" xfId="32" applyFont="1" applyFill="1" applyBorder="1" applyAlignment="1" applyProtection="1">
      <alignment horizontal="center"/>
      <protection hidden="1"/>
    </xf>
    <xf numFmtId="177" fontId="377" fillId="24" borderId="363" xfId="0" applyNumberFormat="1" applyFont="1" applyFill="1" applyBorder="1" applyAlignment="1" applyProtection="1">
      <alignment horizontal="center" vertical="top"/>
      <protection hidden="1"/>
    </xf>
    <xf numFmtId="167" fontId="64" fillId="4" borderId="177" xfId="0" applyNumberFormat="1" applyFont="1" applyFill="1" applyBorder="1" applyAlignment="1" applyProtection="1">
      <alignment horizontal="right" vertical="center"/>
      <protection locked="0"/>
    </xf>
    <xf numFmtId="0" fontId="237" fillId="55" borderId="176" xfId="0" applyNumberFormat="1" applyFont="1" applyFill="1" applyBorder="1" applyAlignment="1" applyProtection="1">
      <alignment horizontal="center" vertical="center"/>
      <protection locked="0"/>
    </xf>
    <xf numFmtId="169" fontId="57" fillId="0" borderId="177" xfId="0" applyNumberFormat="1" applyFont="1" applyBorder="1" applyAlignment="1" applyProtection="1">
      <alignment horizontal="center" vertical="center"/>
      <protection hidden="1"/>
    </xf>
    <xf numFmtId="169" fontId="22" fillId="0" borderId="397" xfId="0" applyNumberFormat="1" applyFont="1" applyBorder="1" applyAlignment="1" applyProtection="1">
      <alignment horizontal="center" vertical="center"/>
      <protection hidden="1"/>
    </xf>
    <xf numFmtId="2" fontId="49" fillId="0" borderId="266" xfId="0" applyNumberFormat="1" applyFont="1" applyBorder="1" applyAlignment="1" applyProtection="1">
      <alignment horizontal="center" vertical="center"/>
      <protection hidden="1"/>
    </xf>
    <xf numFmtId="167" fontId="292" fillId="0" borderId="194" xfId="0" applyNumberFormat="1" applyFont="1" applyFill="1" applyBorder="1" applyAlignment="1" applyProtection="1">
      <alignment vertical="center"/>
      <protection hidden="1"/>
    </xf>
    <xf numFmtId="167" fontId="23" fillId="42" borderId="137" xfId="0" applyNumberFormat="1" applyFont="1" applyFill="1" applyBorder="1" applyAlignment="1" applyProtection="1">
      <alignment horizontal="right" vertical="center"/>
      <protection hidden="1"/>
    </xf>
    <xf numFmtId="173" fontId="223" fillId="0" borderId="0" xfId="0" applyFont="1" applyBorder="1" applyAlignment="1" applyProtection="1">
      <alignment horizontal="center" vertical="center"/>
      <protection hidden="1"/>
    </xf>
    <xf numFmtId="9" fontId="436" fillId="25" borderId="437" xfId="0" applyNumberFormat="1" applyFont="1" applyFill="1" applyBorder="1" applyAlignment="1" applyProtection="1">
      <alignment horizontal="center" vertical="center"/>
      <protection hidden="1"/>
    </xf>
    <xf numFmtId="9" fontId="436" fillId="0" borderId="315" xfId="7" applyNumberFormat="1" applyFont="1" applyFill="1" applyBorder="1" applyAlignment="1" applyProtection="1">
      <alignment horizontal="center" vertical="center"/>
      <protection locked="0"/>
    </xf>
    <xf numFmtId="9" fontId="436" fillId="0" borderId="328" xfId="7" applyNumberFormat="1" applyFont="1" applyFill="1" applyBorder="1" applyAlignment="1" applyProtection="1">
      <alignment horizontal="center" vertical="center"/>
      <protection locked="0"/>
    </xf>
    <xf numFmtId="9" fontId="260" fillId="0" borderId="177" xfId="0" applyNumberFormat="1" applyFont="1" applyBorder="1" applyAlignment="1" applyProtection="1">
      <alignment horizontal="center" vertical="center"/>
      <protection locked="0"/>
    </xf>
    <xf numFmtId="170" fontId="388" fillId="25" borderId="314" xfId="2" applyNumberFormat="1" applyFont="1" applyFill="1" applyBorder="1" applyAlignment="1" applyProtection="1">
      <alignment horizontal="center" vertical="center"/>
      <protection hidden="1"/>
    </xf>
    <xf numFmtId="173" fontId="16" fillId="33" borderId="595" xfId="0" applyFont="1" applyFill="1" applyBorder="1" applyAlignment="1" applyProtection="1">
      <alignment horizontal="center" vertical="top"/>
      <protection hidden="1"/>
    </xf>
    <xf numFmtId="9" fontId="57" fillId="0" borderId="177" xfId="0" applyNumberFormat="1" applyFont="1" applyBorder="1" applyAlignment="1" applyProtection="1">
      <alignment horizontal="center" vertical="center"/>
      <protection locked="0"/>
    </xf>
    <xf numFmtId="173" fontId="416" fillId="27" borderId="386" xfId="0" applyFont="1" applyFill="1" applyBorder="1" applyAlignment="1" applyProtection="1">
      <alignment horizontal="center" vertical="center"/>
      <protection locked="0"/>
    </xf>
    <xf numFmtId="9" fontId="391" fillId="0" borderId="235" xfId="0" applyNumberFormat="1" applyFont="1" applyBorder="1" applyAlignment="1" applyProtection="1">
      <alignment horizontal="center" vertical="center"/>
      <protection hidden="1"/>
    </xf>
    <xf numFmtId="167" fontId="61" fillId="36" borderId="599" xfId="0" applyNumberFormat="1" applyFont="1" applyFill="1" applyBorder="1" applyAlignment="1" applyProtection="1">
      <alignment horizontal="center" vertical="center"/>
      <protection hidden="1"/>
    </xf>
    <xf numFmtId="169" fontId="87" fillId="36" borderId="543" xfId="0" applyNumberFormat="1" applyFont="1" applyFill="1" applyBorder="1" applyAlignment="1" applyProtection="1">
      <alignment horizontal="center" vertical="center"/>
      <protection hidden="1"/>
    </xf>
    <xf numFmtId="167" fontId="223" fillId="0" borderId="0" xfId="0" applyNumberFormat="1" applyFont="1" applyFill="1" applyBorder="1" applyAlignment="1" applyProtection="1">
      <alignment vertical="center"/>
      <protection hidden="1"/>
    </xf>
    <xf numFmtId="173" fontId="439" fillId="0" borderId="0" xfId="0" applyFont="1" applyFill="1" applyBorder="1" applyProtection="1">
      <alignment horizontal="right"/>
      <protection hidden="1"/>
    </xf>
    <xf numFmtId="173" fontId="439" fillId="0" borderId="0" xfId="0" applyFont="1" applyBorder="1" applyProtection="1">
      <alignment horizontal="right"/>
      <protection locked="0"/>
    </xf>
    <xf numFmtId="173" fontId="261" fillId="0" borderId="0" xfId="0" applyFont="1" applyFill="1" applyBorder="1" applyAlignment="1" applyProtection="1">
      <alignment horizontal="left"/>
      <protection hidden="1"/>
    </xf>
    <xf numFmtId="173" fontId="221" fillId="0" borderId="0" xfId="0" applyFont="1" applyFill="1" applyBorder="1" applyProtection="1">
      <alignment horizontal="right"/>
      <protection hidden="1"/>
    </xf>
    <xf numFmtId="173" fontId="221" fillId="0" borderId="0" xfId="0" applyFont="1" applyFill="1" applyBorder="1" applyAlignment="1" applyProtection="1">
      <alignment horizontal="left" vertical="center"/>
      <protection hidden="1"/>
    </xf>
    <xf numFmtId="173" fontId="221" fillId="0" borderId="0" xfId="0" applyFont="1" applyFill="1" applyBorder="1" applyAlignment="1" applyProtection="1">
      <alignment vertical="center"/>
      <protection hidden="1"/>
    </xf>
    <xf numFmtId="9" fontId="239" fillId="0" borderId="0" xfId="0" applyNumberFormat="1" applyFont="1" applyFill="1" applyBorder="1" applyAlignment="1" applyProtection="1">
      <alignment horizontal="center" vertical="center"/>
      <protection hidden="1"/>
    </xf>
    <xf numFmtId="167" fontId="221" fillId="0" borderId="0" xfId="0" applyNumberFormat="1" applyFont="1" applyFill="1" applyBorder="1" applyAlignment="1" applyProtection="1">
      <alignment vertical="center"/>
      <protection hidden="1"/>
    </xf>
    <xf numFmtId="169" fontId="221" fillId="0" borderId="0" xfId="28" applyNumberFormat="1" applyFont="1" applyFill="1" applyBorder="1" applyAlignment="1" applyProtection="1">
      <alignment horizontal="center" vertical="center"/>
      <protection hidden="1"/>
    </xf>
    <xf numFmtId="173" fontId="221" fillId="0" borderId="0" xfId="0" applyFont="1" applyFill="1" applyBorder="1" applyProtection="1">
      <alignment horizontal="right"/>
      <protection locked="0"/>
    </xf>
    <xf numFmtId="173" fontId="221" fillId="0" borderId="0" xfId="0" applyFont="1" applyFill="1" applyBorder="1" applyAlignment="1" applyProtection="1">
      <alignment horizontal="right" vertical="center"/>
      <protection hidden="1"/>
    </xf>
    <xf numFmtId="173" fontId="221" fillId="0" borderId="0" xfId="0" applyFont="1" applyFill="1" applyBorder="1" applyAlignment="1" applyProtection="1">
      <alignment horizontal="left"/>
      <protection hidden="1"/>
    </xf>
    <xf numFmtId="173" fontId="201" fillId="0" borderId="0" xfId="0" applyFont="1" applyFill="1" applyBorder="1" applyAlignment="1" applyProtection="1">
      <alignment horizontal="left" vertical="center"/>
      <protection hidden="1"/>
    </xf>
    <xf numFmtId="173" fontId="201" fillId="0" borderId="0" xfId="0" applyFont="1" applyFill="1" applyBorder="1" applyAlignment="1" applyProtection="1">
      <alignment horizontal="right" vertical="center"/>
      <protection hidden="1"/>
    </xf>
    <xf numFmtId="3" fontId="201" fillId="0" borderId="0" xfId="0" applyNumberFormat="1" applyFont="1" applyFill="1" applyBorder="1" applyAlignment="1" applyProtection="1">
      <alignment horizontal="right" vertical="center"/>
      <protection hidden="1"/>
    </xf>
    <xf numFmtId="167" fontId="201" fillId="0" borderId="0" xfId="0" applyNumberFormat="1" applyFont="1" applyFill="1" applyBorder="1" applyAlignment="1" applyProtection="1">
      <alignment horizontal="right" vertical="center"/>
      <protection hidden="1"/>
    </xf>
    <xf numFmtId="3" fontId="221" fillId="0" borderId="0" xfId="0" applyNumberFormat="1" applyFont="1" applyFill="1" applyBorder="1" applyAlignment="1" applyProtection="1">
      <alignment horizontal="right" vertical="center"/>
      <protection hidden="1"/>
    </xf>
    <xf numFmtId="167" fontId="221" fillId="0" borderId="0" xfId="0" applyNumberFormat="1" applyFont="1" applyFill="1" applyBorder="1" applyAlignment="1" applyProtection="1">
      <alignment horizontal="right" vertical="center"/>
      <protection hidden="1"/>
    </xf>
    <xf numFmtId="173" fontId="201" fillId="0" borderId="0" xfId="0" applyFont="1" applyFill="1" applyBorder="1" applyProtection="1">
      <alignment horizontal="right"/>
      <protection hidden="1"/>
    </xf>
    <xf numFmtId="173" fontId="438" fillId="0" borderId="0" xfId="0" applyFont="1" applyFill="1" applyBorder="1" applyProtection="1">
      <alignment horizontal="right"/>
      <protection hidden="1"/>
    </xf>
    <xf numFmtId="173" fontId="295" fillId="0" borderId="0" xfId="0" applyFont="1" applyBorder="1" applyProtection="1">
      <alignment horizontal="right"/>
      <protection locked="0"/>
    </xf>
    <xf numFmtId="173" fontId="295" fillId="0" borderId="0" xfId="0" applyFont="1" applyBorder="1" applyProtection="1">
      <alignment horizontal="right"/>
      <protection hidden="1"/>
    </xf>
    <xf numFmtId="173" fontId="439" fillId="0" borderId="0" xfId="0" applyFont="1" applyFill="1" applyBorder="1" applyAlignment="1" applyProtection="1">
      <alignment horizontal="right" vertical="center"/>
      <protection hidden="1"/>
    </xf>
    <xf numFmtId="173" fontId="261" fillId="0" borderId="0" xfId="0" applyFont="1" applyBorder="1" applyAlignment="1" applyProtection="1">
      <alignment horizontal="right" vertical="center"/>
      <protection locked="0"/>
    </xf>
    <xf numFmtId="173" fontId="261" fillId="0" borderId="0" xfId="0" applyFont="1" applyBorder="1" applyAlignment="1" applyProtection="1">
      <alignment horizontal="right" vertical="center"/>
      <protection hidden="1"/>
    </xf>
    <xf numFmtId="173" fontId="223" fillId="0" borderId="0" xfId="0" applyFont="1" applyFill="1" applyBorder="1" applyAlignment="1" applyProtection="1">
      <alignment horizontal="left" vertical="center"/>
      <protection hidden="1"/>
    </xf>
    <xf numFmtId="167" fontId="223" fillId="0" borderId="0" xfId="0" applyNumberFormat="1" applyFont="1" applyFill="1" applyBorder="1" applyAlignment="1" applyProtection="1">
      <alignment horizontal="right" vertical="center"/>
      <protection hidden="1"/>
    </xf>
    <xf numFmtId="173" fontId="261" fillId="0" borderId="0" xfId="0" applyFont="1" applyFill="1" applyBorder="1" applyAlignment="1" applyProtection="1">
      <alignment horizontal="right" vertical="center"/>
      <protection hidden="1"/>
    </xf>
    <xf numFmtId="3" fontId="223" fillId="0" borderId="0" xfId="0" applyNumberFormat="1" applyFont="1" applyFill="1" applyBorder="1" applyAlignment="1" applyProtection="1">
      <alignment horizontal="right" vertical="center"/>
      <protection hidden="1"/>
    </xf>
    <xf numFmtId="167" fontId="223" fillId="0" borderId="0" xfId="0" applyNumberFormat="1" applyFont="1" applyFill="1" applyBorder="1" applyAlignment="1" applyProtection="1">
      <alignment horizontal="center" vertical="center"/>
      <protection hidden="1"/>
    </xf>
    <xf numFmtId="169" fontId="57" fillId="0" borderId="343" xfId="0" applyNumberFormat="1" applyFont="1" applyBorder="1" applyAlignment="1" applyProtection="1">
      <alignment horizontal="center" vertical="center"/>
      <protection hidden="1"/>
    </xf>
    <xf numFmtId="167" fontId="176" fillId="0" borderId="336" xfId="0" applyNumberFormat="1" applyFont="1" applyFill="1" applyBorder="1" applyAlignment="1" applyProtection="1">
      <alignment horizontal="right" vertical="center"/>
      <protection hidden="1"/>
    </xf>
    <xf numFmtId="167" fontId="176" fillId="0" borderId="81" xfId="0" applyNumberFormat="1" applyFont="1" applyFill="1" applyBorder="1" applyAlignment="1" applyProtection="1">
      <alignment horizontal="right" vertical="center"/>
      <protection hidden="1"/>
    </xf>
    <xf numFmtId="167" fontId="241" fillId="0" borderId="418" xfId="0" applyNumberFormat="1" applyFont="1" applyFill="1" applyBorder="1" applyAlignment="1" applyProtection="1">
      <alignment vertical="center"/>
      <protection hidden="1"/>
    </xf>
    <xf numFmtId="167" fontId="273" fillId="0" borderId="588" xfId="0" applyNumberFormat="1" applyFont="1" applyFill="1" applyBorder="1" applyAlignment="1" applyProtection="1">
      <alignment vertical="center"/>
      <protection hidden="1"/>
    </xf>
    <xf numFmtId="167" fontId="273" fillId="0" borderId="588" xfId="0" quotePrefix="1" applyNumberFormat="1" applyFont="1" applyFill="1" applyBorder="1" applyAlignment="1" applyProtection="1">
      <alignment vertical="center"/>
      <protection hidden="1"/>
    </xf>
    <xf numFmtId="167" fontId="273" fillId="0" borderId="588" xfId="0" quotePrefix="1" applyNumberFormat="1" applyFont="1" applyBorder="1" applyAlignment="1" applyProtection="1">
      <alignment vertical="center"/>
      <protection hidden="1"/>
    </xf>
    <xf numFmtId="9" fontId="391" fillId="25" borderId="538" xfId="0" applyNumberFormat="1" applyFont="1" applyFill="1" applyBorder="1" applyAlignment="1" applyProtection="1">
      <alignment horizontal="center" vertical="center"/>
      <protection hidden="1"/>
    </xf>
    <xf numFmtId="0" fontId="41" fillId="41" borderId="97" xfId="0" applyNumberFormat="1" applyFont="1" applyFill="1" applyBorder="1" applyAlignment="1" applyProtection="1">
      <alignment horizontal="center" vertical="center"/>
      <protection hidden="1"/>
    </xf>
    <xf numFmtId="0" fontId="41" fillId="41" borderId="98" xfId="0" applyNumberFormat="1" applyFont="1" applyFill="1" applyBorder="1" applyAlignment="1" applyProtection="1">
      <alignment horizontal="center" vertical="center"/>
      <protection hidden="1"/>
    </xf>
    <xf numFmtId="0" fontId="41" fillId="41" borderId="99" xfId="0" applyNumberFormat="1" applyFont="1" applyFill="1" applyBorder="1" applyAlignment="1" applyProtection="1">
      <alignment horizontal="center" vertical="center"/>
      <protection hidden="1"/>
    </xf>
    <xf numFmtId="173" fontId="227" fillId="43" borderId="119" xfId="0" applyFont="1" applyFill="1" applyBorder="1" applyAlignment="1" applyProtection="1">
      <alignment horizontal="center" vertical="top"/>
      <protection hidden="1"/>
    </xf>
    <xf numFmtId="173" fontId="227" fillId="43" borderId="0" xfId="0" applyFont="1" applyFill="1" applyBorder="1" applyAlignment="1" applyProtection="1">
      <alignment horizontal="center" vertical="top"/>
      <protection hidden="1"/>
    </xf>
    <xf numFmtId="173" fontId="227" fillId="43" borderId="120" xfId="0" applyFont="1" applyFill="1" applyBorder="1" applyAlignment="1" applyProtection="1">
      <alignment horizontal="center" vertical="top"/>
      <protection hidden="1"/>
    </xf>
    <xf numFmtId="173" fontId="74" fillId="32" borderId="0" xfId="0" applyFont="1" applyFill="1" applyBorder="1" applyAlignment="1" applyProtection="1">
      <alignment horizontal="left" indent="1"/>
      <protection locked="0"/>
    </xf>
    <xf numFmtId="173" fontId="314" fillId="41" borderId="97" xfId="0" applyFont="1" applyFill="1" applyBorder="1" applyAlignment="1" applyProtection="1">
      <alignment horizontal="center" vertical="center"/>
      <protection hidden="1"/>
    </xf>
    <xf numFmtId="173" fontId="314" fillId="41" borderId="98" xfId="0" applyFont="1" applyFill="1" applyBorder="1" applyAlignment="1" applyProtection="1">
      <alignment horizontal="center" vertical="center"/>
      <protection hidden="1"/>
    </xf>
    <xf numFmtId="173" fontId="314" fillId="41" borderId="99" xfId="0" applyFont="1" applyFill="1" applyBorder="1" applyAlignment="1" applyProtection="1">
      <alignment horizontal="center" vertical="center"/>
      <protection hidden="1"/>
    </xf>
    <xf numFmtId="173" fontId="227" fillId="43" borderId="119" xfId="0" applyFont="1" applyFill="1" applyBorder="1" applyAlignment="1" applyProtection="1">
      <alignment horizontal="center"/>
      <protection hidden="1"/>
    </xf>
    <xf numFmtId="173" fontId="227" fillId="43" borderId="0" xfId="0" applyFont="1" applyFill="1" applyBorder="1" applyAlignment="1" applyProtection="1">
      <alignment horizontal="center"/>
      <protection hidden="1"/>
    </xf>
    <xf numFmtId="173" fontId="227" fillId="43" borderId="120" xfId="0" applyFont="1" applyFill="1" applyBorder="1" applyAlignment="1" applyProtection="1">
      <alignment horizontal="center"/>
      <protection hidden="1"/>
    </xf>
    <xf numFmtId="173" fontId="74" fillId="32" borderId="0" xfId="0" applyFont="1" applyFill="1" applyBorder="1" applyAlignment="1" applyProtection="1">
      <alignment horizontal="left"/>
      <protection locked="0"/>
    </xf>
    <xf numFmtId="173" fontId="25" fillId="0" borderId="19" xfId="0" applyFont="1" applyBorder="1" applyAlignment="1" applyProtection="1">
      <alignment horizontal="center" vertical="center"/>
      <protection locked="0" hidden="1"/>
    </xf>
    <xf numFmtId="173" fontId="25" fillId="0" borderId="20" xfId="0" applyFont="1" applyBorder="1" applyAlignment="1" applyProtection="1">
      <alignment horizontal="center" vertical="center"/>
      <protection locked="0" hidden="1"/>
    </xf>
    <xf numFmtId="213" fontId="25" fillId="0" borderId="19" xfId="0" applyNumberFormat="1" applyFont="1" applyBorder="1" applyAlignment="1" applyProtection="1">
      <alignment horizontal="center" vertical="center"/>
      <protection locked="0"/>
    </xf>
    <xf numFmtId="213" fontId="25" fillId="0" borderId="20" xfId="0" applyNumberFormat="1" applyFont="1" applyBorder="1" applyAlignment="1" applyProtection="1">
      <alignment horizontal="center" vertical="center"/>
      <protection locked="0"/>
    </xf>
    <xf numFmtId="173" fontId="25" fillId="0" borderId="19" xfId="0" applyFont="1" applyBorder="1" applyAlignment="1" applyProtection="1">
      <alignment horizontal="left" vertical="center" indent="1"/>
      <protection locked="0"/>
    </xf>
    <xf numFmtId="173" fontId="25" fillId="0" borderId="21" xfId="0" applyFont="1" applyBorder="1" applyAlignment="1" applyProtection="1">
      <alignment horizontal="left" vertical="center" indent="1"/>
      <protection locked="0"/>
    </xf>
    <xf numFmtId="173" fontId="25" fillId="0" borderId="20" xfId="0" applyFont="1" applyBorder="1" applyAlignment="1" applyProtection="1">
      <alignment horizontal="left" vertical="center" indent="1"/>
      <protection locked="0"/>
    </xf>
    <xf numFmtId="173" fontId="25" fillId="0" borderId="19" xfId="0" applyFont="1" applyBorder="1" applyAlignment="1" applyProtection="1">
      <alignment horizontal="center" vertical="center"/>
      <protection locked="0"/>
    </xf>
    <xf numFmtId="173" fontId="25" fillId="0" borderId="21" xfId="0" applyFont="1" applyBorder="1" applyAlignment="1" applyProtection="1">
      <alignment horizontal="center" vertical="center"/>
      <protection locked="0"/>
    </xf>
    <xf numFmtId="173" fontId="25" fillId="0" borderId="20" xfId="0" applyFont="1" applyBorder="1" applyAlignment="1" applyProtection="1">
      <alignment horizontal="center" vertical="center"/>
      <protection locked="0"/>
    </xf>
    <xf numFmtId="173" fontId="206" fillId="0" borderId="19" xfId="0" applyFont="1" applyBorder="1" applyAlignment="1" applyProtection="1">
      <alignment horizontal="left" vertical="center" indent="1"/>
      <protection locked="0"/>
    </xf>
    <xf numFmtId="173" fontId="206" fillId="0" borderId="21" xfId="0" applyFont="1" applyBorder="1" applyAlignment="1" applyProtection="1">
      <alignment horizontal="left" vertical="center" indent="1"/>
      <protection locked="0"/>
    </xf>
    <xf numFmtId="173" fontId="206" fillId="0" borderId="20" xfId="0" applyFont="1" applyBorder="1" applyAlignment="1" applyProtection="1">
      <alignment horizontal="left" vertical="center" indent="1"/>
      <protection locked="0"/>
    </xf>
    <xf numFmtId="173" fontId="25" fillId="0" borderId="0" xfId="0" applyFont="1" applyBorder="1" applyAlignment="1" applyProtection="1">
      <alignment horizontal="left" vertical="center" wrapText="1"/>
      <protection hidden="1"/>
    </xf>
    <xf numFmtId="173" fontId="69" fillId="0" borderId="0" xfId="0" applyFont="1" applyBorder="1" applyAlignment="1" applyProtection="1">
      <alignment horizontal="left" vertical="center" wrapText="1"/>
      <protection hidden="1"/>
    </xf>
    <xf numFmtId="173" fontId="69" fillId="0" borderId="21" xfId="0" applyFont="1" applyBorder="1" applyAlignment="1" applyProtection="1">
      <alignment horizontal="left" vertical="center" indent="1"/>
      <protection locked="0"/>
    </xf>
    <xf numFmtId="173" fontId="69" fillId="0" borderId="20" xfId="0" applyFont="1" applyBorder="1" applyAlignment="1" applyProtection="1">
      <alignment horizontal="left" vertical="center" indent="1"/>
      <protection locked="0"/>
    </xf>
    <xf numFmtId="173" fontId="87" fillId="33" borderId="0" xfId="0" applyFont="1" applyFill="1" applyBorder="1" applyAlignment="1" applyProtection="1">
      <alignment horizontal="left" vertical="center" indent="1"/>
      <protection hidden="1"/>
    </xf>
    <xf numFmtId="173" fontId="0" fillId="0" borderId="0" xfId="0" applyBorder="1" applyAlignment="1">
      <alignment horizontal="left" vertical="center" indent="1"/>
    </xf>
    <xf numFmtId="173" fontId="41" fillId="33" borderId="112" xfId="0" applyFont="1" applyFill="1" applyBorder="1" applyAlignment="1" applyProtection="1">
      <alignment horizontal="center" vertical="center"/>
      <protection hidden="1"/>
    </xf>
    <xf numFmtId="173" fontId="41" fillId="33" borderId="115" xfId="0" applyFont="1" applyFill="1" applyBorder="1" applyAlignment="1" applyProtection="1">
      <alignment horizontal="center" vertical="center"/>
      <protection hidden="1"/>
    </xf>
    <xf numFmtId="173" fontId="41" fillId="33" borderId="124" xfId="0" applyFont="1" applyFill="1" applyBorder="1" applyAlignment="1" applyProtection="1">
      <alignment horizontal="center" vertical="center"/>
      <protection hidden="1"/>
    </xf>
    <xf numFmtId="173" fontId="25" fillId="0" borderId="19" xfId="0" applyFont="1" applyBorder="1" applyAlignment="1" applyProtection="1">
      <alignment horizontal="left" vertical="center"/>
      <protection locked="0"/>
    </xf>
    <xf numFmtId="173" fontId="25" fillId="0" borderId="21" xfId="0" applyFont="1" applyBorder="1" applyAlignment="1" applyProtection="1">
      <alignment horizontal="left" vertical="center"/>
      <protection locked="0"/>
    </xf>
    <xf numFmtId="173" fontId="25" fillId="0" borderId="20" xfId="0" applyFont="1" applyBorder="1" applyAlignment="1" applyProtection="1">
      <alignment horizontal="left" vertical="center"/>
      <protection locked="0"/>
    </xf>
    <xf numFmtId="173" fontId="69" fillId="0" borderId="21" xfId="0" applyFont="1" applyBorder="1" applyProtection="1">
      <alignment horizontal="right"/>
      <protection locked="0"/>
    </xf>
    <xf numFmtId="173" fontId="69" fillId="0" borderId="20" xfId="0" applyFont="1" applyBorder="1" applyProtection="1">
      <alignment horizontal="right"/>
      <protection locked="0"/>
    </xf>
    <xf numFmtId="173" fontId="69" fillId="0" borderId="7" xfId="0" applyFont="1" applyBorder="1" applyAlignment="1" applyProtection="1">
      <alignment horizontal="left" vertical="center" wrapText="1"/>
      <protection hidden="1"/>
    </xf>
    <xf numFmtId="173" fontId="205" fillId="0" borderId="19" xfId="0" applyFont="1" applyBorder="1" applyAlignment="1" applyProtection="1">
      <alignment horizontal="center" vertical="center"/>
      <protection locked="0"/>
    </xf>
    <xf numFmtId="173" fontId="205" fillId="0" borderId="20" xfId="0" applyFont="1" applyBorder="1" applyAlignment="1" applyProtection="1">
      <alignment horizontal="center" vertical="center"/>
      <protection locked="0"/>
    </xf>
    <xf numFmtId="173" fontId="30" fillId="0" borderId="270" xfId="0" applyFont="1" applyBorder="1" applyAlignment="1" applyProtection="1">
      <alignment horizontal="center" vertical="center"/>
      <protection locked="0" hidden="1"/>
    </xf>
    <xf numFmtId="173" fontId="30" fillId="0" borderId="272" xfId="0" applyFont="1" applyBorder="1" applyAlignment="1" applyProtection="1">
      <alignment horizontal="center" vertical="center"/>
      <protection locked="0" hidden="1"/>
    </xf>
    <xf numFmtId="173" fontId="25" fillId="0" borderId="0" xfId="0" applyFont="1" applyBorder="1" applyAlignment="1" applyProtection="1">
      <alignment horizontal="left" vertical="top" wrapText="1"/>
      <protection locked="0"/>
    </xf>
    <xf numFmtId="173" fontId="69" fillId="0" borderId="0" xfId="0" applyFont="1" applyBorder="1" applyAlignment="1" applyProtection="1">
      <alignment horizontal="left" vertical="top" wrapText="1"/>
      <protection locked="0"/>
    </xf>
    <xf numFmtId="173" fontId="0" fillId="0" borderId="0" xfId="0" applyBorder="1" applyAlignment="1">
      <alignment horizontal="right" vertical="top" wrapText="1"/>
    </xf>
    <xf numFmtId="173" fontId="0" fillId="0" borderId="0" xfId="0" applyBorder="1" applyAlignment="1">
      <alignment horizontal="left" vertical="top" wrapText="1"/>
    </xf>
    <xf numFmtId="173" fontId="54" fillId="0" borderId="0" xfId="0" applyFont="1" applyFill="1" applyBorder="1" applyAlignment="1" applyProtection="1">
      <alignment horizontal="left" vertical="center"/>
      <protection hidden="1"/>
    </xf>
    <xf numFmtId="173" fontId="0" fillId="0" borderId="0" xfId="0" applyBorder="1" applyAlignment="1">
      <alignment horizontal="left" vertical="center"/>
    </xf>
    <xf numFmtId="173" fontId="54" fillId="0" borderId="0" xfId="0" applyFont="1" applyBorder="1" applyAlignment="1" applyProtection="1">
      <alignment vertical="center"/>
      <protection hidden="1"/>
    </xf>
    <xf numFmtId="173" fontId="0" fillId="0" borderId="0" xfId="0" applyBorder="1" applyAlignment="1">
      <alignment horizontal="right"/>
    </xf>
    <xf numFmtId="173" fontId="54" fillId="0" borderId="0" xfId="0" applyFont="1" applyBorder="1" applyAlignment="1" applyProtection="1">
      <alignment horizontal="left" vertical="center"/>
      <protection hidden="1"/>
    </xf>
    <xf numFmtId="173" fontId="0" fillId="0" borderId="0" xfId="0" applyBorder="1" applyAlignment="1" applyProtection="1">
      <alignment horizontal="left" vertical="center"/>
      <protection hidden="1"/>
    </xf>
    <xf numFmtId="173" fontId="69" fillId="0" borderId="0" xfId="0" applyFont="1" applyBorder="1" applyAlignment="1" applyProtection="1">
      <alignment vertical="top" wrapText="1"/>
      <protection locked="0"/>
    </xf>
    <xf numFmtId="173" fontId="25" fillId="0" borderId="0" xfId="0" applyFont="1" applyBorder="1" applyAlignment="1" applyProtection="1">
      <alignment horizontal="left" vertical="center" indent="1"/>
      <protection hidden="1"/>
    </xf>
    <xf numFmtId="173" fontId="104" fillId="0" borderId="194" xfId="0" applyFont="1" applyBorder="1" applyAlignment="1" applyProtection="1">
      <alignment horizontal="left" vertical="center" indent="1"/>
      <protection hidden="1"/>
    </xf>
    <xf numFmtId="173" fontId="0" fillId="0" borderId="194" xfId="0" applyBorder="1" applyAlignment="1">
      <alignment horizontal="left" vertical="center" indent="1"/>
    </xf>
    <xf numFmtId="173" fontId="25" fillId="0" borderId="0" xfId="27" applyFont="1" applyAlignment="1" applyProtection="1">
      <alignment horizontal="left" vertical="center"/>
      <protection hidden="1"/>
    </xf>
    <xf numFmtId="173" fontId="0" fillId="0" borderId="7" xfId="0" applyBorder="1" applyAlignment="1" applyProtection="1">
      <alignment horizontal="left" vertical="center"/>
      <protection hidden="1"/>
    </xf>
    <xf numFmtId="173" fontId="113" fillId="33" borderId="115" xfId="0" applyFont="1" applyFill="1" applyBorder="1" applyAlignment="1">
      <alignment horizontal="right" vertical="center"/>
    </xf>
    <xf numFmtId="173" fontId="113" fillId="33" borderId="124" xfId="0" applyFont="1" applyFill="1" applyBorder="1" applyAlignment="1">
      <alignment horizontal="right" vertical="center"/>
    </xf>
    <xf numFmtId="173" fontId="404" fillId="33" borderId="112" xfId="0" applyFont="1" applyFill="1" applyBorder="1" applyAlignment="1" applyProtection="1">
      <alignment horizontal="center" vertical="center"/>
      <protection hidden="1"/>
    </xf>
    <xf numFmtId="173" fontId="404" fillId="33" borderId="115" xfId="0" applyFont="1" applyFill="1" applyBorder="1" applyAlignment="1" applyProtection="1">
      <alignment horizontal="center" vertical="center"/>
      <protection hidden="1"/>
    </xf>
    <xf numFmtId="173" fontId="404" fillId="33" borderId="124" xfId="0" applyFont="1" applyFill="1" applyBorder="1" applyAlignment="1" applyProtection="1">
      <alignment horizontal="center" vertical="center"/>
      <protection hidden="1"/>
    </xf>
    <xf numFmtId="173" fontId="25" fillId="0" borderId="0" xfId="0" applyFont="1" applyBorder="1" applyAlignment="1" applyProtection="1">
      <alignment horizontal="left" vertical="top"/>
      <protection locked="0"/>
    </xf>
    <xf numFmtId="173" fontId="25" fillId="0" borderId="23" xfId="0" applyFont="1" applyBorder="1" applyAlignment="1" applyProtection="1">
      <alignment horizontal="left" vertical="top" wrapText="1"/>
      <protection locked="0"/>
    </xf>
    <xf numFmtId="173" fontId="25" fillId="0" borderId="8" xfId="0" applyFont="1" applyBorder="1" applyAlignment="1" applyProtection="1">
      <alignment horizontal="left" vertical="top"/>
      <protection locked="0"/>
    </xf>
    <xf numFmtId="173" fontId="25" fillId="0" borderId="238" xfId="0" applyFont="1" applyBorder="1" applyAlignment="1" applyProtection="1">
      <alignment horizontal="left" vertical="top"/>
      <protection locked="0"/>
    </xf>
    <xf numFmtId="173" fontId="25" fillId="0" borderId="22" xfId="0" applyFont="1" applyBorder="1" applyAlignment="1" applyProtection="1">
      <alignment horizontal="left" vertical="top"/>
      <protection locked="0"/>
    </xf>
    <xf numFmtId="173" fontId="25" fillId="0" borderId="9" xfId="0" applyFont="1" applyBorder="1" applyAlignment="1" applyProtection="1">
      <alignment horizontal="left" vertical="top"/>
      <protection locked="0"/>
    </xf>
    <xf numFmtId="173" fontId="25" fillId="0" borderId="5" xfId="0" applyFont="1" applyBorder="1" applyAlignment="1" applyProtection="1">
      <alignment horizontal="left" vertical="top"/>
      <protection locked="0"/>
    </xf>
    <xf numFmtId="173" fontId="25" fillId="0" borderId="199" xfId="0" applyFont="1" applyBorder="1" applyAlignment="1" applyProtection="1">
      <alignment horizontal="left" vertical="top"/>
      <protection locked="0"/>
    </xf>
    <xf numFmtId="173" fontId="25" fillId="0" borderId="16" xfId="0" applyFont="1" applyBorder="1" applyAlignment="1" applyProtection="1">
      <alignment horizontal="left" vertical="top"/>
      <protection locked="0"/>
    </xf>
    <xf numFmtId="173" fontId="152" fillId="0" borderId="8" xfId="7" applyFont="1" applyBorder="1" applyAlignment="1" applyProtection="1">
      <alignment horizontal="left" vertical="center"/>
      <protection hidden="1"/>
    </xf>
    <xf numFmtId="173" fontId="0" fillId="0" borderId="8" xfId="0" applyBorder="1" applyAlignment="1" applyProtection="1">
      <alignment horizontal="left" vertical="center"/>
      <protection hidden="1"/>
    </xf>
    <xf numFmtId="173" fontId="152" fillId="0" borderId="238" xfId="7" applyFont="1" applyBorder="1" applyAlignment="1" applyProtection="1">
      <alignment horizontal="left" vertical="center"/>
      <protection hidden="1"/>
    </xf>
    <xf numFmtId="173" fontId="148" fillId="0" borderId="8" xfId="0" applyFont="1" applyBorder="1" applyAlignment="1" applyProtection="1">
      <alignment horizontal="left" vertical="center"/>
      <protection hidden="1"/>
    </xf>
    <xf numFmtId="173" fontId="69" fillId="0" borderId="21" xfId="0" applyFont="1" applyBorder="1" applyAlignment="1">
      <alignment horizontal="left" vertical="center"/>
    </xf>
    <xf numFmtId="173" fontId="69" fillId="0" borderId="20" xfId="0" applyFont="1" applyBorder="1" applyAlignment="1">
      <alignment horizontal="left" vertical="center"/>
    </xf>
    <xf numFmtId="173" fontId="247" fillId="24" borderId="124" xfId="0" applyFont="1" applyFill="1" applyBorder="1" applyAlignment="1" applyProtection="1">
      <alignment horizontal="center" vertical="center"/>
      <protection hidden="1"/>
    </xf>
    <xf numFmtId="173" fontId="247" fillId="24" borderId="111" xfId="0" applyFont="1" applyFill="1" applyBorder="1" applyAlignment="1" applyProtection="1">
      <alignment horizontal="center" vertical="center"/>
      <protection hidden="1"/>
    </xf>
    <xf numFmtId="173" fontId="247" fillId="24" borderId="112" xfId="0" applyFont="1" applyFill="1" applyBorder="1" applyAlignment="1" applyProtection="1">
      <alignment horizontal="center" vertical="center"/>
      <protection hidden="1"/>
    </xf>
    <xf numFmtId="173" fontId="30" fillId="0" borderId="0" xfId="0" applyFont="1" applyBorder="1" applyAlignment="1" applyProtection="1">
      <alignment horizontal="right" vertical="center" indent="1"/>
      <protection hidden="1"/>
    </xf>
    <xf numFmtId="173" fontId="207" fillId="0" borderId="0" xfId="0" applyFont="1" applyBorder="1" applyAlignment="1" applyProtection="1">
      <alignment horizontal="right" vertical="center" indent="1"/>
      <protection hidden="1"/>
    </xf>
    <xf numFmtId="167" fontId="30" fillId="42" borderId="112" xfId="0" applyNumberFormat="1" applyFont="1" applyFill="1" applyBorder="1" applyAlignment="1" applyProtection="1">
      <alignment vertical="center"/>
      <protection hidden="1"/>
    </xf>
    <xf numFmtId="167" fontId="207" fillId="42" borderId="115" xfId="0" applyNumberFormat="1" applyFont="1" applyFill="1" applyBorder="1" applyAlignment="1" applyProtection="1">
      <alignment vertical="center"/>
      <protection hidden="1"/>
    </xf>
    <xf numFmtId="167" fontId="25" fillId="0" borderId="130" xfId="0" applyNumberFormat="1" applyFont="1" applyBorder="1" applyAlignment="1" applyProtection="1">
      <alignment vertical="center"/>
      <protection locked="0"/>
    </xf>
    <xf numFmtId="167" fontId="13" fillId="0" borderId="130" xfId="0" applyNumberFormat="1" applyFont="1" applyBorder="1" applyAlignment="1" applyProtection="1">
      <alignment vertical="center"/>
      <protection locked="0"/>
    </xf>
    <xf numFmtId="167" fontId="25" fillId="0" borderId="194" xfId="0" applyNumberFormat="1" applyFont="1" applyBorder="1" applyAlignment="1" applyProtection="1">
      <alignment vertical="center"/>
      <protection locked="0"/>
    </xf>
    <xf numFmtId="167" fontId="13" fillId="0" borderId="194" xfId="0" applyNumberFormat="1" applyFont="1" applyBorder="1" applyAlignment="1" applyProtection="1">
      <alignment vertical="center"/>
      <protection locked="0"/>
    </xf>
    <xf numFmtId="173" fontId="25" fillId="0" borderId="145" xfId="0" applyFont="1" applyBorder="1" applyAlignment="1" applyProtection="1">
      <alignment horizontal="left" vertical="center" indent="1"/>
      <protection locked="0"/>
    </xf>
    <xf numFmtId="173" fontId="13" fillId="0" borderId="244" xfId="0" applyFont="1" applyBorder="1" applyAlignment="1" applyProtection="1">
      <alignment horizontal="left" vertical="center" indent="1"/>
      <protection locked="0"/>
    </xf>
    <xf numFmtId="173" fontId="248" fillId="24" borderId="112" xfId="0" applyFont="1" applyFill="1" applyBorder="1" applyAlignment="1" applyProtection="1">
      <alignment horizontal="center" vertical="center" wrapText="1"/>
      <protection hidden="1"/>
    </xf>
    <xf numFmtId="173" fontId="248" fillId="24" borderId="124" xfId="0" applyFont="1" applyFill="1" applyBorder="1" applyAlignment="1" applyProtection="1">
      <alignment horizontal="center" vertical="center" wrapText="1"/>
      <protection hidden="1"/>
    </xf>
    <xf numFmtId="173" fontId="248" fillId="24" borderId="394" xfId="0" applyFont="1" applyFill="1" applyBorder="1" applyAlignment="1" applyProtection="1">
      <alignment horizontal="center" vertical="center" wrapText="1"/>
      <protection hidden="1"/>
    </xf>
    <xf numFmtId="173" fontId="248" fillId="24" borderId="281" xfId="0" applyFont="1" applyFill="1" applyBorder="1" applyAlignment="1" applyProtection="1">
      <alignment horizontal="center" vertical="center" wrapText="1"/>
      <protection hidden="1"/>
    </xf>
    <xf numFmtId="173" fontId="25" fillId="0" borderId="81" xfId="0" applyFont="1" applyBorder="1" applyAlignment="1" applyProtection="1">
      <alignment horizontal="left" vertical="center" indent="1"/>
      <protection locked="0"/>
    </xf>
    <xf numFmtId="173" fontId="13" fillId="0" borderId="138" xfId="0" applyFont="1" applyBorder="1" applyAlignment="1" applyProtection="1">
      <alignment horizontal="left" vertical="center" indent="1"/>
      <protection locked="0"/>
    </xf>
    <xf numFmtId="173" fontId="25" fillId="0" borderId="128" xfId="0" applyFont="1" applyBorder="1" applyAlignment="1" applyProtection="1">
      <alignment horizontal="left" vertical="center" indent="1"/>
      <protection locked="0"/>
    </xf>
    <xf numFmtId="173" fontId="13" fillId="0" borderId="300" xfId="0" applyFont="1" applyBorder="1" applyAlignment="1" applyProtection="1">
      <alignment horizontal="left" vertical="center" indent="1"/>
      <protection locked="0"/>
    </xf>
    <xf numFmtId="167" fontId="25" fillId="0" borderId="0" xfId="0" applyNumberFormat="1" applyFont="1" applyBorder="1" applyAlignment="1" applyProtection="1">
      <alignment vertical="center"/>
      <protection locked="0"/>
    </xf>
    <xf numFmtId="167" fontId="13" fillId="0" borderId="0" xfId="0" applyNumberFormat="1" applyFont="1" applyBorder="1" applyAlignment="1" applyProtection="1">
      <alignment vertical="center"/>
      <protection locked="0"/>
    </xf>
    <xf numFmtId="173" fontId="25" fillId="0" borderId="0" xfId="0" applyFont="1" applyBorder="1" applyAlignment="1" applyProtection="1">
      <alignment vertical="top" wrapText="1"/>
      <protection locked="0"/>
    </xf>
    <xf numFmtId="173" fontId="0" fillId="0" borderId="0" xfId="0" applyBorder="1" applyAlignment="1">
      <alignment vertical="top" wrapText="1"/>
    </xf>
    <xf numFmtId="173" fontId="81" fillId="0" borderId="0" xfId="0" applyFont="1" applyBorder="1" applyAlignment="1" applyProtection="1">
      <alignment horizontal="left" vertical="center"/>
      <protection hidden="1"/>
    </xf>
    <xf numFmtId="173" fontId="0" fillId="0" borderId="0" xfId="0" applyBorder="1" applyAlignment="1">
      <alignment horizontal="right" vertical="center"/>
    </xf>
    <xf numFmtId="173" fontId="0" fillId="0" borderId="0" xfId="0" applyBorder="1" applyAlignment="1" applyProtection="1">
      <alignment horizontal="right" vertical="center"/>
      <protection hidden="1"/>
    </xf>
    <xf numFmtId="173" fontId="54" fillId="0" borderId="0" xfId="27" applyFont="1" applyBorder="1" applyAlignment="1" applyProtection="1">
      <alignment horizontal="left" vertical="center"/>
      <protection hidden="1"/>
    </xf>
    <xf numFmtId="173" fontId="30" fillId="0" borderId="83" xfId="0" applyNumberFormat="1" applyFont="1" applyBorder="1" applyAlignment="1" applyProtection="1">
      <alignment horizontal="center" vertical="center"/>
      <protection locked="0"/>
    </xf>
    <xf numFmtId="173" fontId="30" fillId="0" borderId="84" xfId="0" applyNumberFormat="1" applyFont="1" applyBorder="1" applyAlignment="1" applyProtection="1">
      <alignment horizontal="center" vertical="center"/>
      <protection locked="0"/>
    </xf>
    <xf numFmtId="173" fontId="30" fillId="0" borderId="85" xfId="0" applyNumberFormat="1" applyFont="1" applyBorder="1" applyAlignment="1" applyProtection="1">
      <alignment horizontal="center" vertical="center"/>
      <protection locked="0"/>
    </xf>
    <xf numFmtId="173" fontId="30" fillId="0" borderId="83" xfId="0" applyFont="1" applyBorder="1" applyAlignment="1" applyProtection="1">
      <alignment horizontal="center" vertical="center"/>
      <protection locked="0" hidden="1"/>
    </xf>
    <xf numFmtId="173" fontId="0" fillId="0" borderId="84" xfId="0" applyBorder="1" applyAlignment="1">
      <alignment horizontal="center" vertical="center"/>
    </xf>
    <xf numFmtId="173" fontId="0" fillId="0" borderId="239" xfId="0" applyBorder="1" applyAlignment="1">
      <alignment horizontal="center" vertical="center"/>
    </xf>
    <xf numFmtId="173" fontId="0" fillId="0" borderId="85" xfId="0" applyBorder="1" applyAlignment="1">
      <alignment horizontal="center" vertical="center"/>
    </xf>
    <xf numFmtId="173" fontId="25" fillId="0" borderId="0" xfId="0" applyFont="1" applyBorder="1" applyAlignment="1" applyProtection="1">
      <alignment horizontal="right" vertical="center" indent="1"/>
      <protection hidden="1"/>
    </xf>
    <xf numFmtId="173" fontId="0" fillId="0" borderId="246" xfId="0" applyBorder="1" applyAlignment="1">
      <alignment horizontal="right" vertical="center" indent="1"/>
    </xf>
    <xf numFmtId="173" fontId="357" fillId="0" borderId="196" xfId="0" applyFont="1" applyBorder="1" applyAlignment="1" applyProtection="1">
      <alignment horizontal="center" vertical="center"/>
      <protection locked="0" hidden="1"/>
    </xf>
    <xf numFmtId="173" fontId="357" fillId="0" borderId="198" xfId="0" applyFont="1" applyBorder="1" applyAlignment="1" applyProtection="1">
      <alignment horizontal="center" vertical="center"/>
      <protection locked="0" hidden="1"/>
    </xf>
    <xf numFmtId="173" fontId="0" fillId="0" borderId="271" xfId="0" applyBorder="1" applyAlignment="1">
      <alignment horizontal="center" vertical="center"/>
    </xf>
    <xf numFmtId="173" fontId="0" fillId="0" borderId="272" xfId="0" applyBorder="1" applyAlignment="1">
      <alignment horizontal="center" vertical="center"/>
    </xf>
    <xf numFmtId="173" fontId="25" fillId="0" borderId="0" xfId="27" applyFont="1" applyBorder="1" applyAlignment="1" applyProtection="1">
      <alignment horizontal="left" vertical="center" wrapText="1" indent="4"/>
      <protection hidden="1"/>
    </xf>
    <xf numFmtId="173" fontId="25" fillId="0" borderId="7" xfId="27" applyFont="1" applyBorder="1" applyAlignment="1" applyProtection="1">
      <alignment horizontal="left" vertical="center" wrapText="1" indent="4"/>
      <protection hidden="1"/>
    </xf>
    <xf numFmtId="173" fontId="81" fillId="0" borderId="196" xfId="0" applyFont="1" applyBorder="1" applyAlignment="1" applyProtection="1">
      <alignment horizontal="right"/>
      <protection locked="0"/>
    </xf>
    <xf numFmtId="173" fontId="0" fillId="0" borderId="197" xfId="0" applyBorder="1" applyAlignment="1">
      <alignment horizontal="right"/>
    </xf>
    <xf numFmtId="173" fontId="25" fillId="0" borderId="130" xfId="0" applyFont="1" applyBorder="1" applyAlignment="1" applyProtection="1">
      <alignment horizontal="left" vertical="center" indent="1"/>
      <protection hidden="1"/>
    </xf>
    <xf numFmtId="173" fontId="0" fillId="0" borderId="130" xfId="0" applyBorder="1" applyAlignment="1">
      <alignment horizontal="left" vertical="center" indent="1"/>
    </xf>
    <xf numFmtId="173" fontId="0" fillId="0" borderId="0" xfId="0" applyBorder="1" applyAlignment="1">
      <alignment vertical="center"/>
    </xf>
    <xf numFmtId="173" fontId="25" fillId="0" borderId="0" xfId="0" applyFont="1" applyBorder="1" applyAlignment="1" applyProtection="1">
      <alignment horizontal="left" vertical="center" indent="4"/>
      <protection hidden="1"/>
    </xf>
    <xf numFmtId="173" fontId="25" fillId="0" borderId="246" xfId="0" applyFont="1" applyBorder="1" applyAlignment="1" applyProtection="1">
      <alignment horizontal="left" vertical="center" indent="4"/>
      <protection hidden="1"/>
    </xf>
    <xf numFmtId="173" fontId="0" fillId="0" borderId="0" xfId="0" applyBorder="1" applyAlignment="1" applyProtection="1">
      <alignment horizontal="right" vertical="center"/>
    </xf>
    <xf numFmtId="173" fontId="0" fillId="0" borderId="0" xfId="0" applyBorder="1" applyAlignment="1" applyProtection="1">
      <alignment horizontal="right"/>
    </xf>
    <xf numFmtId="173" fontId="25" fillId="0" borderId="0" xfId="0" applyFont="1" applyBorder="1" applyAlignment="1" applyProtection="1">
      <alignment horizontal="left" vertical="center" indent="5"/>
      <protection hidden="1"/>
    </xf>
    <xf numFmtId="173" fontId="25" fillId="0" borderId="7" xfId="0" applyFont="1" applyBorder="1" applyAlignment="1" applyProtection="1">
      <alignment horizontal="left" vertical="center" indent="5"/>
      <protection hidden="1"/>
    </xf>
    <xf numFmtId="173" fontId="30" fillId="0" borderId="247" xfId="0" applyFont="1" applyBorder="1" applyAlignment="1" applyProtection="1">
      <alignment horizontal="center" vertical="center"/>
      <protection locked="0"/>
    </xf>
    <xf numFmtId="173" fontId="207" fillId="0" borderId="248" xfId="0" applyFont="1" applyBorder="1" applyAlignment="1" applyProtection="1">
      <alignment horizontal="center" vertical="center"/>
      <protection locked="0"/>
    </xf>
    <xf numFmtId="173" fontId="0" fillId="0" borderId="249" xfId="0" applyBorder="1" applyAlignment="1">
      <alignment horizontal="right" vertical="center"/>
    </xf>
    <xf numFmtId="173" fontId="25" fillId="0" borderId="0" xfId="27" quotePrefix="1" applyFont="1" applyAlignment="1" applyProtection="1">
      <alignment horizontal="left" vertical="center"/>
      <protection hidden="1"/>
    </xf>
    <xf numFmtId="173" fontId="0" fillId="0" borderId="7" xfId="0" applyBorder="1" applyAlignment="1" applyProtection="1">
      <alignment horizontal="right"/>
      <protection hidden="1"/>
    </xf>
    <xf numFmtId="173" fontId="25" fillId="0" borderId="178" xfId="0" applyFont="1" applyBorder="1" applyAlignment="1" applyProtection="1">
      <alignment horizontal="left" vertical="center" indent="1"/>
      <protection hidden="1"/>
    </xf>
    <xf numFmtId="173" fontId="0" fillId="0" borderId="178" xfId="0" applyBorder="1" applyAlignment="1">
      <alignment horizontal="left" vertical="center" indent="1"/>
    </xf>
    <xf numFmtId="173" fontId="25" fillId="0" borderId="173" xfId="0" applyFont="1" applyBorder="1" applyAlignment="1" applyProtection="1">
      <alignment horizontal="left" vertical="center" indent="1"/>
      <protection hidden="1"/>
    </xf>
    <xf numFmtId="173" fontId="0" fillId="0" borderId="173" xfId="0" applyBorder="1" applyAlignment="1">
      <alignment horizontal="left" vertical="center" indent="1"/>
    </xf>
    <xf numFmtId="173" fontId="25" fillId="0" borderId="245" xfId="27" quotePrefix="1" applyFont="1" applyBorder="1" applyAlignment="1" applyProtection="1">
      <alignment horizontal="right" vertical="center" indent="1"/>
      <protection hidden="1"/>
    </xf>
    <xf numFmtId="173" fontId="0" fillId="0" borderId="7" xfId="0" applyBorder="1" applyAlignment="1" applyProtection="1">
      <alignment horizontal="right" indent="1"/>
      <protection hidden="1"/>
    </xf>
    <xf numFmtId="173" fontId="25" fillId="0" borderId="0" xfId="27" quotePrefix="1" applyFont="1" applyAlignment="1" applyProtection="1">
      <alignment horizontal="right" vertical="center" indent="1"/>
      <protection hidden="1"/>
    </xf>
    <xf numFmtId="173" fontId="25" fillId="0" borderId="130" xfId="0" applyFont="1" applyBorder="1" applyAlignment="1" applyProtection="1">
      <alignment horizontal="left" vertical="center" indent="1"/>
      <protection locked="0"/>
    </xf>
    <xf numFmtId="173" fontId="0" fillId="0" borderId="130" xfId="0" applyBorder="1" applyAlignment="1" applyProtection="1">
      <alignment horizontal="left" vertical="center" indent="1"/>
      <protection locked="0"/>
    </xf>
    <xf numFmtId="173" fontId="25" fillId="0" borderId="173" xfId="0" applyFont="1" applyBorder="1" applyAlignment="1" applyProtection="1">
      <alignment horizontal="left" vertical="center" indent="1"/>
      <protection locked="0"/>
    </xf>
    <xf numFmtId="173" fontId="0" fillId="0" borderId="173" xfId="0" applyBorder="1" applyAlignment="1" applyProtection="1">
      <alignment horizontal="left" vertical="center" indent="1"/>
      <protection locked="0"/>
    </xf>
    <xf numFmtId="173" fontId="25" fillId="0" borderId="0" xfId="27" applyFont="1" applyBorder="1" applyAlignment="1" applyProtection="1">
      <alignment horizontal="left" vertical="center"/>
      <protection hidden="1"/>
    </xf>
    <xf numFmtId="173" fontId="25" fillId="0" borderId="241" xfId="0" applyFont="1" applyBorder="1" applyAlignment="1" applyProtection="1">
      <alignment horizontal="left" vertical="center" indent="1"/>
      <protection locked="0"/>
    </xf>
    <xf numFmtId="173" fontId="0" fillId="0" borderId="239" xfId="0" applyBorder="1" applyAlignment="1">
      <alignment horizontal="left" vertical="center" indent="1"/>
    </xf>
    <xf numFmtId="173" fontId="0" fillId="0" borderId="242" xfId="0" applyBorder="1" applyAlignment="1">
      <alignment horizontal="left" vertical="center" indent="1"/>
    </xf>
    <xf numFmtId="173" fontId="62" fillId="0" borderId="0" xfId="0" applyFont="1" applyBorder="1" applyAlignment="1" applyProtection="1">
      <alignment horizontal="center" vertical="center" wrapText="1"/>
      <protection hidden="1"/>
    </xf>
    <xf numFmtId="173" fontId="41" fillId="33" borderId="260" xfId="0" applyFont="1" applyFill="1" applyBorder="1" applyAlignment="1" applyProtection="1">
      <alignment horizontal="center" vertical="center"/>
      <protection hidden="1"/>
    </xf>
    <xf numFmtId="173" fontId="41" fillId="13" borderId="125" xfId="0" applyFont="1" applyFill="1" applyBorder="1" applyAlignment="1" applyProtection="1">
      <alignment horizontal="left" vertical="center" indent="1"/>
      <protection hidden="1"/>
    </xf>
    <xf numFmtId="173" fontId="0" fillId="0" borderId="135" xfId="0" applyBorder="1" applyAlignment="1">
      <alignment horizontal="left" indent="1"/>
    </xf>
    <xf numFmtId="9" fontId="120" fillId="24" borderId="338" xfId="0" applyNumberFormat="1" applyFont="1" applyFill="1" applyBorder="1" applyAlignment="1" applyProtection="1">
      <alignment vertical="center"/>
      <protection hidden="1"/>
    </xf>
    <xf numFmtId="173" fontId="0" fillId="24" borderId="137" xfId="0" applyFill="1" applyBorder="1" applyAlignment="1">
      <alignment vertical="center"/>
    </xf>
    <xf numFmtId="173" fontId="0" fillId="24" borderId="138" xfId="0" applyFill="1" applyBorder="1" applyAlignment="1">
      <alignment vertical="center"/>
    </xf>
    <xf numFmtId="173" fontId="16" fillId="0" borderId="80" xfId="0" applyFont="1" applyFill="1" applyBorder="1" applyAlignment="1" applyProtection="1">
      <alignment horizontal="center" vertical="center"/>
      <protection hidden="1"/>
    </xf>
    <xf numFmtId="173" fontId="61" fillId="49" borderId="112" xfId="0" quotePrefix="1" applyFont="1" applyFill="1" applyBorder="1" applyAlignment="1" applyProtection="1">
      <alignment horizontal="center" vertical="center"/>
      <protection hidden="1"/>
    </xf>
    <xf numFmtId="173" fontId="61" fillId="49" borderId="124" xfId="0" quotePrefix="1" applyFont="1" applyFill="1" applyBorder="1" applyAlignment="1" applyProtection="1">
      <alignment horizontal="center" vertical="center"/>
      <protection hidden="1"/>
    </xf>
    <xf numFmtId="173" fontId="16" fillId="49" borderId="128" xfId="0" applyFont="1" applyFill="1" applyBorder="1" applyAlignment="1" applyProtection="1">
      <alignment horizontal="center" vertical="center" wrapText="1"/>
      <protection hidden="1"/>
    </xf>
    <xf numFmtId="173" fontId="16" fillId="49" borderId="539" xfId="0" applyFont="1" applyFill="1" applyBorder="1" applyAlignment="1" applyProtection="1">
      <alignment horizontal="center" vertical="center"/>
      <protection hidden="1"/>
    </xf>
    <xf numFmtId="173" fontId="369" fillId="0" borderId="0" xfId="0" applyFont="1" applyFill="1" applyBorder="1" applyAlignment="1" applyProtection="1">
      <alignment horizontal="right" vertical="center" indent="1"/>
      <protection hidden="1"/>
    </xf>
    <xf numFmtId="173" fontId="377" fillId="0" borderId="0" xfId="0" applyFont="1" applyFill="1" applyBorder="1" applyAlignment="1">
      <alignment horizontal="right" indent="1"/>
    </xf>
    <xf numFmtId="173" fontId="38" fillId="0" borderId="0" xfId="0" applyFont="1" applyBorder="1" applyAlignment="1" applyProtection="1">
      <alignment horizontal="left" vertical="center" wrapText="1" indent="1"/>
      <protection hidden="1"/>
    </xf>
    <xf numFmtId="173" fontId="0" fillId="0" borderId="0" xfId="0" applyBorder="1" applyAlignment="1" applyProtection="1">
      <alignment horizontal="left" vertical="center" wrapText="1" indent="1"/>
      <protection hidden="1"/>
    </xf>
    <xf numFmtId="173" fontId="248" fillId="24" borderId="300" xfId="0" applyFont="1" applyFill="1" applyBorder="1" applyAlignment="1" applyProtection="1">
      <alignment horizontal="center" vertical="center"/>
      <protection hidden="1"/>
    </xf>
    <xf numFmtId="173" fontId="248" fillId="24" borderId="214" xfId="0" applyFont="1" applyFill="1" applyBorder="1" applyAlignment="1" applyProtection="1">
      <alignment horizontal="center" vertical="center"/>
      <protection hidden="1"/>
    </xf>
    <xf numFmtId="0" fontId="273" fillId="24" borderId="385" xfId="32" applyFont="1" applyFill="1" applyBorder="1" applyAlignment="1" applyProtection="1">
      <alignment horizontal="center"/>
      <protection hidden="1"/>
    </xf>
    <xf numFmtId="177" fontId="377" fillId="24" borderId="363" xfId="0" applyNumberFormat="1" applyFont="1" applyFill="1" applyBorder="1" applyAlignment="1" applyProtection="1">
      <alignment horizontal="center" vertical="top"/>
      <protection hidden="1"/>
    </xf>
    <xf numFmtId="169" fontId="57" fillId="0" borderId="176" xfId="0" applyNumberFormat="1" applyFont="1" applyBorder="1" applyAlignment="1" applyProtection="1">
      <alignment horizontal="right" vertical="center"/>
      <protection hidden="1"/>
    </xf>
    <xf numFmtId="0" fontId="237" fillId="55" borderId="176" xfId="0" applyNumberFormat="1" applyFont="1" applyFill="1" applyBorder="1" applyAlignment="1" applyProtection="1">
      <alignment horizontal="right" vertical="center"/>
      <protection locked="0"/>
    </xf>
    <xf numFmtId="167" fontId="64" fillId="4" borderId="570" xfId="0" applyNumberFormat="1" applyFont="1" applyFill="1" applyBorder="1" applyAlignment="1" applyProtection="1">
      <alignment horizontal="right" vertical="center"/>
      <protection locked="0"/>
    </xf>
    <xf numFmtId="2" fontId="49" fillId="0" borderId="184" xfId="0" applyNumberFormat="1" applyFont="1" applyBorder="1" applyAlignment="1" applyProtection="1">
      <alignment horizontal="right" vertical="center"/>
      <protection hidden="1"/>
    </xf>
    <xf numFmtId="169" fontId="22" fillId="0" borderId="397" xfId="0" applyNumberFormat="1" applyFont="1" applyBorder="1" applyAlignment="1" applyProtection="1">
      <alignment horizontal="right" vertical="center"/>
      <protection hidden="1"/>
    </xf>
    <xf numFmtId="167" fontId="64" fillId="4" borderId="574" xfId="0" applyNumberFormat="1" applyFont="1" applyFill="1" applyBorder="1" applyAlignment="1" applyProtection="1">
      <alignment horizontal="right" vertical="center"/>
      <protection locked="0"/>
    </xf>
    <xf numFmtId="173" fontId="203" fillId="0" borderId="0" xfId="7" applyFont="1" applyBorder="1" applyAlignment="1" applyProtection="1">
      <alignment horizontal="left" vertical="center"/>
    </xf>
    <xf numFmtId="0" fontId="292" fillId="0" borderId="194" xfId="0" applyNumberFormat="1" applyFont="1" applyBorder="1" applyAlignment="1" applyProtection="1">
      <alignment horizontal="center" vertical="center"/>
      <protection hidden="1"/>
    </xf>
    <xf numFmtId="0" fontId="292" fillId="0" borderId="0" xfId="0" applyNumberFormat="1" applyFont="1" applyBorder="1" applyAlignment="1" applyProtection="1">
      <alignment horizontal="center" vertical="center"/>
      <protection hidden="1"/>
    </xf>
    <xf numFmtId="173" fontId="358" fillId="24" borderId="24" xfId="0" applyFont="1" applyFill="1" applyBorder="1" applyAlignment="1" applyProtection="1">
      <alignment horizontal="left" vertical="center" indent="1"/>
      <protection locked="0"/>
    </xf>
    <xf numFmtId="173" fontId="287" fillId="24" borderId="25" xfId="0" applyFont="1" applyFill="1" applyBorder="1" applyAlignment="1">
      <alignment horizontal="left" indent="1"/>
    </xf>
    <xf numFmtId="173" fontId="287" fillId="24" borderId="27" xfId="0" applyFont="1" applyFill="1" applyBorder="1" applyAlignment="1">
      <alignment horizontal="left" indent="1"/>
    </xf>
    <xf numFmtId="173" fontId="30" fillId="24" borderId="24" xfId="0" applyFont="1" applyFill="1" applyBorder="1" applyAlignment="1" applyProtection="1">
      <alignment horizontal="left" vertical="center" indent="1"/>
      <protection hidden="1"/>
    </xf>
    <xf numFmtId="173" fontId="0" fillId="24" borderId="25" xfId="0" applyFill="1" applyBorder="1" applyAlignment="1" applyProtection="1">
      <alignment horizontal="left" vertical="center" indent="1"/>
      <protection hidden="1"/>
    </xf>
    <xf numFmtId="173" fontId="0" fillId="24" borderId="25" xfId="0" applyFill="1" applyBorder="1" applyAlignment="1">
      <alignment horizontal="left" vertical="center" indent="1"/>
    </xf>
    <xf numFmtId="173" fontId="0" fillId="24" borderId="27" xfId="0" applyFill="1" applyBorder="1" applyAlignment="1">
      <alignment horizontal="left" vertical="center" indent="1"/>
    </xf>
    <xf numFmtId="167" fontId="170" fillId="27" borderId="133" xfId="0" applyNumberFormat="1" applyFont="1" applyFill="1" applyBorder="1" applyAlignment="1" applyProtection="1">
      <alignment horizontal="left" vertical="top" wrapText="1" indent="1"/>
      <protection hidden="1"/>
    </xf>
    <xf numFmtId="167" fontId="170" fillId="27" borderId="195" xfId="0" applyNumberFormat="1" applyFont="1" applyFill="1" applyBorder="1" applyAlignment="1" applyProtection="1">
      <alignment horizontal="left" vertical="top" wrapText="1" indent="1"/>
      <protection hidden="1"/>
    </xf>
    <xf numFmtId="173" fontId="0" fillId="0" borderId="107" xfId="0" applyBorder="1" applyAlignment="1">
      <alignment horizontal="left" vertical="top" wrapText="1" indent="1"/>
    </xf>
    <xf numFmtId="171" fontId="31" fillId="0" borderId="49" xfId="0" applyNumberFormat="1" applyFont="1" applyFill="1" applyBorder="1" applyAlignment="1" applyProtection="1">
      <alignment horizontal="center" vertical="center"/>
      <protection locked="0"/>
    </xf>
    <xf numFmtId="173" fontId="0" fillId="0" borderId="58" xfId="0" applyBorder="1" applyAlignment="1">
      <alignment horizontal="center" vertical="center"/>
    </xf>
    <xf numFmtId="171" fontId="31" fillId="0" borderId="51" xfId="0" applyNumberFormat="1" applyFont="1" applyFill="1" applyBorder="1" applyAlignment="1" applyProtection="1">
      <alignment horizontal="center" vertical="center"/>
      <protection locked="0"/>
    </xf>
    <xf numFmtId="173" fontId="0" fillId="0" borderId="75" xfId="0" applyBorder="1" applyAlignment="1">
      <alignment horizontal="center" vertical="center"/>
    </xf>
    <xf numFmtId="171" fontId="31" fillId="24" borderId="52" xfId="0" applyNumberFormat="1" applyFont="1" applyFill="1" applyBorder="1" applyAlignment="1" applyProtection="1">
      <alignment horizontal="center" vertical="center"/>
      <protection hidden="1"/>
    </xf>
    <xf numFmtId="173" fontId="0" fillId="0" borderId="61" xfId="0" applyBorder="1" applyAlignment="1">
      <alignment horizontal="center" vertical="center"/>
    </xf>
    <xf numFmtId="171" fontId="31" fillId="0" borderId="52" xfId="0" applyNumberFormat="1" applyFont="1" applyFill="1" applyBorder="1" applyAlignment="1" applyProtection="1">
      <alignment horizontal="center" vertical="center"/>
      <protection locked="0"/>
    </xf>
    <xf numFmtId="173" fontId="19" fillId="0" borderId="28" xfId="0" applyFont="1" applyBorder="1" applyAlignment="1" applyProtection="1">
      <alignment horizontal="left" vertical="center" indent="1"/>
      <protection hidden="1"/>
    </xf>
    <xf numFmtId="3" fontId="194" fillId="25" borderId="31" xfId="0" applyNumberFormat="1" applyFont="1" applyFill="1" applyBorder="1" applyAlignment="1" applyProtection="1">
      <alignment horizontal="left" vertical="center" wrapText="1"/>
      <protection hidden="1"/>
    </xf>
    <xf numFmtId="3" fontId="194" fillId="25" borderId="39" xfId="0" applyNumberFormat="1" applyFont="1" applyFill="1" applyBorder="1" applyAlignment="1" applyProtection="1">
      <alignment horizontal="left" vertical="center"/>
      <protection hidden="1"/>
    </xf>
    <xf numFmtId="173" fontId="0" fillId="0" borderId="44" xfId="0" applyBorder="1" applyAlignment="1" applyProtection="1">
      <alignment horizontal="left" vertical="center"/>
    </xf>
    <xf numFmtId="173" fontId="19" fillId="0" borderId="49" xfId="0" applyFont="1" applyBorder="1" applyAlignment="1" applyProtection="1">
      <alignment horizontal="left" vertical="center" indent="1"/>
      <protection locked="0"/>
    </xf>
    <xf numFmtId="173" fontId="19" fillId="0" borderId="108" xfId="0" applyFont="1" applyBorder="1" applyAlignment="1" applyProtection="1">
      <alignment horizontal="left" vertical="center" indent="1"/>
      <protection locked="0"/>
    </xf>
    <xf numFmtId="173" fontId="0" fillId="0" borderId="109" xfId="0" applyBorder="1" applyAlignment="1">
      <alignment horizontal="left" vertical="center" indent="1"/>
    </xf>
    <xf numFmtId="173" fontId="299" fillId="0" borderId="0" xfId="0" applyFont="1" applyFill="1" applyBorder="1" applyAlignment="1" applyProtection="1">
      <alignment horizontal="right" vertical="center" indent="1"/>
      <protection hidden="1"/>
    </xf>
    <xf numFmtId="173" fontId="300" fillId="0" borderId="0" xfId="0" applyFont="1" applyBorder="1" applyAlignment="1" applyProtection="1">
      <alignment horizontal="right" vertical="center" indent="1"/>
      <protection hidden="1"/>
    </xf>
    <xf numFmtId="173" fontId="19" fillId="0" borderId="51" xfId="0" applyFont="1" applyBorder="1" applyAlignment="1" applyProtection="1">
      <alignment horizontal="left" vertical="center" indent="1"/>
      <protection hidden="1"/>
    </xf>
    <xf numFmtId="173" fontId="0" fillId="0" borderId="82" xfId="0" applyBorder="1" applyAlignment="1">
      <alignment horizontal="left" vertical="center" indent="1"/>
    </xf>
    <xf numFmtId="173" fontId="0" fillId="0" borderId="64" xfId="0" applyBorder="1" applyAlignment="1">
      <alignment horizontal="left" vertical="center" indent="1"/>
    </xf>
    <xf numFmtId="173" fontId="19" fillId="0" borderId="28" xfId="0" applyFont="1" applyBorder="1" applyAlignment="1" applyProtection="1">
      <alignment horizontal="left" vertical="center" indent="1"/>
      <protection locked="0"/>
    </xf>
    <xf numFmtId="173" fontId="194" fillId="25" borderId="63" xfId="0" applyFont="1" applyFill="1" applyBorder="1" applyAlignment="1" applyProtection="1">
      <alignment horizontal="right" vertical="center" indent="1"/>
      <protection locked="0"/>
    </xf>
    <xf numFmtId="173" fontId="0" fillId="0" borderId="82" xfId="0" applyBorder="1" applyAlignment="1">
      <alignment horizontal="right" vertical="center" indent="1"/>
    </xf>
    <xf numFmtId="173" fontId="0" fillId="0" borderId="75" xfId="0" applyBorder="1" applyAlignment="1">
      <alignment horizontal="right" vertical="center" indent="1"/>
    </xf>
    <xf numFmtId="173" fontId="195" fillId="24" borderId="24" xfId="0" applyFont="1" applyFill="1" applyBorder="1" applyAlignment="1" applyProtection="1">
      <alignment horizontal="left" vertical="center"/>
      <protection hidden="1"/>
    </xf>
    <xf numFmtId="173" fontId="139" fillId="0" borderId="25" xfId="0" applyFont="1" applyBorder="1" applyAlignment="1" applyProtection="1">
      <alignment horizontal="left" vertical="center"/>
    </xf>
    <xf numFmtId="173" fontId="0" fillId="0" borderId="27" xfId="0" applyBorder="1" applyAlignment="1">
      <alignment horizontal="left" vertical="center"/>
    </xf>
    <xf numFmtId="171" fontId="31" fillId="24" borderId="204" xfId="0" applyNumberFormat="1" applyFont="1" applyFill="1" applyBorder="1" applyAlignment="1" applyProtection="1">
      <alignment horizontal="center" vertical="center"/>
      <protection locked="0"/>
    </xf>
    <xf numFmtId="173" fontId="0" fillId="0" borderId="67" xfId="0" applyBorder="1" applyAlignment="1">
      <alignment horizontal="center" vertical="center"/>
    </xf>
    <xf numFmtId="173" fontId="0" fillId="0" borderId="205" xfId="0" applyBorder="1" applyAlignment="1">
      <alignment horizontal="center" vertical="center"/>
    </xf>
    <xf numFmtId="173" fontId="0" fillId="0" borderId="139" xfId="0" applyBorder="1" applyAlignment="1">
      <alignment horizontal="center" vertical="center"/>
    </xf>
    <xf numFmtId="173" fontId="0" fillId="0" borderId="206" xfId="0" applyBorder="1" applyAlignment="1">
      <alignment horizontal="center" vertical="center"/>
    </xf>
    <xf numFmtId="173" fontId="0" fillId="0" borderId="70" xfId="0" applyBorder="1" applyAlignment="1">
      <alignment horizontal="center" vertical="center"/>
    </xf>
    <xf numFmtId="173" fontId="195" fillId="61" borderId="24" xfId="0" applyFont="1" applyFill="1" applyBorder="1" applyAlignment="1" applyProtection="1">
      <alignment horizontal="left" vertical="center" indent="1"/>
      <protection locked="0"/>
    </xf>
    <xf numFmtId="173" fontId="124" fillId="61" borderId="25" xfId="0" applyFont="1" applyFill="1" applyBorder="1" applyAlignment="1" applyProtection="1">
      <alignment horizontal="left" vertical="center" indent="1"/>
    </xf>
    <xf numFmtId="173" fontId="0" fillId="61" borderId="27" xfId="0" applyFill="1" applyBorder="1" applyAlignment="1">
      <alignment horizontal="left" vertical="center" indent="1"/>
    </xf>
    <xf numFmtId="167" fontId="19" fillId="0" borderId="28" xfId="0" applyNumberFormat="1" applyFont="1" applyFill="1" applyBorder="1" applyAlignment="1" applyProtection="1">
      <alignment vertical="center"/>
      <protection locked="0"/>
    </xf>
    <xf numFmtId="167" fontId="19" fillId="0" borderId="30" xfId="0" applyNumberFormat="1" applyFont="1" applyFill="1" applyBorder="1" applyAlignment="1" applyProtection="1">
      <alignment vertical="center"/>
      <protection locked="0"/>
    </xf>
    <xf numFmtId="167" fontId="51" fillId="0" borderId="37" xfId="0" applyNumberFormat="1" applyFont="1" applyBorder="1" applyAlignment="1" applyProtection="1">
      <alignment vertical="center"/>
      <protection locked="0"/>
    </xf>
    <xf numFmtId="167" fontId="51" fillId="0" borderId="38" xfId="0" applyNumberFormat="1" applyFont="1" applyBorder="1" applyAlignment="1" applyProtection="1">
      <alignment vertical="center"/>
      <protection locked="0"/>
    </xf>
    <xf numFmtId="167" fontId="51" fillId="0" borderId="39" xfId="0" applyNumberFormat="1" applyFont="1" applyBorder="1" applyAlignment="1" applyProtection="1">
      <alignment vertical="center"/>
      <protection locked="0"/>
    </xf>
    <xf numFmtId="167" fontId="51" fillId="0" borderId="40" xfId="0" applyNumberFormat="1" applyFont="1" applyBorder="1" applyAlignment="1" applyProtection="1">
      <alignment vertical="center"/>
      <protection locked="0"/>
    </xf>
    <xf numFmtId="167" fontId="15" fillId="4" borderId="31" xfId="0" applyNumberFormat="1" applyFont="1" applyFill="1" applyBorder="1" applyAlignment="1" applyProtection="1">
      <alignment vertical="center"/>
      <protection locked="0"/>
    </xf>
    <xf numFmtId="167" fontId="15" fillId="4" borderId="33" xfId="0" applyNumberFormat="1" applyFont="1" applyFill="1" applyBorder="1" applyAlignment="1" applyProtection="1">
      <alignment vertical="center"/>
      <protection locked="0"/>
    </xf>
    <xf numFmtId="167" fontId="195" fillId="24" borderId="46" xfId="0" applyNumberFormat="1" applyFont="1" applyFill="1" applyBorder="1" applyAlignment="1" applyProtection="1">
      <alignment vertical="center"/>
      <protection locked="0"/>
    </xf>
    <xf numFmtId="167" fontId="195" fillId="24" borderId="48" xfId="0" applyNumberFormat="1" applyFont="1" applyFill="1" applyBorder="1" applyAlignment="1" applyProtection="1">
      <alignment vertical="center"/>
      <protection locked="0"/>
    </xf>
    <xf numFmtId="167" fontId="15" fillId="4" borderId="39" xfId="0" applyNumberFormat="1" applyFont="1" applyFill="1" applyBorder="1" applyAlignment="1" applyProtection="1">
      <alignment vertical="center"/>
      <protection locked="0"/>
    </xf>
    <xf numFmtId="167" fontId="15" fillId="4" borderId="40" xfId="0" applyNumberFormat="1" applyFont="1" applyFill="1" applyBorder="1" applyAlignment="1" applyProtection="1">
      <alignment vertical="center"/>
      <protection locked="0"/>
    </xf>
    <xf numFmtId="167" fontId="292" fillId="0" borderId="66" xfId="0" applyNumberFormat="1" applyFont="1" applyFill="1" applyBorder="1" applyAlignment="1" applyProtection="1">
      <alignment horizontal="right" vertical="center"/>
      <protection hidden="1"/>
    </xf>
    <xf numFmtId="9" fontId="170" fillId="27" borderId="225" xfId="0" applyNumberFormat="1" applyFont="1" applyFill="1" applyBorder="1" applyAlignment="1" applyProtection="1">
      <alignment horizontal="center" vertical="top"/>
      <protection hidden="1"/>
    </xf>
    <xf numFmtId="9" fontId="170" fillId="27" borderId="226" xfId="0" applyNumberFormat="1" applyFont="1" applyFill="1" applyBorder="1" applyAlignment="1" applyProtection="1">
      <alignment horizontal="center" vertical="top"/>
      <protection hidden="1"/>
    </xf>
    <xf numFmtId="167" fontId="195" fillId="27" borderId="223" xfId="0" applyNumberFormat="1" applyFont="1" applyFill="1" applyBorder="1" applyAlignment="1" applyProtection="1">
      <alignment vertical="center"/>
      <protection locked="0"/>
    </xf>
    <xf numFmtId="173" fontId="0" fillId="27" borderId="224" xfId="0" applyFill="1" applyBorder="1" applyAlignment="1" applyProtection="1">
      <alignment vertical="center"/>
      <protection locked="0"/>
    </xf>
    <xf numFmtId="167" fontId="15" fillId="4" borderId="44" xfId="0" applyNumberFormat="1" applyFont="1" applyFill="1" applyBorder="1" applyAlignment="1" applyProtection="1">
      <alignment vertical="center"/>
      <protection locked="0"/>
    </xf>
    <xf numFmtId="167" fontId="15" fillId="4" borderId="41" xfId="0" applyNumberFormat="1" applyFont="1" applyFill="1" applyBorder="1" applyAlignment="1" applyProtection="1">
      <alignment vertical="center"/>
      <protection locked="0"/>
    </xf>
    <xf numFmtId="167" fontId="373" fillId="27" borderId="68" xfId="0" applyNumberFormat="1" applyFont="1" applyFill="1" applyBorder="1" applyAlignment="1" applyProtection="1">
      <alignment horizontal="left" vertical="center" wrapText="1"/>
      <protection hidden="1"/>
    </xf>
    <xf numFmtId="173" fontId="68" fillId="0" borderId="82" xfId="0" applyFont="1" applyBorder="1" applyAlignment="1">
      <alignment horizontal="right" vertical="center"/>
    </xf>
    <xf numFmtId="173" fontId="68" fillId="0" borderId="75" xfId="0" applyFont="1" applyBorder="1" applyAlignment="1">
      <alignment horizontal="right" vertical="center"/>
    </xf>
    <xf numFmtId="167" fontId="373" fillId="27" borderId="288" xfId="0" applyNumberFormat="1" applyFont="1" applyFill="1" applyBorder="1" applyAlignment="1" applyProtection="1">
      <alignment horizontal="left" vertical="center" wrapText="1"/>
      <protection hidden="1"/>
    </xf>
    <xf numFmtId="173" fontId="68" fillId="0" borderId="110" xfId="0" applyFont="1" applyBorder="1" applyAlignment="1">
      <alignment horizontal="right" vertical="center"/>
    </xf>
    <xf numFmtId="173" fontId="68" fillId="0" borderId="61" xfId="0" applyFont="1" applyBorder="1" applyAlignment="1">
      <alignment horizontal="right" vertical="center"/>
    </xf>
    <xf numFmtId="173" fontId="22" fillId="0" borderId="56" xfId="0" applyFont="1" applyBorder="1" applyAlignment="1" applyProtection="1">
      <alignment vertical="center"/>
      <protection hidden="1"/>
    </xf>
    <xf numFmtId="173" fontId="114" fillId="0" borderId="66" xfId="0" applyFont="1" applyBorder="1" applyAlignment="1" applyProtection="1">
      <protection hidden="1"/>
    </xf>
    <xf numFmtId="173" fontId="114" fillId="0" borderId="289" xfId="0" applyFont="1" applyBorder="1" applyAlignment="1" applyProtection="1">
      <protection hidden="1"/>
    </xf>
    <xf numFmtId="167" fontId="295" fillId="0" borderId="165" xfId="0" applyNumberFormat="1" applyFont="1" applyBorder="1" applyAlignment="1" applyProtection="1">
      <alignment horizontal="center" vertical="top"/>
      <protection hidden="1"/>
    </xf>
    <xf numFmtId="173" fontId="64" fillId="70" borderId="168" xfId="0" applyFont="1" applyFill="1" applyBorder="1" applyAlignment="1" applyProtection="1">
      <alignment horizontal="right" vertical="center"/>
      <protection hidden="1"/>
    </xf>
    <xf numFmtId="173" fontId="0" fillId="70" borderId="169" xfId="0" applyFill="1" applyBorder="1" applyAlignment="1" applyProtection="1">
      <alignment horizontal="right" vertical="center"/>
      <protection hidden="1"/>
    </xf>
    <xf numFmtId="173" fontId="0" fillId="70" borderId="170" xfId="0" applyFill="1" applyBorder="1" applyAlignment="1" applyProtection="1">
      <alignment horizontal="right" vertical="center"/>
      <protection hidden="1"/>
    </xf>
    <xf numFmtId="169" fontId="281" fillId="0" borderId="66" xfId="0" applyNumberFormat="1" applyFont="1" applyFill="1" applyBorder="1" applyAlignment="1" applyProtection="1">
      <alignment vertical="center" wrapText="1"/>
      <protection hidden="1"/>
    </xf>
    <xf numFmtId="173" fontId="294" fillId="0" borderId="66" xfId="0" applyFont="1" applyBorder="1" applyAlignment="1" applyProtection="1">
      <alignment horizontal="right"/>
      <protection hidden="1"/>
    </xf>
    <xf numFmtId="167" fontId="51" fillId="0" borderId="34" xfId="0" applyNumberFormat="1" applyFont="1" applyBorder="1" applyAlignment="1" applyProtection="1">
      <alignment vertical="center"/>
      <protection locked="0"/>
    </xf>
    <xf numFmtId="167" fontId="51" fillId="0" borderId="36" xfId="0" applyNumberFormat="1" applyFont="1" applyBorder="1" applyAlignment="1" applyProtection="1">
      <alignment vertical="center"/>
      <protection locked="0"/>
    </xf>
    <xf numFmtId="167" fontId="16" fillId="5" borderId="250" xfId="0" applyNumberFormat="1" applyFont="1" applyFill="1" applyBorder="1" applyAlignment="1" applyProtection="1">
      <alignment horizontal="center" vertical="center" wrapText="1"/>
      <protection locked="0" hidden="1"/>
    </xf>
    <xf numFmtId="167" fontId="16" fillId="5" borderId="252" xfId="0" applyNumberFormat="1" applyFont="1" applyFill="1" applyBorder="1" applyAlignment="1" applyProtection="1">
      <alignment horizontal="center" vertical="center" wrapText="1"/>
      <protection locked="0" hidden="1"/>
    </xf>
    <xf numFmtId="167" fontId="16" fillId="5" borderId="254" xfId="0" applyNumberFormat="1" applyFont="1" applyFill="1" applyBorder="1" applyAlignment="1" applyProtection="1">
      <alignment horizontal="center" vertical="center" wrapText="1"/>
      <protection locked="0" hidden="1"/>
    </xf>
    <xf numFmtId="167" fontId="16" fillId="5" borderId="253" xfId="0" applyNumberFormat="1" applyFont="1" applyFill="1" applyBorder="1" applyAlignment="1" applyProtection="1">
      <alignment horizontal="center" vertical="center" wrapText="1"/>
      <protection locked="0" hidden="1"/>
    </xf>
    <xf numFmtId="167" fontId="220" fillId="0" borderId="0" xfId="0" applyNumberFormat="1" applyFont="1" applyBorder="1" applyAlignment="1" applyProtection="1">
      <alignment horizontal="center" vertical="center" wrapText="1"/>
      <protection hidden="1"/>
    </xf>
    <xf numFmtId="173" fontId="137" fillId="24" borderId="56" xfId="0" applyFont="1" applyFill="1" applyBorder="1" applyAlignment="1" applyProtection="1">
      <alignment horizontal="left" vertical="center" indent="1"/>
      <protection locked="0"/>
    </xf>
    <xf numFmtId="173" fontId="15" fillId="0" borderId="66" xfId="0" applyFont="1" applyBorder="1" applyAlignment="1">
      <alignment horizontal="left" vertical="center" indent="1"/>
    </xf>
    <xf numFmtId="173" fontId="15" fillId="0" borderId="67" xfId="0" applyFont="1" applyBorder="1" applyAlignment="1">
      <alignment horizontal="left" vertical="center" indent="1"/>
    </xf>
    <xf numFmtId="173" fontId="194" fillId="25" borderId="74" xfId="0" applyFont="1" applyFill="1" applyBorder="1" applyAlignment="1" applyProtection="1">
      <alignment horizontal="right" vertical="center" indent="1"/>
      <protection locked="0"/>
    </xf>
    <xf numFmtId="173" fontId="194" fillId="25" borderId="14" xfId="0" applyFont="1" applyFill="1" applyBorder="1" applyAlignment="1" applyProtection="1">
      <alignment horizontal="right" vertical="center" indent="1"/>
      <protection locked="0"/>
    </xf>
    <xf numFmtId="167" fontId="19" fillId="0" borderId="35" xfId="0" applyNumberFormat="1" applyFont="1" applyFill="1" applyBorder="1" applyAlignment="1" applyProtection="1">
      <alignment vertical="center"/>
      <protection locked="0"/>
    </xf>
    <xf numFmtId="167" fontId="198" fillId="0" borderId="28" xfId="0" applyNumberFormat="1" applyFont="1" applyFill="1" applyBorder="1" applyAlignment="1" applyProtection="1">
      <alignment vertical="center"/>
      <protection locked="0"/>
    </xf>
    <xf numFmtId="167" fontId="16" fillId="34" borderId="251" xfId="0" applyNumberFormat="1" applyFont="1" applyFill="1" applyBorder="1" applyAlignment="1" applyProtection="1">
      <alignment horizontal="center" vertical="center"/>
      <protection locked="0" hidden="1"/>
    </xf>
    <xf numFmtId="167" fontId="16" fillId="34" borderId="253" xfId="0" applyNumberFormat="1" applyFont="1" applyFill="1" applyBorder="1" applyAlignment="1" applyProtection="1">
      <alignment horizontal="center" vertical="center"/>
      <protection locked="0" hidden="1"/>
    </xf>
    <xf numFmtId="167" fontId="295" fillId="0" borderId="0" xfId="0" applyNumberFormat="1" applyFont="1" applyBorder="1" applyAlignment="1" applyProtection="1">
      <alignment horizontal="center" vertical="center" wrapText="1"/>
      <protection hidden="1"/>
    </xf>
    <xf numFmtId="173" fontId="295" fillId="0" borderId="0" xfId="0" applyFont="1" applyBorder="1" applyAlignment="1" applyProtection="1">
      <alignment horizontal="center" vertical="center" wrapText="1"/>
      <protection hidden="1"/>
    </xf>
    <xf numFmtId="167" fontId="166" fillId="27" borderId="231" xfId="0" applyNumberFormat="1" applyFont="1" applyFill="1" applyBorder="1" applyAlignment="1" applyProtection="1">
      <alignment horizontal="left" vertical="center" wrapText="1" indent="1"/>
      <protection hidden="1"/>
    </xf>
    <xf numFmtId="173" fontId="0" fillId="0" borderId="232" xfId="0" applyBorder="1" applyAlignment="1">
      <alignment horizontal="left" vertical="center" wrapText="1" indent="1"/>
    </xf>
    <xf numFmtId="167" fontId="15" fillId="0" borderId="0" xfId="0" applyNumberFormat="1" applyFont="1" applyBorder="1" applyAlignment="1" applyProtection="1">
      <alignment horizontal="center"/>
      <protection locked="0"/>
    </xf>
    <xf numFmtId="167" fontId="16" fillId="49" borderId="303" xfId="0" quotePrefix="1" applyNumberFormat="1" applyFont="1" applyFill="1" applyBorder="1" applyAlignment="1" applyProtection="1">
      <alignment horizontal="center"/>
      <protection hidden="1"/>
    </xf>
    <xf numFmtId="167" fontId="16" fillId="49" borderId="300" xfId="0" quotePrefix="1" applyNumberFormat="1" applyFont="1" applyFill="1" applyBorder="1" applyAlignment="1" applyProtection="1">
      <alignment horizontal="center"/>
      <protection hidden="1"/>
    </xf>
    <xf numFmtId="167" fontId="15" fillId="0" borderId="191" xfId="0" applyNumberFormat="1" applyFont="1" applyBorder="1" applyAlignment="1" applyProtection="1">
      <alignment vertical="center"/>
      <protection locked="0"/>
    </xf>
    <xf numFmtId="167" fontId="15" fillId="0" borderId="214" xfId="0" applyNumberFormat="1" applyFont="1" applyBorder="1" applyAlignment="1" applyProtection="1">
      <alignment vertical="center"/>
      <protection locked="0"/>
    </xf>
    <xf numFmtId="174" fontId="53" fillId="49" borderId="407" xfId="0" applyNumberFormat="1" applyFont="1" applyFill="1" applyBorder="1" applyAlignment="1" applyProtection="1">
      <alignment horizontal="center" vertical="top"/>
      <protection hidden="1"/>
    </xf>
    <xf numFmtId="174" fontId="53" fillId="49" borderId="138" xfId="0" applyNumberFormat="1" applyFont="1" applyFill="1" applyBorder="1" applyAlignment="1" applyProtection="1">
      <alignment horizontal="center" vertical="top"/>
      <protection hidden="1"/>
    </xf>
    <xf numFmtId="173" fontId="194" fillId="25" borderId="12" xfId="0" applyFont="1" applyFill="1" applyBorder="1" applyAlignment="1" applyProtection="1">
      <alignment horizontal="right" vertical="center" indent="1"/>
      <protection locked="0"/>
    </xf>
    <xf numFmtId="167" fontId="15" fillId="0" borderId="451" xfId="0" applyNumberFormat="1" applyFont="1" applyBorder="1" applyAlignment="1" applyProtection="1">
      <alignment vertical="center"/>
      <protection hidden="1"/>
    </xf>
    <xf numFmtId="167" fontId="15" fillId="0" borderId="481" xfId="0" applyNumberFormat="1" applyFont="1" applyBorder="1" applyAlignment="1" applyProtection="1">
      <alignment vertical="center"/>
      <protection hidden="1"/>
    </xf>
    <xf numFmtId="167" fontId="45" fillId="10" borderId="480" xfId="0" applyNumberFormat="1" applyFont="1" applyFill="1" applyBorder="1" applyAlignment="1" applyProtection="1">
      <alignment horizontal="center" vertical="center"/>
      <protection hidden="1"/>
    </xf>
    <xf numFmtId="167" fontId="45" fillId="10" borderId="269" xfId="0" applyNumberFormat="1" applyFont="1" applyFill="1" applyBorder="1" applyAlignment="1" applyProtection="1">
      <alignment horizontal="center" vertical="center"/>
      <protection hidden="1"/>
    </xf>
    <xf numFmtId="167" fontId="248" fillId="25" borderId="146" xfId="0" applyNumberFormat="1" applyFont="1" applyFill="1" applyBorder="1" applyAlignment="1" applyProtection="1">
      <alignment vertical="center"/>
      <protection hidden="1"/>
    </xf>
    <xf numFmtId="167" fontId="248" fillId="25" borderId="334" xfId="0" applyNumberFormat="1" applyFont="1" applyFill="1" applyBorder="1" applyAlignment="1" applyProtection="1">
      <alignment vertical="center"/>
      <protection hidden="1"/>
    </xf>
    <xf numFmtId="167" fontId="15" fillId="0" borderId="80" xfId="0" applyNumberFormat="1" applyFont="1" applyBorder="1" applyAlignment="1" applyProtection="1">
      <alignment vertical="center"/>
      <protection hidden="1"/>
    </xf>
    <xf numFmtId="167" fontId="15" fillId="0" borderId="137" xfId="0" applyNumberFormat="1" applyFont="1" applyBorder="1" applyAlignment="1" applyProtection="1">
      <alignment vertical="center"/>
      <protection hidden="1"/>
    </xf>
    <xf numFmtId="167" fontId="15" fillId="0" borderId="178" xfId="0" applyNumberFormat="1" applyFont="1" applyBorder="1" applyAlignment="1" applyProtection="1">
      <alignment vertical="center"/>
      <protection locked="0"/>
    </xf>
    <xf numFmtId="167" fontId="15" fillId="0" borderId="274" xfId="0" applyNumberFormat="1" applyFont="1" applyBorder="1" applyAlignment="1" applyProtection="1">
      <alignment vertical="center"/>
      <protection locked="0"/>
    </xf>
    <xf numFmtId="167" fontId="16" fillId="5" borderId="136" xfId="0" applyNumberFormat="1" applyFont="1" applyFill="1" applyBorder="1" applyAlignment="1" applyProtection="1">
      <alignment horizontal="center" vertical="center" wrapText="1"/>
      <protection hidden="1"/>
    </xf>
    <xf numFmtId="167" fontId="16" fillId="5" borderId="137" xfId="0" applyNumberFormat="1" applyFont="1" applyFill="1" applyBorder="1" applyAlignment="1" applyProtection="1">
      <alignment horizontal="center" vertical="center" wrapText="1"/>
      <protection hidden="1"/>
    </xf>
    <xf numFmtId="169" fontId="333" fillId="0" borderId="132" xfId="0" applyNumberFormat="1" applyFont="1" applyBorder="1" applyAlignment="1" applyProtection="1">
      <alignment horizontal="center" vertical="center"/>
      <protection hidden="1"/>
    </xf>
    <xf numFmtId="173" fontId="332" fillId="0" borderId="338" xfId="0" applyFont="1" applyBorder="1" applyAlignment="1" applyProtection="1">
      <alignment horizontal="center" vertical="center"/>
      <protection hidden="1"/>
    </xf>
    <xf numFmtId="167" fontId="241" fillId="25" borderId="499" xfId="0" applyNumberFormat="1" applyFont="1" applyFill="1" applyBorder="1" applyAlignment="1" applyProtection="1">
      <protection hidden="1"/>
    </xf>
    <xf numFmtId="167" fontId="241" fillId="25" borderId="502" xfId="0" applyNumberFormat="1" applyFont="1" applyFill="1" applyBorder="1" applyAlignment="1" applyProtection="1">
      <protection hidden="1"/>
    </xf>
    <xf numFmtId="167" fontId="16" fillId="5" borderId="303" xfId="0" applyNumberFormat="1" applyFont="1" applyFill="1" applyBorder="1" applyAlignment="1" applyProtection="1">
      <alignment horizontal="center" vertical="center" wrapText="1"/>
      <protection hidden="1"/>
    </xf>
    <xf numFmtId="167" fontId="16" fillId="5" borderId="300" xfId="0" applyNumberFormat="1" applyFont="1" applyFill="1" applyBorder="1" applyAlignment="1" applyProtection="1">
      <alignment horizontal="center" vertical="center" wrapText="1"/>
      <protection hidden="1"/>
    </xf>
    <xf numFmtId="167" fontId="16" fillId="49" borderId="128" xfId="0" quotePrefix="1" applyNumberFormat="1" applyFont="1" applyFill="1" applyBorder="1" applyAlignment="1" applyProtection="1">
      <alignment horizontal="center"/>
      <protection hidden="1"/>
    </xf>
    <xf numFmtId="167" fontId="16" fillId="49" borderId="129" xfId="0" quotePrefix="1" applyNumberFormat="1" applyFont="1" applyFill="1" applyBorder="1" applyAlignment="1" applyProtection="1">
      <alignment horizontal="center"/>
      <protection hidden="1"/>
    </xf>
    <xf numFmtId="167" fontId="169" fillId="27" borderId="12" xfId="0" applyNumberFormat="1" applyFont="1" applyFill="1" applyBorder="1" applyAlignment="1" applyProtection="1">
      <alignment vertical="center"/>
      <protection locked="0"/>
    </xf>
    <xf numFmtId="173" fontId="0" fillId="27" borderId="14" xfId="0" applyFill="1" applyBorder="1" applyAlignment="1">
      <alignment vertical="center"/>
    </xf>
    <xf numFmtId="167" fontId="15" fillId="0" borderId="297" xfId="0" applyNumberFormat="1" applyFont="1" applyBorder="1" applyAlignment="1" applyProtection="1">
      <alignment vertical="center"/>
      <protection locked="0"/>
    </xf>
    <xf numFmtId="167" fontId="15" fillId="0" borderId="219" xfId="0" applyNumberFormat="1" applyFont="1" applyBorder="1" applyAlignment="1" applyProtection="1">
      <alignment vertical="center"/>
      <protection locked="0"/>
    </xf>
    <xf numFmtId="167" fontId="45" fillId="10" borderId="468" xfId="0" applyNumberFormat="1" applyFont="1" applyFill="1" applyBorder="1" applyAlignment="1" applyProtection="1">
      <alignment horizontal="center" vertical="center"/>
      <protection hidden="1"/>
    </xf>
    <xf numFmtId="167" fontId="45" fillId="10" borderId="173" xfId="0" applyNumberFormat="1" applyFont="1" applyFill="1" applyBorder="1" applyAlignment="1" applyProtection="1">
      <alignment horizontal="center" vertical="center"/>
      <protection hidden="1"/>
    </xf>
    <xf numFmtId="203" fontId="50" fillId="0" borderId="31" xfId="0" applyNumberFormat="1" applyFont="1" applyBorder="1" applyAlignment="1" applyProtection="1">
      <alignment horizontal="center" vertical="center"/>
      <protection hidden="1"/>
    </xf>
    <xf numFmtId="203" fontId="50" fillId="0" borderId="33" xfId="0" applyNumberFormat="1" applyFont="1" applyBorder="1" applyAlignment="1" applyProtection="1">
      <alignment horizontal="center" vertical="center"/>
      <protection hidden="1"/>
    </xf>
    <xf numFmtId="173" fontId="248" fillId="0" borderId="504" xfId="0" applyFont="1" applyBorder="1" applyAlignment="1" applyProtection="1">
      <alignment horizontal="center" vertical="center"/>
      <protection locked="0"/>
    </xf>
    <xf numFmtId="173" fontId="248" fillId="0" borderId="503" xfId="0" applyFont="1" applyBorder="1" applyAlignment="1" applyProtection="1">
      <alignment horizontal="center" vertical="center"/>
      <protection locked="0"/>
    </xf>
    <xf numFmtId="206" fontId="233" fillId="0" borderId="115" xfId="0" applyNumberFormat="1" applyFont="1" applyFill="1" applyBorder="1" applyAlignment="1" applyProtection="1">
      <alignment horizontal="left" vertical="center" indent="3"/>
      <protection locked="0" hidden="1"/>
    </xf>
    <xf numFmtId="173" fontId="0" fillId="0" borderId="115" xfId="0" applyBorder="1" applyAlignment="1" applyProtection="1">
      <alignment horizontal="left" indent="3"/>
      <protection hidden="1"/>
    </xf>
    <xf numFmtId="167" fontId="233" fillId="0" borderId="459" xfId="0" applyNumberFormat="1" applyFont="1" applyBorder="1" applyAlignment="1" applyProtection="1">
      <alignment horizontal="center" vertical="center"/>
      <protection locked="0"/>
    </xf>
    <xf numFmtId="167" fontId="233" fillId="0" borderId="460" xfId="0" applyNumberFormat="1" applyFont="1" applyBorder="1" applyAlignment="1" applyProtection="1">
      <alignment horizontal="center" vertical="center"/>
      <protection locked="0"/>
    </xf>
    <xf numFmtId="167" fontId="16" fillId="49" borderId="490" xfId="0" applyNumberFormat="1" applyFont="1" applyFill="1" applyBorder="1" applyAlignment="1" applyProtection="1">
      <alignment horizontal="center" vertical="center"/>
      <protection hidden="1"/>
    </xf>
    <xf numFmtId="167" fontId="16" fillId="49" borderId="277" xfId="0" applyNumberFormat="1" applyFont="1" applyFill="1" applyBorder="1" applyAlignment="1" applyProtection="1">
      <alignment horizontal="center" vertical="center"/>
      <protection hidden="1"/>
    </xf>
    <xf numFmtId="167" fontId="16" fillId="49" borderId="303" xfId="0" applyNumberFormat="1" applyFont="1" applyFill="1" applyBorder="1" applyAlignment="1" applyProtection="1">
      <alignment horizontal="center" vertical="center"/>
      <protection hidden="1"/>
    </xf>
    <xf numFmtId="167" fontId="16" fillId="49" borderId="300" xfId="0" applyNumberFormat="1" applyFont="1" applyFill="1" applyBorder="1" applyAlignment="1" applyProtection="1">
      <alignment horizontal="center" vertical="center"/>
      <protection hidden="1"/>
    </xf>
    <xf numFmtId="167" fontId="41" fillId="33" borderId="260" xfId="0" applyNumberFormat="1" applyFont="1" applyFill="1" applyBorder="1" applyAlignment="1" applyProtection="1">
      <alignment horizontal="center" vertical="center"/>
      <protection hidden="1"/>
    </xf>
    <xf numFmtId="173" fontId="0" fillId="0" borderId="115" xfId="0" applyBorder="1" applyAlignment="1">
      <alignment horizontal="right" vertical="center"/>
    </xf>
    <xf numFmtId="173" fontId="0" fillId="0" borderId="124" xfId="0" applyBorder="1" applyAlignment="1">
      <alignment horizontal="right" vertical="center"/>
    </xf>
    <xf numFmtId="167" fontId="16" fillId="15" borderId="136" xfId="0" applyNumberFormat="1" applyFont="1" applyFill="1" applyBorder="1" applyAlignment="1" applyProtection="1">
      <alignment horizontal="center" vertical="center"/>
      <protection hidden="1"/>
    </xf>
    <xf numFmtId="167" fontId="16" fillId="15" borderId="0" xfId="0" applyNumberFormat="1" applyFont="1" applyFill="1" applyBorder="1" applyAlignment="1" applyProtection="1">
      <alignment horizontal="center" vertical="center"/>
      <protection hidden="1"/>
    </xf>
    <xf numFmtId="167" fontId="16" fillId="15" borderId="17" xfId="0" applyNumberFormat="1" applyFont="1" applyFill="1" applyBorder="1" applyAlignment="1" applyProtection="1">
      <alignment horizontal="center" vertical="center"/>
      <protection hidden="1"/>
    </xf>
    <xf numFmtId="167" fontId="16" fillId="31" borderId="491" xfId="0" applyNumberFormat="1" applyFont="1" applyFill="1" applyBorder="1" applyAlignment="1" applyProtection="1">
      <alignment horizontal="center" vertical="top"/>
      <protection hidden="1"/>
    </xf>
    <xf numFmtId="167" fontId="16" fillId="31" borderId="178" xfId="0" applyNumberFormat="1" applyFont="1" applyFill="1" applyBorder="1" applyAlignment="1" applyProtection="1">
      <alignment horizontal="center" vertical="top"/>
      <protection hidden="1"/>
    </xf>
    <xf numFmtId="167" fontId="16" fillId="31" borderId="492" xfId="0" applyNumberFormat="1" applyFont="1" applyFill="1" applyBorder="1" applyAlignment="1" applyProtection="1">
      <alignment horizontal="center" vertical="top"/>
      <protection hidden="1"/>
    </xf>
    <xf numFmtId="167" fontId="16" fillId="31" borderId="489" xfId="0" applyNumberFormat="1" applyFont="1" applyFill="1" applyBorder="1" applyAlignment="1" applyProtection="1">
      <alignment horizontal="center" vertical="center"/>
      <protection hidden="1"/>
    </xf>
    <xf numFmtId="167" fontId="16" fillId="31" borderId="378" xfId="0" applyNumberFormat="1" applyFont="1" applyFill="1" applyBorder="1" applyAlignment="1" applyProtection="1">
      <alignment horizontal="center" vertical="center"/>
      <protection hidden="1"/>
    </xf>
    <xf numFmtId="167" fontId="16" fillId="49" borderId="491" xfId="0" applyNumberFormat="1" applyFont="1" applyFill="1" applyBorder="1" applyAlignment="1" applyProtection="1">
      <alignment horizontal="center" vertical="top"/>
      <protection hidden="1"/>
    </xf>
    <xf numFmtId="167" fontId="16" fillId="49" borderId="274" xfId="0" applyNumberFormat="1" applyFont="1" applyFill="1" applyBorder="1" applyAlignment="1" applyProtection="1">
      <alignment horizontal="center" vertical="top"/>
      <protection hidden="1"/>
    </xf>
    <xf numFmtId="167" fontId="167" fillId="27" borderId="10" xfId="0" applyNumberFormat="1" applyFont="1" applyFill="1" applyBorder="1" applyAlignment="1" applyProtection="1">
      <alignment vertical="center"/>
      <protection hidden="1"/>
    </xf>
    <xf numFmtId="167" fontId="167" fillId="27" borderId="11" xfId="0" applyNumberFormat="1" applyFont="1" applyFill="1" applyBorder="1" applyAlignment="1" applyProtection="1">
      <alignment vertical="center"/>
      <protection hidden="1"/>
    </xf>
    <xf numFmtId="167" fontId="16" fillId="49" borderId="80" xfId="0" quotePrefix="1" applyNumberFormat="1" applyFont="1" applyFill="1" applyBorder="1" applyAlignment="1" applyProtection="1">
      <alignment horizontal="center" vertical="center"/>
      <protection hidden="1"/>
    </xf>
    <xf numFmtId="167" fontId="16" fillId="49" borderId="0" xfId="0" quotePrefix="1" applyNumberFormat="1" applyFont="1" applyFill="1" applyBorder="1" applyAlignment="1" applyProtection="1">
      <alignment horizontal="center" vertical="center"/>
      <protection hidden="1"/>
    </xf>
    <xf numFmtId="167" fontId="16" fillId="35" borderId="491" xfId="0" applyNumberFormat="1" applyFont="1" applyFill="1" applyBorder="1" applyAlignment="1" applyProtection="1">
      <alignment horizontal="center" vertical="center"/>
      <protection hidden="1"/>
    </xf>
    <xf numFmtId="167" fontId="16" fillId="35" borderId="178" xfId="0" applyNumberFormat="1" applyFont="1" applyFill="1" applyBorder="1" applyAlignment="1" applyProtection="1">
      <alignment horizontal="center" vertical="center"/>
      <protection hidden="1"/>
    </xf>
    <xf numFmtId="167" fontId="167" fillId="27" borderId="77" xfId="0" applyNumberFormat="1" applyFont="1" applyFill="1" applyBorder="1" applyAlignment="1" applyProtection="1">
      <alignment vertical="center"/>
      <protection hidden="1"/>
    </xf>
    <xf numFmtId="167" fontId="16" fillId="49" borderId="136" xfId="0" quotePrefix="1" applyNumberFormat="1" applyFont="1" applyFill="1" applyBorder="1" applyAlignment="1" applyProtection="1">
      <alignment horizontal="center" vertical="center"/>
      <protection hidden="1"/>
    </xf>
    <xf numFmtId="167" fontId="16" fillId="49" borderId="137" xfId="0" quotePrefix="1" applyNumberFormat="1" applyFont="1" applyFill="1" applyBorder="1" applyAlignment="1" applyProtection="1">
      <alignment horizontal="center" vertical="center"/>
      <protection hidden="1"/>
    </xf>
    <xf numFmtId="167" fontId="61" fillId="49" borderId="303" xfId="0" quotePrefix="1" applyNumberFormat="1" applyFont="1" applyFill="1" applyBorder="1" applyAlignment="1" applyProtection="1">
      <alignment horizontal="center" vertical="center" wrapText="1"/>
      <protection hidden="1"/>
    </xf>
    <xf numFmtId="167" fontId="61" fillId="49" borderId="300" xfId="0" quotePrefix="1" applyNumberFormat="1" applyFont="1" applyFill="1" applyBorder="1" applyAlignment="1" applyProtection="1">
      <alignment horizontal="center" vertical="center" wrapText="1"/>
      <protection hidden="1"/>
    </xf>
    <xf numFmtId="167" fontId="195" fillId="24" borderId="46" xfId="0" applyNumberFormat="1" applyFont="1" applyFill="1" applyBorder="1" applyAlignment="1" applyProtection="1">
      <alignment vertical="center"/>
      <protection hidden="1"/>
    </xf>
    <xf numFmtId="167" fontId="195" fillId="24" borderId="48" xfId="0" applyNumberFormat="1" applyFont="1" applyFill="1" applyBorder="1" applyAlignment="1" applyProtection="1">
      <alignment vertical="center"/>
      <protection hidden="1"/>
    </xf>
    <xf numFmtId="167" fontId="16" fillId="5" borderId="368" xfId="0" applyNumberFormat="1" applyFont="1" applyFill="1" applyBorder="1" applyAlignment="1" applyProtection="1">
      <alignment horizontal="center" vertical="center" wrapText="1"/>
      <protection hidden="1"/>
    </xf>
    <xf numFmtId="167" fontId="16" fillId="5" borderId="430" xfId="0" applyNumberFormat="1" applyFont="1" applyFill="1" applyBorder="1" applyAlignment="1" applyProtection="1">
      <alignment horizontal="center" vertical="center" wrapText="1"/>
      <protection hidden="1"/>
    </xf>
    <xf numFmtId="167" fontId="15" fillId="4" borderId="31" xfId="0" applyNumberFormat="1" applyFont="1" applyFill="1" applyBorder="1" applyAlignment="1" applyProtection="1">
      <alignment vertical="center"/>
      <protection hidden="1"/>
    </xf>
    <xf numFmtId="167" fontId="15" fillId="4" borderId="33" xfId="0" applyNumberFormat="1" applyFont="1" applyFill="1" applyBorder="1" applyAlignment="1" applyProtection="1">
      <alignment vertical="center"/>
      <protection hidden="1"/>
    </xf>
    <xf numFmtId="167" fontId="15" fillId="4" borderId="39" xfId="0" applyNumberFormat="1" applyFont="1" applyFill="1" applyBorder="1" applyAlignment="1" applyProtection="1">
      <alignment vertical="center"/>
      <protection hidden="1"/>
    </xf>
    <xf numFmtId="167" fontId="15" fillId="4" borderId="40" xfId="0" applyNumberFormat="1" applyFont="1" applyFill="1" applyBorder="1" applyAlignment="1" applyProtection="1">
      <alignment vertical="center"/>
      <protection hidden="1"/>
    </xf>
    <xf numFmtId="173" fontId="64" fillId="27" borderId="14" xfId="0" applyFont="1" applyFill="1" applyBorder="1" applyAlignment="1" applyProtection="1">
      <alignment vertical="center"/>
      <protection locked="0"/>
    </xf>
    <xf numFmtId="167" fontId="16" fillId="5" borderId="447" xfId="0" applyNumberFormat="1" applyFont="1" applyFill="1" applyBorder="1" applyAlignment="1" applyProtection="1">
      <alignment horizontal="center" vertical="center" wrapText="1"/>
      <protection hidden="1"/>
    </xf>
    <xf numFmtId="167" fontId="16" fillId="5" borderId="431" xfId="0" applyNumberFormat="1" applyFont="1" applyFill="1" applyBorder="1" applyAlignment="1" applyProtection="1">
      <alignment horizontal="center" vertical="center" wrapText="1"/>
      <protection hidden="1"/>
    </xf>
    <xf numFmtId="167" fontId="15" fillId="4" borderId="37" xfId="0" applyNumberFormat="1" applyFont="1" applyFill="1" applyBorder="1" applyAlignment="1" applyProtection="1">
      <alignment vertical="center"/>
      <protection hidden="1"/>
    </xf>
    <xf numFmtId="167" fontId="15" fillId="4" borderId="38" xfId="0" applyNumberFormat="1" applyFont="1" applyFill="1" applyBorder="1" applyAlignment="1" applyProtection="1">
      <alignment vertical="center"/>
      <protection hidden="1"/>
    </xf>
    <xf numFmtId="167" fontId="15" fillId="4" borderId="34" xfId="0" applyNumberFormat="1" applyFont="1" applyFill="1" applyBorder="1" applyAlignment="1" applyProtection="1">
      <alignment vertical="center"/>
      <protection locked="0"/>
    </xf>
    <xf numFmtId="167" fontId="15" fillId="4" borderId="36" xfId="0" applyNumberFormat="1" applyFont="1" applyFill="1" applyBorder="1" applyAlignment="1" applyProtection="1">
      <alignment vertical="center"/>
      <protection locked="0"/>
    </xf>
    <xf numFmtId="167" fontId="15" fillId="4" borderId="292" xfId="0" applyNumberFormat="1" applyFont="1" applyFill="1" applyBorder="1" applyAlignment="1" applyProtection="1">
      <alignment vertical="center"/>
      <protection locked="0"/>
    </xf>
    <xf numFmtId="167" fontId="220" fillId="0" borderId="0" xfId="0" applyNumberFormat="1" applyFont="1" applyBorder="1" applyAlignment="1" applyProtection="1">
      <alignment horizontal="center" vertical="center"/>
      <protection hidden="1"/>
    </xf>
    <xf numFmtId="167" fontId="15" fillId="0" borderId="32" xfId="0" applyNumberFormat="1" applyFont="1" applyFill="1" applyBorder="1" applyAlignment="1" applyProtection="1">
      <alignment vertical="center"/>
      <protection locked="0"/>
    </xf>
    <xf numFmtId="167" fontId="15" fillId="0" borderId="49" xfId="0" applyNumberFormat="1" applyFont="1" applyFill="1" applyBorder="1" applyAlignment="1" applyProtection="1">
      <alignment vertical="center"/>
      <protection locked="0"/>
    </xf>
    <xf numFmtId="167" fontId="41" fillId="49" borderId="128" xfId="0" quotePrefix="1" applyNumberFormat="1" applyFont="1" applyFill="1" applyBorder="1" applyAlignment="1" applyProtection="1">
      <alignment horizontal="center" vertical="center"/>
      <protection hidden="1"/>
    </xf>
    <xf numFmtId="167" fontId="41" fillId="49" borderId="129" xfId="0" quotePrefix="1" applyNumberFormat="1" applyFont="1" applyFill="1" applyBorder="1" applyAlignment="1" applyProtection="1">
      <alignment horizontal="center" vertical="center"/>
      <protection hidden="1"/>
    </xf>
    <xf numFmtId="167" fontId="41" fillId="49" borderId="300" xfId="0" quotePrefix="1" applyNumberFormat="1" applyFont="1" applyFill="1" applyBorder="1" applyAlignment="1" applyProtection="1">
      <alignment horizontal="center" vertical="center"/>
      <protection hidden="1"/>
    </xf>
    <xf numFmtId="167" fontId="16" fillId="34" borderId="429" xfId="0" applyNumberFormat="1" applyFont="1" applyFill="1" applyBorder="1" applyAlignment="1" applyProtection="1">
      <alignment horizontal="center" vertical="center"/>
      <protection hidden="1"/>
    </xf>
    <xf numFmtId="167" fontId="16" fillId="34" borderId="431" xfId="0" applyNumberFormat="1" applyFont="1" applyFill="1" applyBorder="1" applyAlignment="1" applyProtection="1">
      <alignment horizontal="center" vertical="center"/>
      <protection hidden="1"/>
    </xf>
    <xf numFmtId="167" fontId="15" fillId="0" borderId="29" xfId="0" applyNumberFormat="1" applyFont="1" applyFill="1" applyBorder="1" applyAlignment="1" applyProtection="1">
      <alignment vertical="center"/>
      <protection locked="0"/>
    </xf>
    <xf numFmtId="167" fontId="15" fillId="0" borderId="50" xfId="0" applyNumberFormat="1" applyFont="1" applyFill="1" applyBorder="1" applyAlignment="1" applyProtection="1">
      <alignment vertical="center"/>
      <protection locked="0"/>
    </xf>
    <xf numFmtId="167" fontId="15" fillId="4" borderId="44" xfId="0" applyNumberFormat="1" applyFont="1" applyFill="1" applyBorder="1" applyAlignment="1" applyProtection="1">
      <alignment vertical="center"/>
      <protection hidden="1"/>
    </xf>
    <xf numFmtId="167" fontId="15" fillId="4" borderId="41" xfId="0" applyNumberFormat="1" applyFont="1" applyFill="1" applyBorder="1" applyAlignment="1" applyProtection="1">
      <alignment vertical="center"/>
      <protection hidden="1"/>
    </xf>
    <xf numFmtId="167" fontId="17" fillId="0" borderId="0" xfId="0" applyNumberFormat="1" applyFont="1" applyFill="1" applyBorder="1" applyAlignment="1" applyProtection="1">
      <alignment horizontal="center" vertical="center"/>
      <protection locked="0"/>
    </xf>
    <xf numFmtId="167" fontId="61" fillId="49" borderId="128" xfId="0" quotePrefix="1" applyNumberFormat="1" applyFont="1" applyFill="1" applyBorder="1" applyAlignment="1" applyProtection="1">
      <alignment horizontal="center" vertical="center" wrapText="1"/>
      <protection hidden="1"/>
    </xf>
    <xf numFmtId="167" fontId="61" fillId="49" borderId="129" xfId="0" quotePrefix="1" applyNumberFormat="1" applyFont="1" applyFill="1" applyBorder="1" applyAlignment="1" applyProtection="1">
      <alignment horizontal="center" vertical="center" wrapText="1"/>
      <protection hidden="1"/>
    </xf>
    <xf numFmtId="173" fontId="326" fillId="25" borderId="146" xfId="0" applyFont="1" applyFill="1" applyBorder="1" applyAlignment="1" applyProtection="1">
      <alignment horizontal="left" vertical="center" indent="1"/>
      <protection hidden="1"/>
    </xf>
    <xf numFmtId="173" fontId="398" fillId="25" borderId="185" xfId="0" applyFont="1" applyFill="1" applyBorder="1" applyAlignment="1" applyProtection="1">
      <alignment horizontal="left" vertical="center"/>
      <protection hidden="1"/>
    </xf>
    <xf numFmtId="167" fontId="15" fillId="0" borderId="0" xfId="0" applyNumberFormat="1" applyFont="1" applyBorder="1" applyAlignment="1" applyProtection="1">
      <alignment vertical="center"/>
      <protection locked="0"/>
    </xf>
    <xf numFmtId="167" fontId="16" fillId="49" borderId="484" xfId="0" quotePrefix="1" applyNumberFormat="1" applyFont="1" applyFill="1" applyBorder="1" applyAlignment="1" applyProtection="1">
      <alignment horizontal="center" vertical="center"/>
      <protection hidden="1"/>
    </xf>
    <xf numFmtId="167" fontId="16" fillId="49" borderId="384" xfId="0" quotePrefix="1" applyNumberFormat="1" applyFont="1" applyFill="1" applyBorder="1" applyAlignment="1" applyProtection="1">
      <alignment horizontal="center" vertical="center"/>
      <protection hidden="1"/>
    </xf>
    <xf numFmtId="167" fontId="16" fillId="49" borderId="486" xfId="0" quotePrefix="1" applyNumberFormat="1" applyFont="1" applyFill="1" applyBorder="1" applyAlignment="1" applyProtection="1">
      <alignment horizontal="center" vertical="center"/>
      <protection hidden="1"/>
    </xf>
    <xf numFmtId="167" fontId="248" fillId="25" borderId="185" xfId="0" applyNumberFormat="1" applyFont="1" applyFill="1" applyBorder="1" applyAlignment="1" applyProtection="1">
      <alignment vertical="center"/>
      <protection hidden="1"/>
    </xf>
    <xf numFmtId="167" fontId="15" fillId="0" borderId="448" xfId="0" applyNumberFormat="1" applyFont="1" applyBorder="1" applyAlignment="1" applyProtection="1">
      <alignment vertical="center"/>
      <protection locked="0"/>
    </xf>
    <xf numFmtId="167" fontId="16" fillId="49" borderId="406" xfId="0" quotePrefix="1" applyNumberFormat="1" applyFont="1" applyFill="1" applyBorder="1" applyAlignment="1" applyProtection="1">
      <alignment horizontal="center"/>
      <protection hidden="1"/>
    </xf>
    <xf numFmtId="167" fontId="45" fillId="10" borderId="478" xfId="0" applyNumberFormat="1" applyFont="1" applyFill="1" applyBorder="1" applyAlignment="1" applyProtection="1">
      <alignment horizontal="center" vertical="center"/>
      <protection hidden="1"/>
    </xf>
    <xf numFmtId="167" fontId="45" fillId="10" borderId="462" xfId="0" applyNumberFormat="1" applyFont="1" applyFill="1" applyBorder="1" applyAlignment="1" applyProtection="1">
      <alignment horizontal="center" vertical="center"/>
      <protection hidden="1"/>
    </xf>
    <xf numFmtId="174" fontId="53" fillId="49" borderId="81" xfId="0" applyNumberFormat="1" applyFont="1" applyFill="1" applyBorder="1" applyAlignment="1" applyProtection="1">
      <alignment horizontal="center" vertical="top"/>
      <protection hidden="1"/>
    </xf>
    <xf numFmtId="174" fontId="53" fillId="49" borderId="194" xfId="0" applyNumberFormat="1" applyFont="1" applyFill="1" applyBorder="1" applyAlignment="1" applyProtection="1">
      <alignment horizontal="center" vertical="top"/>
      <protection hidden="1"/>
    </xf>
    <xf numFmtId="167" fontId="15" fillId="0" borderId="497" xfId="0" applyNumberFormat="1" applyFont="1" applyBorder="1" applyAlignment="1" applyProtection="1">
      <alignment vertical="center"/>
      <protection locked="0"/>
    </xf>
    <xf numFmtId="167" fontId="15" fillId="0" borderId="188" xfId="0" applyNumberFormat="1" applyFont="1" applyBorder="1" applyAlignment="1" applyProtection="1">
      <alignment vertical="center"/>
      <protection locked="0"/>
    </xf>
    <xf numFmtId="167" fontId="16" fillId="49" borderId="171" xfId="0" applyNumberFormat="1" applyFont="1" applyFill="1" applyBorder="1" applyAlignment="1" applyProtection="1">
      <alignment horizontal="center" vertical="center"/>
      <protection hidden="1"/>
    </xf>
    <xf numFmtId="167" fontId="16" fillId="49" borderId="0" xfId="0" applyNumberFormat="1" applyFont="1" applyFill="1" applyBorder="1" applyAlignment="1" applyProtection="1">
      <alignment horizontal="center" vertical="center"/>
      <protection hidden="1"/>
    </xf>
    <xf numFmtId="167" fontId="16" fillId="49" borderId="135" xfId="0" applyNumberFormat="1" applyFont="1" applyFill="1" applyBorder="1" applyAlignment="1" applyProtection="1">
      <alignment horizontal="center" vertical="center"/>
      <protection hidden="1"/>
    </xf>
    <xf numFmtId="167" fontId="241" fillId="25" borderId="501" xfId="0" applyNumberFormat="1" applyFont="1" applyFill="1" applyBorder="1" applyAlignment="1" applyProtection="1">
      <protection hidden="1"/>
    </xf>
    <xf numFmtId="167" fontId="248" fillId="25" borderId="146" xfId="0" applyNumberFormat="1" applyFont="1" applyFill="1" applyBorder="1" applyAlignment="1" applyProtection="1">
      <alignment horizontal="center" vertical="center"/>
      <protection hidden="1"/>
    </xf>
    <xf numFmtId="167" fontId="248" fillId="25" borderId="257" xfId="0" applyNumberFormat="1" applyFont="1" applyFill="1" applyBorder="1" applyAlignment="1" applyProtection="1">
      <alignment horizontal="center" vertical="center"/>
      <protection hidden="1"/>
    </xf>
    <xf numFmtId="173" fontId="41" fillId="49" borderId="428" xfId="0" applyFont="1" applyFill="1" applyBorder="1" applyAlignment="1" applyProtection="1">
      <alignment horizontal="center" vertical="center"/>
      <protection hidden="1"/>
    </xf>
    <xf numFmtId="173" fontId="41" fillId="49" borderId="378" xfId="0" applyFont="1" applyFill="1" applyBorder="1" applyAlignment="1" applyProtection="1">
      <alignment horizontal="center" vertical="center"/>
      <protection hidden="1"/>
    </xf>
    <xf numFmtId="167" fontId="16" fillId="49" borderId="213" xfId="0" applyNumberFormat="1" applyFont="1" applyFill="1" applyBorder="1" applyAlignment="1" applyProtection="1">
      <alignment horizontal="center" vertical="top"/>
      <protection hidden="1"/>
    </xf>
    <xf numFmtId="167" fontId="16" fillId="49" borderId="178" xfId="0" applyNumberFormat="1" applyFont="1" applyFill="1" applyBorder="1" applyAlignment="1" applyProtection="1">
      <alignment horizontal="center" vertical="top"/>
      <protection hidden="1"/>
    </xf>
    <xf numFmtId="173" fontId="19" fillId="0" borderId="80" xfId="0" applyFont="1" applyBorder="1" applyAlignment="1" applyProtection="1">
      <alignment horizontal="left" vertical="center" indent="1"/>
      <protection locked="0"/>
    </xf>
    <xf numFmtId="173" fontId="95" fillId="0" borderId="0" xfId="0" applyFont="1" applyBorder="1" applyAlignment="1" applyProtection="1">
      <alignment horizontal="left" vertical="center" indent="1"/>
      <protection locked="0"/>
    </xf>
    <xf numFmtId="167" fontId="16" fillId="35" borderId="429" xfId="0" applyNumberFormat="1" applyFont="1" applyFill="1" applyBorder="1" applyAlignment="1" applyProtection="1">
      <alignment horizontal="center" vertical="center"/>
      <protection hidden="1"/>
    </xf>
    <xf numFmtId="167" fontId="16" fillId="35" borderId="430" xfId="0" applyNumberFormat="1" applyFont="1" applyFill="1" applyBorder="1" applyAlignment="1" applyProtection="1">
      <alignment horizontal="center" vertical="center"/>
      <protection hidden="1"/>
    </xf>
    <xf numFmtId="167" fontId="16" fillId="49" borderId="171" xfId="0" applyNumberFormat="1" applyFont="1" applyFill="1" applyBorder="1" applyAlignment="1" applyProtection="1">
      <alignment horizontal="center" vertical="center" wrapText="1"/>
      <protection hidden="1"/>
    </xf>
    <xf numFmtId="167" fontId="16" fillId="49" borderId="17" xfId="0" applyNumberFormat="1" applyFont="1" applyFill="1" applyBorder="1" applyAlignment="1" applyProtection="1">
      <alignment horizontal="center" vertical="center" wrapText="1"/>
      <protection hidden="1"/>
    </xf>
    <xf numFmtId="167" fontId="57" fillId="0" borderId="80" xfId="0" applyNumberFormat="1" applyFont="1" applyBorder="1" applyAlignment="1" applyProtection="1">
      <alignment horizontal="center" vertical="center"/>
      <protection locked="0"/>
    </xf>
    <xf numFmtId="167" fontId="57" fillId="0" borderId="126" xfId="0" applyNumberFormat="1" applyFont="1" applyBorder="1" applyAlignment="1" applyProtection="1">
      <alignment horizontal="center" vertical="center"/>
      <protection locked="0"/>
    </xf>
    <xf numFmtId="173" fontId="41" fillId="49" borderId="194" xfId="0" applyFont="1" applyFill="1" applyBorder="1" applyAlignment="1" applyProtection="1">
      <alignment horizontal="center" vertical="center"/>
      <protection hidden="1"/>
    </xf>
    <xf numFmtId="173" fontId="41" fillId="49" borderId="212" xfId="0" applyFont="1" applyFill="1" applyBorder="1" applyAlignment="1" applyProtection="1">
      <alignment horizontal="center" vertical="center"/>
      <protection hidden="1"/>
    </xf>
    <xf numFmtId="167" fontId="57" fillId="0" borderId="451" xfId="0" applyNumberFormat="1" applyFont="1" applyBorder="1" applyAlignment="1" applyProtection="1">
      <alignment horizontal="center" vertical="center"/>
      <protection locked="0"/>
    </xf>
    <xf numFmtId="167" fontId="57" fillId="0" borderId="483" xfId="0" applyNumberFormat="1" applyFont="1" applyBorder="1" applyAlignment="1" applyProtection="1">
      <alignment horizontal="center" vertical="center"/>
      <protection locked="0"/>
    </xf>
    <xf numFmtId="173" fontId="203" fillId="0" borderId="0" xfId="7" applyFont="1" applyBorder="1" applyAlignment="1" applyProtection="1">
      <alignment horizontal="left"/>
      <protection locked="0"/>
    </xf>
    <xf numFmtId="173" fontId="203" fillId="0" borderId="0" xfId="7" applyFont="1" applyBorder="1" applyAlignment="1" applyProtection="1">
      <alignment horizontal="left"/>
    </xf>
    <xf numFmtId="173" fontId="203" fillId="0" borderId="0" xfId="7" applyFont="1" applyBorder="1" applyAlignment="1" applyProtection="1"/>
    <xf numFmtId="173" fontId="19" fillId="0" borderId="32" xfId="0" applyFont="1" applyBorder="1" applyAlignment="1" applyProtection="1">
      <alignment horizontal="left" vertical="center" indent="1"/>
      <protection hidden="1"/>
    </xf>
    <xf numFmtId="173" fontId="41" fillId="33" borderId="426" xfId="0" applyFont="1" applyFill="1" applyBorder="1" applyAlignment="1" applyProtection="1">
      <alignment horizontal="center" vertical="center" wrapText="1"/>
      <protection hidden="1"/>
    </xf>
    <xf numFmtId="173" fontId="41" fillId="33" borderId="428" xfId="0" applyFont="1" applyFill="1" applyBorder="1" applyAlignment="1" applyProtection="1">
      <alignment horizontal="center" vertical="center" wrapText="1"/>
      <protection hidden="1"/>
    </xf>
    <xf numFmtId="173" fontId="19" fillId="0" borderId="35" xfId="0" applyFont="1" applyBorder="1" applyAlignment="1" applyProtection="1">
      <alignment horizontal="left" vertical="center" indent="1"/>
      <protection locked="0"/>
    </xf>
    <xf numFmtId="173" fontId="79" fillId="57" borderId="190" xfId="0" applyFont="1" applyFill="1" applyBorder="1" applyAlignment="1" applyProtection="1">
      <alignment horizontal="center" vertical="center"/>
      <protection hidden="1"/>
    </xf>
    <xf numFmtId="173" fontId="79" fillId="57" borderId="506" xfId="0" applyFont="1" applyFill="1" applyBorder="1" applyAlignment="1" applyProtection="1">
      <alignment horizontal="center" vertical="center"/>
      <protection hidden="1"/>
    </xf>
    <xf numFmtId="167" fontId="16" fillId="49" borderId="128" xfId="0" applyNumberFormat="1" applyFont="1" applyFill="1" applyBorder="1" applyAlignment="1" applyProtection="1">
      <alignment horizontal="center" vertical="center"/>
      <protection hidden="1"/>
    </xf>
    <xf numFmtId="167" fontId="16" fillId="49" borderId="129" xfId="0" applyNumberFormat="1" applyFont="1" applyFill="1" applyBorder="1" applyAlignment="1" applyProtection="1">
      <alignment horizontal="center" vertical="center"/>
      <protection hidden="1"/>
    </xf>
    <xf numFmtId="167" fontId="15" fillId="0" borderId="35" xfId="0" applyNumberFormat="1" applyFont="1" applyFill="1" applyBorder="1" applyAlignment="1" applyProtection="1">
      <alignment vertical="center"/>
      <protection locked="0"/>
    </xf>
    <xf numFmtId="167" fontId="15" fillId="0" borderId="52" xfId="0" applyNumberFormat="1" applyFont="1" applyFill="1" applyBorder="1" applyAlignment="1" applyProtection="1">
      <alignment vertical="center"/>
      <protection locked="0"/>
    </xf>
    <xf numFmtId="173" fontId="41" fillId="33" borderId="299" xfId="0" applyFont="1" applyFill="1" applyBorder="1" applyAlignment="1" applyProtection="1">
      <alignment horizontal="center" vertical="center"/>
      <protection hidden="1"/>
    </xf>
    <xf numFmtId="173" fontId="41" fillId="33" borderId="301" xfId="0" applyFont="1" applyFill="1" applyBorder="1" applyAlignment="1" applyProtection="1">
      <alignment horizontal="center" vertical="center"/>
      <protection hidden="1"/>
    </xf>
    <xf numFmtId="3" fontId="194" fillId="25" borderId="105" xfId="0" applyNumberFormat="1" applyFont="1" applyFill="1" applyBorder="1" applyAlignment="1" applyProtection="1">
      <alignment horizontal="left" vertical="center" wrapText="1"/>
      <protection hidden="1"/>
    </xf>
    <xf numFmtId="3" fontId="194" fillId="25" borderId="45" xfId="0" applyNumberFormat="1" applyFont="1" applyFill="1" applyBorder="1" applyAlignment="1" applyProtection="1">
      <alignment horizontal="left" vertical="center" wrapText="1"/>
      <protection hidden="1"/>
    </xf>
    <xf numFmtId="173" fontId="16" fillId="33" borderId="359" xfId="0" applyFont="1" applyFill="1" applyBorder="1" applyAlignment="1" applyProtection="1">
      <alignment horizontal="center" vertical="center" wrapText="1"/>
      <protection hidden="1"/>
    </xf>
    <xf numFmtId="173" fontId="16" fillId="33" borderId="366" xfId="0" applyFont="1" applyFill="1" applyBorder="1" applyAlignment="1" applyProtection="1">
      <alignment horizontal="center" vertical="center" wrapText="1"/>
      <protection hidden="1"/>
    </xf>
    <xf numFmtId="173" fontId="19" fillId="0" borderId="51" xfId="0" applyFont="1" applyBorder="1" applyAlignment="1" applyProtection="1">
      <alignment horizontal="left" vertical="center" indent="1"/>
      <protection locked="0"/>
    </xf>
    <xf numFmtId="173" fontId="19" fillId="0" borderId="82" xfId="0" applyFont="1" applyBorder="1" applyAlignment="1" applyProtection="1">
      <alignment horizontal="left" vertical="center" indent="1"/>
      <protection locked="0"/>
    </xf>
    <xf numFmtId="173" fontId="19" fillId="0" borderId="50" xfId="0" applyFont="1" applyBorder="1" applyAlignment="1" applyProtection="1">
      <alignment horizontal="left" vertical="center" indent="1"/>
      <protection locked="0"/>
    </xf>
    <xf numFmtId="173" fontId="19" fillId="0" borderId="202" xfId="0" applyFont="1" applyBorder="1" applyAlignment="1" applyProtection="1">
      <alignment horizontal="left" vertical="center" indent="1"/>
      <protection locked="0"/>
    </xf>
    <xf numFmtId="173" fontId="0" fillId="0" borderId="203" xfId="0" applyBorder="1" applyAlignment="1">
      <alignment horizontal="left" vertical="center" indent="1"/>
    </xf>
    <xf numFmtId="167" fontId="15" fillId="4" borderId="291" xfId="0" applyNumberFormat="1" applyFont="1" applyFill="1" applyBorder="1" applyAlignment="1" applyProtection="1">
      <alignment vertical="center"/>
      <protection locked="0"/>
    </xf>
    <xf numFmtId="167" fontId="15" fillId="4" borderId="37" xfId="0" applyNumberFormat="1" applyFont="1" applyFill="1" applyBorder="1" applyAlignment="1" applyProtection="1">
      <alignment vertical="center"/>
      <protection locked="0"/>
    </xf>
    <xf numFmtId="167" fontId="15" fillId="4" borderId="38" xfId="0" applyNumberFormat="1" applyFont="1" applyFill="1" applyBorder="1" applyAlignment="1" applyProtection="1">
      <alignment vertical="center"/>
      <protection locked="0"/>
    </xf>
    <xf numFmtId="173" fontId="19" fillId="0" borderId="64" xfId="0" applyFont="1" applyBorder="1" applyAlignment="1" applyProtection="1">
      <alignment horizontal="left" vertical="center" indent="1"/>
      <protection locked="0"/>
    </xf>
    <xf numFmtId="167" fontId="233" fillId="0" borderId="465" xfId="0" applyNumberFormat="1" applyFont="1" applyFill="1" applyBorder="1" applyAlignment="1" applyProtection="1">
      <alignment horizontal="left" vertical="center" wrapText="1" indent="1"/>
      <protection hidden="1"/>
    </xf>
    <xf numFmtId="167" fontId="233" fillId="0" borderId="466" xfId="0" applyNumberFormat="1" applyFont="1" applyFill="1" applyBorder="1" applyAlignment="1" applyProtection="1">
      <alignment horizontal="left" vertical="center" wrapText="1" indent="1"/>
      <protection hidden="1"/>
    </xf>
    <xf numFmtId="169" fontId="333" fillId="0" borderId="222" xfId="0" applyNumberFormat="1" applyFont="1" applyBorder="1" applyAlignment="1" applyProtection="1">
      <alignment horizontal="center" vertical="center"/>
      <protection hidden="1"/>
    </xf>
    <xf numFmtId="167" fontId="241" fillId="25" borderId="500" xfId="0" applyNumberFormat="1" applyFont="1" applyFill="1" applyBorder="1" applyAlignment="1" applyProtection="1">
      <protection hidden="1"/>
    </xf>
    <xf numFmtId="169" fontId="333" fillId="0" borderId="335" xfId="0" applyNumberFormat="1" applyFont="1" applyBorder="1" applyAlignment="1" applyProtection="1">
      <alignment horizontal="center" vertical="center"/>
      <protection hidden="1"/>
    </xf>
    <xf numFmtId="167" fontId="15" fillId="0" borderId="213" xfId="0" applyNumberFormat="1" applyFont="1" applyBorder="1" applyAlignment="1" applyProtection="1">
      <alignment vertical="center"/>
      <protection locked="0"/>
    </xf>
    <xf numFmtId="167" fontId="15" fillId="0" borderId="28" xfId="0" applyNumberFormat="1" applyFont="1" applyFill="1" applyBorder="1" applyAlignment="1" applyProtection="1">
      <alignment vertical="center"/>
      <protection locked="0"/>
    </xf>
    <xf numFmtId="167" fontId="15" fillId="0" borderId="51" xfId="0" applyNumberFormat="1" applyFont="1" applyFill="1" applyBorder="1" applyAlignment="1" applyProtection="1">
      <alignment vertical="center"/>
      <protection locked="0"/>
    </xf>
    <xf numFmtId="167" fontId="195" fillId="24" borderId="47" xfId="0" applyNumberFormat="1" applyFont="1" applyFill="1" applyBorder="1" applyAlignment="1" applyProtection="1">
      <alignment vertical="center"/>
      <protection locked="0"/>
    </xf>
    <xf numFmtId="167" fontId="195" fillId="24" borderId="54" xfId="0" applyNumberFormat="1" applyFont="1" applyFill="1" applyBorder="1" applyAlignment="1" applyProtection="1">
      <alignment vertical="center"/>
      <protection locked="0"/>
    </xf>
    <xf numFmtId="183" fontId="399" fillId="25" borderId="81" xfId="0" applyNumberFormat="1" applyFont="1" applyFill="1" applyBorder="1" applyAlignment="1" applyProtection="1">
      <alignment horizontal="center" vertical="top"/>
      <protection hidden="1"/>
    </xf>
    <xf numFmtId="183" fontId="399" fillId="25" borderId="138" xfId="0" applyNumberFormat="1" applyFont="1" applyFill="1" applyBorder="1" applyAlignment="1" applyProtection="1">
      <alignment horizontal="center" vertical="top"/>
      <protection hidden="1"/>
    </xf>
    <xf numFmtId="173" fontId="107" fillId="49" borderId="428" xfId="0" applyFont="1" applyFill="1" applyBorder="1" applyAlignment="1" applyProtection="1">
      <alignment horizontal="center" vertical="center" wrapText="1"/>
      <protection hidden="1"/>
    </xf>
    <xf numFmtId="173" fontId="107" fillId="49" borderId="378" xfId="0" applyFont="1" applyFill="1" applyBorder="1" applyAlignment="1" applyProtection="1">
      <alignment horizontal="center" vertical="center" wrapText="1"/>
      <protection hidden="1"/>
    </xf>
    <xf numFmtId="173" fontId="41" fillId="5" borderId="407" xfId="0" applyFont="1" applyFill="1" applyBorder="1" applyAlignment="1" applyProtection="1">
      <alignment horizontal="center" vertical="center"/>
      <protection hidden="1"/>
    </xf>
    <xf numFmtId="173" fontId="41" fillId="5" borderId="138" xfId="0" applyFont="1" applyFill="1" applyBorder="1" applyAlignment="1" applyProtection="1">
      <alignment horizontal="center" vertical="center"/>
      <protection hidden="1"/>
    </xf>
    <xf numFmtId="167" fontId="16" fillId="49" borderId="171" xfId="0" applyNumberFormat="1" applyFont="1" applyFill="1" applyBorder="1" applyAlignment="1" applyProtection="1">
      <alignment horizontal="center" wrapText="1"/>
      <protection hidden="1"/>
    </xf>
    <xf numFmtId="167" fontId="16" fillId="49" borderId="17" xfId="0" applyNumberFormat="1" applyFont="1" applyFill="1" applyBorder="1" applyAlignment="1" applyProtection="1">
      <alignment horizontal="center" wrapText="1"/>
      <protection hidden="1"/>
    </xf>
    <xf numFmtId="174" fontId="53" fillId="49" borderId="189" xfId="0" applyNumberFormat="1" applyFont="1" applyFill="1" applyBorder="1" applyAlignment="1" applyProtection="1">
      <alignment horizontal="center" vertical="top"/>
      <protection hidden="1"/>
    </xf>
    <xf numFmtId="167" fontId="16" fillId="49" borderId="485" xfId="0" quotePrefix="1" applyNumberFormat="1" applyFont="1" applyFill="1" applyBorder="1" applyAlignment="1" applyProtection="1">
      <alignment horizontal="center" vertical="center"/>
      <protection hidden="1"/>
    </xf>
    <xf numFmtId="183" fontId="399" fillId="25" borderId="194" xfId="0" applyNumberFormat="1" applyFont="1" applyFill="1" applyBorder="1" applyAlignment="1" applyProtection="1">
      <alignment horizontal="center" vertical="top"/>
      <protection hidden="1"/>
    </xf>
    <xf numFmtId="183" fontId="399" fillId="25" borderId="189" xfId="0" applyNumberFormat="1" applyFont="1" applyFill="1" applyBorder="1" applyAlignment="1" applyProtection="1">
      <alignment horizontal="center" vertical="top"/>
      <protection hidden="1"/>
    </xf>
    <xf numFmtId="173" fontId="241" fillId="25" borderId="499" xfId="0" applyFont="1" applyFill="1" applyBorder="1" applyAlignment="1" applyProtection="1">
      <alignment horizontal="left" vertical="center" wrapText="1" indent="1"/>
      <protection hidden="1"/>
    </xf>
    <xf numFmtId="173" fontId="273" fillId="25" borderId="500" xfId="0" applyFont="1" applyFill="1" applyBorder="1" applyAlignment="1">
      <alignment horizontal="left" vertical="center" wrapText="1" indent="1"/>
    </xf>
    <xf numFmtId="173" fontId="273" fillId="25" borderId="81" xfId="0" applyFont="1" applyFill="1" applyBorder="1" applyAlignment="1">
      <alignment horizontal="left" vertical="center" indent="1"/>
    </xf>
    <xf numFmtId="173" fontId="273" fillId="25" borderId="194" xfId="0" applyFont="1" applyFill="1" applyBorder="1" applyAlignment="1">
      <alignment horizontal="left" vertical="center" indent="1"/>
    </xf>
    <xf numFmtId="167" fontId="233" fillId="0" borderId="80" xfId="0" applyNumberFormat="1" applyFont="1" applyFill="1" applyBorder="1" applyAlignment="1" applyProtection="1">
      <alignment horizontal="left" vertical="center" wrapText="1" indent="1"/>
      <protection hidden="1"/>
    </xf>
    <xf numFmtId="173" fontId="287" fillId="0" borderId="0" xfId="0" applyFont="1" applyFill="1" applyBorder="1" applyAlignment="1">
      <alignment horizontal="left" vertical="center" wrapText="1" indent="1"/>
    </xf>
    <xf numFmtId="173" fontId="287" fillId="0" borderId="80" xfId="0" applyFont="1" applyFill="1" applyBorder="1" applyAlignment="1">
      <alignment horizontal="left" vertical="center" wrapText="1" indent="1"/>
    </xf>
    <xf numFmtId="167" fontId="273" fillId="0" borderId="297" xfId="0" applyNumberFormat="1" applyFont="1" applyFill="1" applyBorder="1" applyAlignment="1" applyProtection="1">
      <alignment horizontal="left" vertical="center" wrapText="1" indent="1"/>
      <protection hidden="1"/>
    </xf>
    <xf numFmtId="173" fontId="273" fillId="0" borderId="384" xfId="0" applyFont="1" applyFill="1" applyBorder="1" applyAlignment="1">
      <alignment horizontal="left" vertical="center" indent="1"/>
    </xf>
    <xf numFmtId="167" fontId="16" fillId="33" borderId="128" xfId="0" applyNumberFormat="1" applyFont="1" applyFill="1" applyBorder="1" applyAlignment="1" applyProtection="1">
      <alignment horizontal="center" vertical="center" wrapText="1"/>
      <protection hidden="1"/>
    </xf>
    <xf numFmtId="167" fontId="16" fillId="33" borderId="129" xfId="0" applyNumberFormat="1" applyFont="1" applyFill="1" applyBorder="1" applyAlignment="1" applyProtection="1">
      <alignment horizontal="center" vertical="center" wrapText="1"/>
      <protection hidden="1"/>
    </xf>
    <xf numFmtId="167" fontId="16" fillId="33" borderId="505" xfId="0" applyNumberFormat="1" applyFont="1" applyFill="1" applyBorder="1" applyAlignment="1" applyProtection="1">
      <alignment horizontal="center" vertical="center" wrapText="1"/>
      <protection hidden="1"/>
    </xf>
    <xf numFmtId="167" fontId="16" fillId="33" borderId="81" xfId="0" applyNumberFormat="1" applyFont="1" applyFill="1" applyBorder="1" applyAlignment="1" applyProtection="1">
      <alignment horizontal="center" vertical="center" wrapText="1"/>
      <protection hidden="1"/>
    </xf>
    <xf numFmtId="167" fontId="16" fillId="33" borderId="194" xfId="0" applyNumberFormat="1" applyFont="1" applyFill="1" applyBorder="1" applyAlignment="1" applyProtection="1">
      <alignment horizontal="center" vertical="center" wrapText="1"/>
      <protection hidden="1"/>
    </xf>
    <xf numFmtId="167" fontId="16" fillId="33" borderId="273" xfId="0" applyNumberFormat="1" applyFont="1" applyFill="1" applyBorder="1" applyAlignment="1" applyProtection="1">
      <alignment horizontal="center" vertical="center" wrapText="1"/>
      <protection hidden="1"/>
    </xf>
    <xf numFmtId="173" fontId="19" fillId="0" borderId="30" xfId="0" applyFont="1" applyBorder="1" applyAlignment="1" applyProtection="1">
      <alignment horizontal="left" vertical="center" indent="1"/>
      <protection locked="0"/>
    </xf>
    <xf numFmtId="173" fontId="19" fillId="0" borderId="32" xfId="0" applyFont="1" applyBorder="1" applyAlignment="1" applyProtection="1">
      <alignment horizontal="left" vertical="center" indent="1"/>
      <protection locked="0"/>
    </xf>
    <xf numFmtId="173" fontId="223" fillId="0" borderId="0" xfId="0" applyFont="1" applyBorder="1" applyAlignment="1" applyProtection="1">
      <alignment horizontal="left" vertical="center" wrapText="1" indent="3"/>
      <protection hidden="1"/>
    </xf>
    <xf numFmtId="173" fontId="223" fillId="0" borderId="0" xfId="0" applyFont="1" applyBorder="1" applyAlignment="1" applyProtection="1">
      <alignment horizontal="left" vertical="center" indent="3"/>
      <protection hidden="1"/>
    </xf>
    <xf numFmtId="173" fontId="64" fillId="70" borderId="56" xfId="0" applyFont="1" applyFill="1" applyBorder="1" applyAlignment="1" applyProtection="1">
      <alignment horizontal="right" vertical="center"/>
      <protection hidden="1"/>
    </xf>
    <xf numFmtId="173" fontId="0" fillId="70" borderId="66" xfId="0" applyFill="1" applyBorder="1" applyAlignment="1" applyProtection="1">
      <alignment horizontal="right"/>
      <protection hidden="1"/>
    </xf>
    <xf numFmtId="173" fontId="0" fillId="70" borderId="67" xfId="0" applyFill="1" applyBorder="1" applyAlignment="1" applyProtection="1">
      <alignment horizontal="right"/>
      <protection hidden="1"/>
    </xf>
    <xf numFmtId="173" fontId="0" fillId="70" borderId="59" xfId="0" applyFill="1" applyBorder="1" applyAlignment="1" applyProtection="1">
      <alignment horizontal="right"/>
      <protection hidden="1"/>
    </xf>
    <xf numFmtId="173" fontId="0" fillId="70" borderId="69" xfId="0" applyFill="1" applyBorder="1" applyAlignment="1" applyProtection="1">
      <alignment horizontal="right"/>
      <protection hidden="1"/>
    </xf>
    <xf numFmtId="173" fontId="0" fillId="70" borderId="70" xfId="0" applyFill="1" applyBorder="1" applyAlignment="1" applyProtection="1">
      <alignment horizontal="right"/>
      <protection hidden="1"/>
    </xf>
    <xf numFmtId="173" fontId="19" fillId="0" borderId="29" xfId="0" applyFont="1" applyBorder="1" applyAlignment="1" applyProtection="1">
      <alignment horizontal="left" vertical="center" indent="1"/>
      <protection locked="0"/>
    </xf>
    <xf numFmtId="167" fontId="15" fillId="0" borderId="75" xfId="0" applyNumberFormat="1" applyFont="1" applyFill="1" applyBorder="1" applyAlignment="1" applyProtection="1">
      <alignment vertical="center"/>
      <protection locked="0"/>
    </xf>
    <xf numFmtId="167" fontId="15" fillId="4" borderId="68" xfId="0" applyNumberFormat="1" applyFont="1" applyFill="1" applyBorder="1" applyAlignment="1" applyProtection="1">
      <alignment vertical="center"/>
      <protection hidden="1"/>
    </xf>
    <xf numFmtId="167" fontId="15" fillId="4" borderId="75" xfId="0" applyNumberFormat="1" applyFont="1" applyFill="1" applyBorder="1" applyAlignment="1" applyProtection="1">
      <alignment vertical="center"/>
      <protection hidden="1"/>
    </xf>
    <xf numFmtId="167" fontId="15" fillId="4" borderId="68" xfId="0" applyNumberFormat="1" applyFont="1" applyFill="1" applyBorder="1" applyAlignment="1" applyProtection="1">
      <alignment vertical="center"/>
      <protection locked="0"/>
    </xf>
    <xf numFmtId="167" fontId="15" fillId="4" borderId="75" xfId="0" applyNumberFormat="1" applyFont="1" applyFill="1" applyBorder="1" applyAlignment="1" applyProtection="1">
      <alignment vertical="center"/>
      <protection locked="0"/>
    </xf>
    <xf numFmtId="167" fontId="15" fillId="0" borderId="30" xfId="0" applyNumberFormat="1" applyFont="1" applyFill="1" applyBorder="1" applyAlignment="1" applyProtection="1">
      <alignment vertical="center"/>
      <protection locked="0"/>
    </xf>
    <xf numFmtId="167" fontId="15" fillId="0" borderId="53" xfId="0" applyNumberFormat="1" applyFont="1" applyFill="1" applyBorder="1" applyAlignment="1" applyProtection="1">
      <alignment vertical="center"/>
      <protection locked="0"/>
    </xf>
    <xf numFmtId="173" fontId="16" fillId="33" borderId="426" xfId="0" applyFont="1" applyFill="1" applyBorder="1" applyAlignment="1" applyProtection="1">
      <alignment horizontal="center" vertical="center" wrapText="1"/>
      <protection hidden="1"/>
    </xf>
    <xf numFmtId="173" fontId="16" fillId="33" borderId="300" xfId="0" applyFont="1" applyFill="1" applyBorder="1" applyAlignment="1" applyProtection="1">
      <alignment horizontal="center" vertical="center" wrapText="1"/>
      <protection hidden="1"/>
    </xf>
    <xf numFmtId="173" fontId="16" fillId="33" borderId="428" xfId="0" applyFont="1" applyFill="1" applyBorder="1" applyAlignment="1" applyProtection="1">
      <alignment horizontal="center" vertical="center" wrapText="1"/>
      <protection hidden="1"/>
    </xf>
    <xf numFmtId="173" fontId="16" fillId="33" borderId="138" xfId="0" applyFont="1" applyFill="1" applyBorder="1" applyAlignment="1" applyProtection="1">
      <alignment horizontal="center" vertical="center" wrapText="1"/>
      <protection hidden="1"/>
    </xf>
    <xf numFmtId="171" fontId="31" fillId="24" borderId="49" xfId="0" applyNumberFormat="1" applyFont="1" applyFill="1" applyBorder="1" applyAlignment="1" applyProtection="1">
      <alignment horizontal="center" vertical="center"/>
      <protection hidden="1"/>
    </xf>
    <xf numFmtId="167" fontId="15" fillId="4" borderId="34" xfId="0" applyNumberFormat="1" applyFont="1" applyFill="1" applyBorder="1" applyAlignment="1" applyProtection="1">
      <alignment vertical="center"/>
      <protection hidden="1"/>
    </xf>
    <xf numFmtId="167" fontId="15" fillId="4" borderId="36" xfId="0" applyNumberFormat="1" applyFont="1" applyFill="1" applyBorder="1" applyAlignment="1" applyProtection="1">
      <alignment vertical="center"/>
      <protection hidden="1"/>
    </xf>
    <xf numFmtId="167" fontId="15" fillId="42" borderId="39" xfId="0" applyNumberFormat="1" applyFont="1" applyFill="1" applyBorder="1" applyAlignment="1" applyProtection="1">
      <alignment vertical="center"/>
      <protection locked="0"/>
    </xf>
    <xf numFmtId="167" fontId="15" fillId="42" borderId="40" xfId="0" applyNumberFormat="1" applyFont="1" applyFill="1" applyBorder="1" applyAlignment="1" applyProtection="1">
      <alignment vertical="center"/>
      <protection locked="0"/>
    </xf>
    <xf numFmtId="173" fontId="19" fillId="0" borderId="451" xfId="0" applyFont="1" applyBorder="1" applyAlignment="1" applyProtection="1">
      <alignment horizontal="left" vertical="center" indent="1"/>
      <protection locked="0"/>
    </xf>
    <xf numFmtId="173" fontId="95" fillId="0" borderId="448" xfId="0" applyFont="1" applyBorder="1" applyAlignment="1" applyProtection="1">
      <alignment horizontal="left" vertical="center" indent="1"/>
      <protection locked="0"/>
    </xf>
    <xf numFmtId="173" fontId="16" fillId="49" borderId="396" xfId="0" applyFont="1" applyFill="1" applyBorder="1" applyAlignment="1" applyProtection="1">
      <alignment horizontal="center" vertical="center"/>
      <protection hidden="1"/>
    </xf>
    <xf numFmtId="173" fontId="16" fillId="49" borderId="487" xfId="0" applyFont="1" applyFill="1" applyBorder="1" applyAlignment="1" applyProtection="1">
      <alignment horizontal="center" vertical="center"/>
      <protection hidden="1"/>
    </xf>
    <xf numFmtId="173" fontId="41" fillId="33" borderId="128" xfId="0" applyFont="1" applyFill="1" applyBorder="1" applyAlignment="1" applyProtection="1">
      <alignment horizontal="center" vertical="center" wrapText="1"/>
      <protection hidden="1"/>
    </xf>
    <xf numFmtId="173" fontId="113" fillId="33" borderId="129" xfId="0" applyFont="1" applyFill="1" applyBorder="1" applyAlignment="1" applyProtection="1">
      <alignment horizontal="center" vertical="center" wrapText="1"/>
      <protection hidden="1"/>
    </xf>
    <xf numFmtId="173" fontId="113" fillId="33" borderId="432" xfId="0" applyFont="1" applyFill="1" applyBorder="1" applyAlignment="1" applyProtection="1">
      <alignment horizontal="center" vertical="center" wrapText="1"/>
      <protection hidden="1"/>
    </xf>
    <xf numFmtId="173" fontId="113" fillId="33" borderId="80" xfId="0" applyFont="1" applyFill="1" applyBorder="1" applyAlignment="1" applyProtection="1">
      <alignment horizontal="center" vertical="center" wrapText="1"/>
      <protection hidden="1"/>
    </xf>
    <xf numFmtId="173" fontId="113" fillId="33" borderId="0" xfId="0" applyFont="1" applyFill="1" applyBorder="1" applyAlignment="1" applyProtection="1">
      <alignment horizontal="center" vertical="center" wrapText="1"/>
      <protection hidden="1"/>
    </xf>
    <xf numFmtId="173" fontId="113" fillId="33" borderId="135" xfId="0" applyFont="1" applyFill="1" applyBorder="1" applyAlignment="1" applyProtection="1">
      <alignment horizontal="center" vertical="center" wrapText="1"/>
      <protection hidden="1"/>
    </xf>
    <xf numFmtId="173" fontId="113" fillId="33" borderId="81" xfId="0" applyFont="1" applyFill="1" applyBorder="1" applyAlignment="1" applyProtection="1">
      <alignment horizontal="center" vertical="center" wrapText="1"/>
      <protection hidden="1"/>
    </xf>
    <xf numFmtId="173" fontId="113" fillId="33" borderId="194" xfId="0" applyFont="1" applyFill="1" applyBorder="1" applyAlignment="1" applyProtection="1">
      <alignment horizontal="center" vertical="center" wrapText="1"/>
      <protection hidden="1"/>
    </xf>
    <xf numFmtId="173" fontId="113" fillId="33" borderId="212" xfId="0" applyFont="1" applyFill="1" applyBorder="1" applyAlignment="1" applyProtection="1">
      <alignment horizontal="center" vertical="center" wrapText="1"/>
      <protection hidden="1"/>
    </xf>
    <xf numFmtId="173" fontId="139" fillId="0" borderId="25" xfId="0" applyFont="1" applyBorder="1" applyAlignment="1" applyProtection="1">
      <alignment horizontal="left" vertical="center"/>
      <protection hidden="1"/>
    </xf>
    <xf numFmtId="167" fontId="16" fillId="35" borderId="494" xfId="0" applyNumberFormat="1" applyFont="1" applyFill="1" applyBorder="1" applyAlignment="1" applyProtection="1">
      <alignment horizontal="center" vertical="center"/>
      <protection hidden="1"/>
    </xf>
    <xf numFmtId="167" fontId="16" fillId="35" borderId="130" xfId="0" applyNumberFormat="1" applyFont="1" applyFill="1" applyBorder="1" applyAlignment="1" applyProtection="1">
      <alignment horizontal="center" vertical="center"/>
      <protection hidden="1"/>
    </xf>
    <xf numFmtId="167" fontId="16" fillId="35" borderId="495" xfId="0" applyNumberFormat="1" applyFont="1" applyFill="1" applyBorder="1" applyAlignment="1" applyProtection="1">
      <alignment horizontal="center" vertical="center"/>
      <protection hidden="1"/>
    </xf>
    <xf numFmtId="173" fontId="195" fillId="26" borderId="56" xfId="0" applyFont="1" applyFill="1" applyBorder="1" applyAlignment="1" applyProtection="1">
      <alignment horizontal="left" vertical="center" wrapText="1"/>
      <protection hidden="1"/>
    </xf>
    <xf numFmtId="173" fontId="0" fillId="0" borderId="57" xfId="0" applyBorder="1" applyAlignment="1">
      <alignment horizontal="left" vertical="center"/>
    </xf>
    <xf numFmtId="173" fontId="0" fillId="0" borderId="59" xfId="0" applyBorder="1" applyAlignment="1">
      <alignment horizontal="left" vertical="center"/>
    </xf>
    <xf numFmtId="173" fontId="0" fillId="0" borderId="60" xfId="0" applyBorder="1" applyAlignment="1">
      <alignment horizontal="left" vertical="center"/>
    </xf>
    <xf numFmtId="173" fontId="194" fillId="25" borderId="39" xfId="0" applyFont="1" applyFill="1" applyBorder="1" applyAlignment="1" applyProtection="1">
      <alignment horizontal="left" vertical="center"/>
      <protection locked="0"/>
    </xf>
    <xf numFmtId="173" fontId="197" fillId="25" borderId="28" xfId="0" applyFont="1" applyFill="1" applyBorder="1" applyAlignment="1">
      <alignment horizontal="left" vertical="center"/>
    </xf>
    <xf numFmtId="167" fontId="16" fillId="33" borderId="299" xfId="0" applyNumberFormat="1" applyFont="1" applyFill="1" applyBorder="1" applyAlignment="1" applyProtection="1">
      <alignment horizontal="left" vertical="center" wrapText="1" indent="1"/>
      <protection hidden="1"/>
    </xf>
    <xf numFmtId="167" fontId="0" fillId="33" borderId="301" xfId="0" applyNumberFormat="1" applyFill="1" applyBorder="1" applyAlignment="1" applyProtection="1">
      <alignment horizontal="left" vertical="center" wrapText="1" indent="1"/>
      <protection hidden="1"/>
    </xf>
    <xf numFmtId="167" fontId="45" fillId="31" borderId="478" xfId="0" applyNumberFormat="1" applyFont="1" applyFill="1" applyBorder="1" applyAlignment="1" applyProtection="1">
      <alignment horizontal="center" vertical="center"/>
      <protection hidden="1"/>
    </xf>
    <xf numFmtId="167" fontId="45" fillId="31" borderId="479" xfId="0" applyNumberFormat="1" applyFont="1" applyFill="1" applyBorder="1" applyAlignment="1" applyProtection="1">
      <alignment horizontal="center" vertical="center"/>
      <protection hidden="1"/>
    </xf>
    <xf numFmtId="173" fontId="194" fillId="25" borderId="76" xfId="0" applyFont="1" applyFill="1" applyBorder="1" applyAlignment="1" applyProtection="1">
      <alignment horizontal="right" vertical="center" indent="1"/>
      <protection locked="0"/>
    </xf>
    <xf numFmtId="173" fontId="0" fillId="0" borderId="110" xfId="0" applyBorder="1" applyAlignment="1">
      <alignment horizontal="right" vertical="center" indent="1"/>
    </xf>
    <xf numFmtId="173" fontId="0" fillId="0" borderId="61" xfId="0" applyBorder="1" applyAlignment="1">
      <alignment horizontal="right" vertical="center" indent="1"/>
    </xf>
    <xf numFmtId="173" fontId="195" fillId="25" borderId="56" xfId="0" applyFont="1" applyFill="1" applyBorder="1" applyAlignment="1" applyProtection="1">
      <alignment horizontal="left" vertical="center" indent="1"/>
      <protection locked="0"/>
    </xf>
    <xf numFmtId="173" fontId="0" fillId="0" borderId="66" xfId="0" applyBorder="1" applyAlignment="1">
      <alignment horizontal="left" vertical="center" indent="1"/>
    </xf>
    <xf numFmtId="173" fontId="0" fillId="0" borderId="67" xfId="0" applyBorder="1" applyAlignment="1">
      <alignment horizontal="left" vertical="center" indent="1"/>
    </xf>
    <xf numFmtId="173" fontId="198" fillId="0" borderId="29" xfId="0" applyFont="1" applyBorder="1" applyAlignment="1" applyProtection="1">
      <alignment horizontal="left" vertical="center" indent="1"/>
      <protection hidden="1"/>
    </xf>
    <xf numFmtId="173" fontId="194" fillId="25" borderId="39" xfId="0" applyFont="1" applyFill="1" applyBorder="1" applyAlignment="1" applyProtection="1">
      <alignment horizontal="left" vertical="center" wrapText="1"/>
      <protection locked="0"/>
    </xf>
    <xf numFmtId="173" fontId="197" fillId="25" borderId="28" xfId="0" applyFont="1" applyFill="1" applyBorder="1" applyAlignment="1">
      <alignment horizontal="left" vertical="center" wrapText="1"/>
    </xf>
    <xf numFmtId="173" fontId="194" fillId="25" borderId="59" xfId="0" applyFont="1" applyFill="1" applyBorder="1" applyAlignment="1" applyProtection="1">
      <alignment horizontal="left" vertical="center"/>
      <protection locked="0"/>
    </xf>
    <xf numFmtId="173" fontId="197" fillId="25" borderId="69" xfId="0" applyFont="1" applyFill="1" applyBorder="1" applyAlignment="1">
      <alignment horizontal="left" vertical="center"/>
    </xf>
    <xf numFmtId="167" fontId="233" fillId="0" borderId="463" xfId="0" applyNumberFormat="1" applyFont="1" applyFill="1" applyBorder="1" applyAlignment="1" applyProtection="1">
      <alignment horizontal="left" vertical="center" wrapText="1" indent="1"/>
      <protection hidden="1"/>
    </xf>
    <xf numFmtId="167" fontId="233" fillId="0" borderId="464" xfId="0" applyNumberFormat="1" applyFont="1" applyFill="1" applyBorder="1" applyAlignment="1" applyProtection="1">
      <alignment horizontal="left" vertical="center" wrapText="1" indent="1"/>
      <protection hidden="1"/>
    </xf>
    <xf numFmtId="173" fontId="19" fillId="0" borderId="449" xfId="0" applyFont="1" applyBorder="1" applyAlignment="1" applyProtection="1">
      <alignment horizontal="left" vertical="center" indent="1" shrinkToFit="1"/>
      <protection locked="0"/>
    </xf>
    <xf numFmtId="173" fontId="0" fillId="0" borderId="449" xfId="0" applyBorder="1" applyAlignment="1">
      <alignment horizontal="left" vertical="center" indent="1" shrinkToFit="1"/>
    </xf>
    <xf numFmtId="173" fontId="30" fillId="0" borderId="0" xfId="0" applyFont="1" applyFill="1" applyBorder="1" applyAlignment="1" applyProtection="1">
      <alignment horizontal="right" vertical="center" indent="1"/>
      <protection locked="0"/>
    </xf>
    <xf numFmtId="167" fontId="233" fillId="0" borderId="450" xfId="0" applyNumberFormat="1" applyFont="1" applyBorder="1" applyAlignment="1" applyProtection="1">
      <alignment horizontal="center" vertical="center"/>
      <protection locked="0"/>
    </xf>
    <xf numFmtId="167" fontId="233" fillId="0" borderId="448" xfId="0" applyNumberFormat="1" applyFont="1" applyBorder="1" applyAlignment="1" applyProtection="1">
      <alignment horizontal="center" vertical="center"/>
      <protection locked="0"/>
    </xf>
    <xf numFmtId="173" fontId="19" fillId="0" borderId="453" xfId="0" applyFont="1" applyBorder="1" applyAlignment="1" applyProtection="1">
      <alignment horizontal="left" vertical="center" indent="1" shrinkToFit="1"/>
      <protection locked="0"/>
    </xf>
    <xf numFmtId="173" fontId="0" fillId="0" borderId="453" xfId="0" applyBorder="1" applyAlignment="1">
      <alignment horizontal="left" vertical="center" indent="1" shrinkToFit="1"/>
    </xf>
    <xf numFmtId="167" fontId="169" fillId="27" borderId="207" xfId="0" applyNumberFormat="1" applyFont="1" applyFill="1" applyBorder="1" applyAlignment="1" applyProtection="1">
      <alignment horizontal="left" vertical="center" wrapText="1" indent="1"/>
      <protection hidden="1"/>
    </xf>
    <xf numFmtId="173" fontId="0" fillId="0" borderId="208" xfId="0" applyBorder="1" applyAlignment="1">
      <alignment horizontal="left" vertical="center" wrapText="1" indent="1"/>
    </xf>
    <xf numFmtId="173" fontId="0" fillId="0" borderId="209" xfId="0" applyBorder="1" applyAlignment="1">
      <alignment horizontal="left" vertical="center" wrapText="1" indent="1"/>
    </xf>
    <xf numFmtId="167" fontId="233" fillId="0" borderId="454" xfId="0" applyNumberFormat="1" applyFont="1" applyBorder="1" applyAlignment="1" applyProtection="1">
      <alignment horizontal="center" vertical="center"/>
      <protection locked="0"/>
    </xf>
    <xf numFmtId="167" fontId="233" fillId="0" borderId="455" xfId="0" applyNumberFormat="1" applyFont="1" applyBorder="1" applyAlignment="1" applyProtection="1">
      <alignment horizontal="center" vertical="center"/>
      <protection locked="0"/>
    </xf>
    <xf numFmtId="173" fontId="19" fillId="0" borderId="112" xfId="0" applyFont="1" applyBorder="1" applyAlignment="1" applyProtection="1">
      <alignment horizontal="left" vertical="center" indent="1"/>
      <protection locked="0" hidden="1"/>
    </xf>
    <xf numFmtId="173" fontId="19" fillId="0" borderId="115" xfId="0" applyFont="1" applyBorder="1" applyAlignment="1" applyProtection="1">
      <alignment horizontal="left" vertical="center" indent="1"/>
      <protection locked="0" hidden="1"/>
    </xf>
    <xf numFmtId="173" fontId="0" fillId="0" borderId="503" xfId="0" applyBorder="1" applyAlignment="1" applyProtection="1">
      <alignment horizontal="center" vertical="center"/>
      <protection locked="0"/>
    </xf>
    <xf numFmtId="173" fontId="194" fillId="25" borderId="210" xfId="0" applyFont="1" applyFill="1" applyBorder="1" applyAlignment="1" applyProtection="1">
      <alignment horizontal="left" vertical="center"/>
      <protection locked="0"/>
    </xf>
    <xf numFmtId="173" fontId="0" fillId="0" borderId="108" xfId="0" applyBorder="1" applyAlignment="1">
      <alignment horizontal="left" vertical="center"/>
    </xf>
    <xf numFmtId="173" fontId="194" fillId="25" borderId="63" xfId="0" applyFont="1" applyFill="1" applyBorder="1" applyAlignment="1" applyProtection="1">
      <alignment vertical="center"/>
      <protection locked="0"/>
    </xf>
    <xf numFmtId="173" fontId="0" fillId="0" borderId="82" xfId="0" applyBorder="1" applyAlignment="1"/>
    <xf numFmtId="173" fontId="16" fillId="49" borderId="384" xfId="0" quotePrefix="1" applyFont="1" applyFill="1" applyBorder="1" applyAlignment="1" applyProtection="1">
      <alignment horizontal="center" vertical="center"/>
      <protection hidden="1"/>
    </xf>
    <xf numFmtId="173" fontId="194" fillId="25" borderId="76" xfId="0" applyFont="1" applyFill="1" applyBorder="1" applyAlignment="1" applyProtection="1">
      <alignment vertical="center"/>
      <protection locked="0"/>
    </xf>
    <xf numFmtId="173" fontId="0" fillId="0" borderId="110" xfId="0" applyBorder="1" applyAlignment="1"/>
    <xf numFmtId="173" fontId="41" fillId="13" borderId="279" xfId="0" applyFont="1" applyFill="1" applyBorder="1" applyAlignment="1" applyProtection="1">
      <alignment horizontal="left" vertical="center" indent="1"/>
      <protection hidden="1"/>
    </xf>
    <xf numFmtId="173" fontId="0" fillId="0" borderId="183" xfId="0" applyBorder="1" applyAlignment="1">
      <alignment horizontal="left" vertical="center" indent="1"/>
    </xf>
    <xf numFmtId="173" fontId="41" fillId="33" borderId="183" xfId="0" applyFont="1" applyFill="1" applyBorder="1" applyAlignment="1" applyProtection="1">
      <alignment horizontal="center" vertical="center"/>
      <protection hidden="1"/>
    </xf>
    <xf numFmtId="173" fontId="0" fillId="0" borderId="183" xfId="0" applyBorder="1" applyAlignment="1">
      <alignment horizontal="right" vertical="center"/>
    </xf>
    <xf numFmtId="173" fontId="0" fillId="0" borderId="261" xfId="0" applyBorder="1" applyAlignment="1">
      <alignment horizontal="right" vertical="center"/>
    </xf>
    <xf numFmtId="3" fontId="194" fillId="25" borderId="37" xfId="0" applyNumberFormat="1" applyFont="1" applyFill="1" applyBorder="1" applyAlignment="1" applyProtection="1">
      <alignment horizontal="left" vertical="center" wrapText="1"/>
      <protection hidden="1"/>
    </xf>
    <xf numFmtId="173" fontId="0" fillId="0" borderId="39" xfId="0" applyBorder="1" applyAlignment="1" applyProtection="1">
      <alignment horizontal="left" vertical="center"/>
      <protection hidden="1"/>
    </xf>
    <xf numFmtId="173" fontId="0" fillId="0" borderId="44" xfId="0" applyBorder="1" applyAlignment="1" applyProtection="1">
      <alignment horizontal="left" vertical="center"/>
      <protection hidden="1"/>
    </xf>
    <xf numFmtId="173" fontId="41" fillId="33" borderId="128" xfId="0" applyFont="1" applyFill="1" applyBorder="1" applyAlignment="1" applyProtection="1">
      <alignment horizontal="center" vertical="center"/>
      <protection hidden="1"/>
    </xf>
    <xf numFmtId="173" fontId="41" fillId="33" borderId="80" xfId="0" applyFont="1" applyFill="1" applyBorder="1" applyAlignment="1" applyProtection="1">
      <alignment horizontal="center" vertical="center"/>
      <protection hidden="1"/>
    </xf>
    <xf numFmtId="173" fontId="41" fillId="33" borderId="81" xfId="0" applyFont="1" applyFill="1" applyBorder="1" applyAlignment="1" applyProtection="1">
      <alignment horizontal="center" vertical="center"/>
      <protection hidden="1"/>
    </xf>
    <xf numFmtId="3" fontId="194" fillId="25" borderId="106" xfId="0" applyNumberFormat="1" applyFont="1" applyFill="1" applyBorder="1" applyAlignment="1" applyProtection="1">
      <alignment horizontal="left" vertical="center" wrapText="1"/>
      <protection hidden="1"/>
    </xf>
    <xf numFmtId="173" fontId="41" fillId="33" borderId="129" xfId="0" applyFont="1" applyFill="1" applyBorder="1" applyAlignment="1" applyProtection="1">
      <alignment horizontal="center" vertical="center"/>
      <protection hidden="1"/>
    </xf>
    <xf numFmtId="173" fontId="41" fillId="33" borderId="194" xfId="0" applyFont="1" applyFill="1" applyBorder="1" applyAlignment="1" applyProtection="1">
      <alignment horizontal="center" vertical="center"/>
      <protection hidden="1"/>
    </xf>
    <xf numFmtId="167" fontId="330" fillId="33" borderId="426" xfId="0" applyNumberFormat="1" applyFont="1" applyFill="1" applyBorder="1" applyAlignment="1" applyProtection="1">
      <alignment horizontal="center" vertical="center" wrapText="1"/>
      <protection hidden="1"/>
    </xf>
    <xf numFmtId="167" fontId="330" fillId="33" borderId="171" xfId="0" applyNumberFormat="1" applyFont="1" applyFill="1" applyBorder="1" applyAlignment="1" applyProtection="1">
      <alignment horizontal="center" vertical="center" wrapText="1"/>
      <protection hidden="1"/>
    </xf>
    <xf numFmtId="167" fontId="330" fillId="33" borderId="428" xfId="0" applyNumberFormat="1" applyFont="1" applyFill="1" applyBorder="1" applyAlignment="1" applyProtection="1">
      <alignment horizontal="center" vertical="center" wrapText="1"/>
      <protection hidden="1"/>
    </xf>
    <xf numFmtId="173" fontId="41" fillId="33" borderId="359" xfId="0" applyFont="1" applyFill="1" applyBorder="1" applyAlignment="1" applyProtection="1">
      <alignment horizontal="center" vertical="center"/>
      <protection hidden="1"/>
    </xf>
    <xf numFmtId="173" fontId="0" fillId="0" borderId="359" xfId="0" applyBorder="1" applyAlignment="1">
      <alignment horizontal="center" vertical="center"/>
    </xf>
    <xf numFmtId="173" fontId="0" fillId="0" borderId="18" xfId="0" applyBorder="1" applyAlignment="1">
      <alignment horizontal="center" vertical="center"/>
    </xf>
    <xf numFmtId="173" fontId="0" fillId="0" borderId="366" xfId="0" applyBorder="1" applyAlignment="1">
      <alignment horizontal="center" vertical="center"/>
    </xf>
    <xf numFmtId="173" fontId="41" fillId="33" borderId="182" xfId="0" applyFont="1" applyFill="1" applyBorder="1" applyAlignment="1" applyProtection="1">
      <alignment horizontal="center" vertical="center"/>
      <protection hidden="1"/>
    </xf>
    <xf numFmtId="173" fontId="241" fillId="24" borderId="25" xfId="0" applyFont="1" applyFill="1" applyBorder="1" applyAlignment="1">
      <alignment horizontal="left" vertical="center" indent="1"/>
    </xf>
    <xf numFmtId="173" fontId="19" fillId="0" borderId="458" xfId="0" applyFont="1" applyBorder="1" applyAlignment="1" applyProtection="1">
      <alignment horizontal="left" vertical="center" indent="1" shrinkToFit="1"/>
      <protection locked="0"/>
    </xf>
    <xf numFmtId="173" fontId="0" fillId="0" borderId="458" xfId="0" applyBorder="1" applyAlignment="1">
      <alignment horizontal="left" vertical="center" indent="1" shrinkToFit="1"/>
    </xf>
    <xf numFmtId="167" fontId="195" fillId="24" borderId="105" xfId="0" applyNumberFormat="1" applyFont="1" applyFill="1" applyBorder="1" applyAlignment="1" applyProtection="1">
      <alignment vertical="center"/>
      <protection locked="0"/>
    </xf>
    <xf numFmtId="167" fontId="195" fillId="24" borderId="55" xfId="0" applyNumberFormat="1" applyFont="1" applyFill="1" applyBorder="1" applyAlignment="1" applyProtection="1">
      <alignment vertical="center"/>
      <protection locked="0"/>
    </xf>
    <xf numFmtId="173" fontId="194" fillId="25" borderId="72" xfId="0" applyFont="1" applyFill="1" applyBorder="1" applyAlignment="1" applyProtection="1">
      <alignment horizontal="right" vertical="center" indent="1"/>
      <protection locked="0"/>
    </xf>
    <xf numFmtId="173" fontId="194" fillId="25" borderId="73" xfId="0" applyFont="1" applyFill="1" applyBorder="1" applyAlignment="1" applyProtection="1">
      <alignment horizontal="right" vertical="center" indent="1"/>
      <protection locked="0"/>
    </xf>
    <xf numFmtId="167" fontId="170" fillId="27" borderId="227" xfId="0" applyNumberFormat="1" applyFont="1" applyFill="1" applyBorder="1" applyAlignment="1" applyProtection="1">
      <alignment horizontal="left" vertical="center" wrapText="1" indent="1"/>
      <protection hidden="1"/>
    </xf>
    <xf numFmtId="167" fontId="170" fillId="27" borderId="228" xfId="0" applyNumberFormat="1" applyFont="1" applyFill="1" applyBorder="1" applyAlignment="1" applyProtection="1">
      <alignment horizontal="left" vertical="center" wrapText="1" indent="1"/>
      <protection hidden="1"/>
    </xf>
    <xf numFmtId="173" fontId="0" fillId="0" borderId="229" xfId="0" applyBorder="1" applyAlignment="1">
      <alignment horizontal="left" vertical="center" wrapText="1" indent="1"/>
    </xf>
    <xf numFmtId="167" fontId="16" fillId="58" borderId="251" xfId="0" applyNumberFormat="1" applyFont="1" applyFill="1" applyBorder="1" applyAlignment="1" applyProtection="1">
      <alignment horizontal="center" vertical="center"/>
      <protection locked="0" hidden="1"/>
    </xf>
    <xf numFmtId="167" fontId="16" fillId="58" borderId="252" xfId="0" applyNumberFormat="1" applyFont="1" applyFill="1" applyBorder="1" applyAlignment="1" applyProtection="1">
      <alignment horizontal="center" vertical="center"/>
      <protection locked="0" hidden="1"/>
    </xf>
    <xf numFmtId="173" fontId="194" fillId="25" borderId="210" xfId="0" applyFont="1" applyFill="1" applyBorder="1" applyAlignment="1" applyProtection="1">
      <alignment horizontal="right" vertical="center" indent="1"/>
      <protection locked="0"/>
    </xf>
    <xf numFmtId="173" fontId="0" fillId="0" borderId="108" xfId="0" applyBorder="1" applyAlignment="1">
      <alignment horizontal="right" vertical="center" indent="1"/>
    </xf>
    <xf numFmtId="173" fontId="0" fillId="0" borderId="58" xfId="0" applyBorder="1" applyAlignment="1">
      <alignment horizontal="right" vertical="center" indent="1"/>
    </xf>
    <xf numFmtId="167" fontId="166" fillId="27" borderId="233" xfId="0" applyNumberFormat="1" applyFont="1" applyFill="1" applyBorder="1" applyAlignment="1" applyProtection="1">
      <alignment vertical="center"/>
      <protection hidden="1"/>
    </xf>
    <xf numFmtId="173" fontId="293" fillId="27" borderId="234" xfId="0" applyFont="1" applyFill="1" applyBorder="1" applyAlignment="1" applyProtection="1">
      <alignment vertical="center"/>
      <protection hidden="1"/>
    </xf>
    <xf numFmtId="173" fontId="149" fillId="33" borderId="326" xfId="0" applyFont="1" applyFill="1" applyBorder="1" applyAlignment="1" applyProtection="1">
      <alignment horizontal="left" vertical="center" indent="1"/>
      <protection hidden="1"/>
    </xf>
    <xf numFmtId="173" fontId="149" fillId="33" borderId="262" xfId="0" applyFont="1" applyFill="1" applyBorder="1" applyAlignment="1" applyProtection="1">
      <alignment horizontal="left" vertical="center" indent="1"/>
      <protection hidden="1"/>
    </xf>
    <xf numFmtId="173" fontId="150" fillId="33" borderId="262" xfId="0" applyFont="1" applyFill="1" applyBorder="1" applyAlignment="1" applyProtection="1">
      <alignment horizontal="left" vertical="center" indent="1"/>
      <protection hidden="1"/>
    </xf>
    <xf numFmtId="173" fontId="150" fillId="33" borderId="327" xfId="0" applyFont="1" applyFill="1" applyBorder="1" applyAlignment="1" applyProtection="1">
      <alignment horizontal="left" vertical="center" indent="1"/>
      <protection hidden="1"/>
    </xf>
    <xf numFmtId="173" fontId="19" fillId="0" borderId="309" xfId="0" applyFont="1" applyBorder="1" applyAlignment="1" applyProtection="1">
      <alignment horizontal="left" vertical="center" indent="1"/>
      <protection locked="0"/>
    </xf>
    <xf numFmtId="173" fontId="19" fillId="0" borderId="310" xfId="0" applyFont="1" applyBorder="1" applyAlignment="1" applyProtection="1">
      <alignment horizontal="left" vertical="center" indent="1"/>
      <protection locked="0"/>
    </xf>
    <xf numFmtId="173" fontId="19" fillId="0" borderId="311" xfId="0" applyFont="1" applyBorder="1" applyAlignment="1" applyProtection="1">
      <alignment horizontal="left" vertical="center" indent="1"/>
      <protection locked="0"/>
    </xf>
    <xf numFmtId="173" fontId="16" fillId="33" borderId="326" xfId="0" applyFont="1" applyFill="1" applyBorder="1" applyAlignment="1" applyProtection="1">
      <alignment horizontal="left" vertical="center" indent="1"/>
      <protection hidden="1"/>
    </xf>
    <xf numFmtId="173" fontId="143" fillId="33" borderId="262" xfId="0" applyFont="1" applyFill="1" applyBorder="1" applyAlignment="1" applyProtection="1">
      <alignment horizontal="left" vertical="center" indent="1"/>
      <protection hidden="1"/>
    </xf>
    <xf numFmtId="173" fontId="145" fillId="33" borderId="262" xfId="0" applyFont="1" applyFill="1" applyBorder="1" applyAlignment="1" applyProtection="1">
      <alignment horizontal="left" vertical="center" indent="1"/>
      <protection hidden="1"/>
    </xf>
    <xf numFmtId="173" fontId="145" fillId="33" borderId="327" xfId="0" applyFont="1" applyFill="1" applyBorder="1" applyAlignment="1" applyProtection="1">
      <alignment horizontal="left" vertical="center" indent="1"/>
      <protection hidden="1"/>
    </xf>
    <xf numFmtId="173" fontId="57" fillId="0" borderId="145" xfId="0" applyFont="1" applyBorder="1" applyAlignment="1" applyProtection="1">
      <alignment horizontal="left" vertical="center" indent="1"/>
      <protection hidden="1"/>
    </xf>
    <xf numFmtId="173" fontId="0" fillId="0" borderId="175" xfId="0" applyBorder="1" applyAlignment="1">
      <alignment horizontal="left" vertical="center" indent="1"/>
    </xf>
    <xf numFmtId="173" fontId="233" fillId="0" borderId="80" xfId="0" applyFont="1" applyBorder="1" applyAlignment="1" applyProtection="1">
      <alignment horizontal="left" vertical="center" indent="1"/>
      <protection hidden="1"/>
    </xf>
    <xf numFmtId="173" fontId="0" fillId="0" borderId="126" xfId="0" applyBorder="1" applyAlignment="1">
      <alignment horizontal="left" vertical="center" indent="1"/>
    </xf>
    <xf numFmtId="173" fontId="233" fillId="0" borderId="335" xfId="0" applyFont="1" applyBorder="1" applyAlignment="1" applyProtection="1">
      <alignment horizontal="left" vertical="center" indent="1"/>
      <protection hidden="1"/>
    </xf>
    <xf numFmtId="173" fontId="0" fillId="0" borderId="132" xfId="0" applyBorder="1" applyAlignment="1">
      <alignment horizontal="left" vertical="center" indent="1"/>
    </xf>
    <xf numFmtId="173" fontId="0" fillId="0" borderId="193" xfId="0" applyBorder="1" applyAlignment="1">
      <alignment horizontal="left" vertical="center" indent="1"/>
    </xf>
    <xf numFmtId="173" fontId="233" fillId="0" borderId="145" xfId="0" applyFont="1" applyBorder="1" applyAlignment="1" applyProtection="1">
      <alignment horizontal="left" vertical="center" indent="1"/>
      <protection hidden="1"/>
    </xf>
    <xf numFmtId="173" fontId="34" fillId="6" borderId="146" xfId="0" applyFont="1" applyFill="1" applyBorder="1" applyAlignment="1" applyProtection="1">
      <alignment horizontal="left" vertical="center" indent="1"/>
      <protection hidden="1"/>
    </xf>
    <xf numFmtId="173" fontId="34" fillId="6" borderId="185" xfId="0" applyFont="1" applyFill="1" applyBorder="1" applyAlignment="1" applyProtection="1">
      <alignment horizontal="left" vertical="center" indent="1"/>
      <protection hidden="1"/>
    </xf>
    <xf numFmtId="173" fontId="68" fillId="0" borderId="185" xfId="0" applyFont="1" applyBorder="1" applyAlignment="1" applyProtection="1">
      <alignment horizontal="left" indent="1"/>
      <protection hidden="1"/>
    </xf>
    <xf numFmtId="173" fontId="68" fillId="0" borderId="334" xfId="0" applyFont="1" applyBorder="1" applyAlignment="1" applyProtection="1">
      <alignment horizontal="left" indent="1"/>
      <protection hidden="1"/>
    </xf>
    <xf numFmtId="173" fontId="260" fillId="0" borderId="128" xfId="0" applyFont="1" applyBorder="1" applyAlignment="1" applyProtection="1">
      <alignment horizontal="left" vertical="center" wrapText="1" indent="1"/>
      <protection hidden="1"/>
    </xf>
    <xf numFmtId="173" fontId="260" fillId="0" borderId="129" xfId="0" applyFont="1" applyBorder="1" applyAlignment="1" applyProtection="1">
      <alignment horizontal="left" vertical="center" wrapText="1" indent="1"/>
      <protection hidden="1"/>
    </xf>
    <xf numFmtId="173" fontId="260" fillId="0" borderId="300" xfId="0" applyFont="1" applyBorder="1" applyAlignment="1">
      <alignment horizontal="left" vertical="center" indent="1"/>
    </xf>
    <xf numFmtId="173" fontId="198" fillId="25" borderId="145" xfId="0" applyFont="1" applyFill="1" applyBorder="1" applyAlignment="1" applyProtection="1">
      <alignment horizontal="left" vertical="center" indent="1"/>
      <protection hidden="1"/>
    </xf>
    <xf numFmtId="173" fontId="68" fillId="25" borderId="130" xfId="0" applyFont="1" applyFill="1" applyBorder="1" applyAlignment="1">
      <alignment horizontal="left" vertical="center" indent="1"/>
    </xf>
    <xf numFmtId="173" fontId="68" fillId="25" borderId="244" xfId="0" applyFont="1" applyFill="1" applyBorder="1" applyAlignment="1">
      <alignment horizontal="left" vertical="center" indent="1"/>
    </xf>
    <xf numFmtId="173" fontId="233" fillId="0" borderId="0" xfId="0" applyFont="1" applyBorder="1" applyAlignment="1" applyProtection="1">
      <alignment horizontal="left" vertical="center" indent="1"/>
      <protection hidden="1"/>
    </xf>
    <xf numFmtId="173" fontId="233" fillId="0" borderId="137" xfId="0" applyFont="1" applyBorder="1" applyAlignment="1">
      <alignment horizontal="left" vertical="center" indent="1"/>
    </xf>
    <xf numFmtId="173" fontId="16" fillId="36" borderId="306" xfId="0" applyFont="1" applyFill="1" applyBorder="1" applyAlignment="1" applyProtection="1">
      <alignment horizontal="left" vertical="center" indent="1"/>
      <protection hidden="1"/>
    </xf>
    <xf numFmtId="173" fontId="16" fillId="36" borderId="307" xfId="0" applyFont="1" applyFill="1" applyBorder="1" applyAlignment="1" applyProtection="1">
      <alignment horizontal="left" vertical="center" indent="1"/>
      <protection hidden="1"/>
    </xf>
    <xf numFmtId="173" fontId="0" fillId="36" borderId="307" xfId="0" applyFill="1" applyBorder="1" applyAlignment="1" applyProtection="1">
      <alignment horizontal="left" vertical="center" indent="1"/>
      <protection hidden="1"/>
    </xf>
    <xf numFmtId="173" fontId="0" fillId="36" borderId="308" xfId="0" applyFill="1" applyBorder="1" applyAlignment="1" applyProtection="1">
      <alignment horizontal="left" vertical="center" indent="1"/>
      <protection hidden="1"/>
    </xf>
    <xf numFmtId="173" fontId="22" fillId="45" borderId="146" xfId="0" applyFont="1" applyFill="1" applyBorder="1" applyAlignment="1" applyProtection="1">
      <alignment horizontal="left" vertical="center" indent="1"/>
      <protection hidden="1"/>
    </xf>
    <xf numFmtId="173" fontId="22" fillId="45" borderId="185" xfId="0" applyFont="1" applyFill="1" applyBorder="1" applyAlignment="1" applyProtection="1">
      <alignment horizontal="left" vertical="center" indent="1"/>
      <protection hidden="1"/>
    </xf>
    <xf numFmtId="173" fontId="22" fillId="45" borderId="334" xfId="0" applyFont="1" applyFill="1" applyBorder="1" applyAlignment="1" applyProtection="1">
      <alignment horizontal="left" vertical="center" indent="1"/>
      <protection hidden="1"/>
    </xf>
    <xf numFmtId="173" fontId="0" fillId="0" borderId="185" xfId="0" applyBorder="1" applyAlignment="1">
      <alignment horizontal="left" vertical="center" indent="1"/>
    </xf>
    <xf numFmtId="173" fontId="0" fillId="0" borderId="334" xfId="0" applyBorder="1" applyAlignment="1">
      <alignment horizontal="left" vertical="center" indent="1"/>
    </xf>
    <xf numFmtId="173" fontId="233" fillId="0" borderId="80" xfId="0" applyFont="1" applyBorder="1" applyAlignment="1" applyProtection="1">
      <alignment horizontal="left" vertical="center" indent="1"/>
      <protection locked="0"/>
    </xf>
    <xf numFmtId="173" fontId="233" fillId="0" borderId="0" xfId="0" applyFont="1" applyBorder="1" applyAlignment="1" applyProtection="1">
      <alignment horizontal="left" vertical="center" indent="1"/>
      <protection locked="0"/>
    </xf>
    <xf numFmtId="173" fontId="149" fillId="35" borderId="339" xfId="0" applyFont="1" applyFill="1" applyBorder="1" applyAlignment="1" applyProtection="1">
      <alignment horizontal="left" vertical="center" indent="1"/>
      <protection hidden="1"/>
    </xf>
    <xf numFmtId="173" fontId="149" fillId="35" borderId="340" xfId="0" applyFont="1" applyFill="1" applyBorder="1" applyAlignment="1" applyProtection="1">
      <alignment horizontal="left" vertical="center" indent="1"/>
      <protection hidden="1"/>
    </xf>
    <xf numFmtId="173" fontId="150" fillId="35" borderId="340" xfId="0" applyFont="1" applyFill="1" applyBorder="1" applyAlignment="1" applyProtection="1">
      <alignment horizontal="left" vertical="center" indent="1"/>
      <protection hidden="1"/>
    </xf>
    <xf numFmtId="173" fontId="150" fillId="35" borderId="341" xfId="0" applyFont="1" applyFill="1" applyBorder="1" applyAlignment="1" applyProtection="1">
      <alignment horizontal="left" vertical="center" indent="1"/>
      <protection hidden="1"/>
    </xf>
    <xf numFmtId="173" fontId="233" fillId="0" borderId="137" xfId="0" applyFont="1" applyBorder="1" applyAlignment="1" applyProtection="1">
      <alignment horizontal="left" vertical="center" indent="1"/>
      <protection hidden="1"/>
    </xf>
    <xf numFmtId="173" fontId="233" fillId="0" borderId="132" xfId="0" applyFont="1" applyBorder="1" applyAlignment="1" applyProtection="1">
      <alignment horizontal="left" vertical="center" indent="1"/>
      <protection hidden="1"/>
    </xf>
    <xf numFmtId="173" fontId="233" fillId="0" borderId="338" xfId="0" applyFont="1" applyBorder="1" applyAlignment="1" applyProtection="1">
      <alignment horizontal="left" vertical="center" indent="1"/>
      <protection hidden="1"/>
    </xf>
    <xf numFmtId="173" fontId="22" fillId="46" borderId="146" xfId="0" applyFont="1" applyFill="1" applyBorder="1" applyAlignment="1" applyProtection="1">
      <alignment horizontal="left" vertical="center" indent="1"/>
      <protection hidden="1"/>
    </xf>
    <xf numFmtId="173" fontId="22" fillId="46" borderId="185" xfId="0" applyFont="1" applyFill="1" applyBorder="1" applyAlignment="1" applyProtection="1">
      <alignment horizontal="left" vertical="center" indent="1"/>
      <protection hidden="1"/>
    </xf>
    <xf numFmtId="173" fontId="0" fillId="46" borderId="185" xfId="0" applyFill="1" applyBorder="1" applyAlignment="1" applyProtection="1">
      <alignment horizontal="left" vertical="center" indent="1"/>
      <protection hidden="1"/>
    </xf>
    <xf numFmtId="173" fontId="0" fillId="46" borderId="334" xfId="0" applyFill="1" applyBorder="1" applyAlignment="1" applyProtection="1">
      <alignment horizontal="left" vertical="center" indent="1"/>
      <protection hidden="1"/>
    </xf>
    <xf numFmtId="174" fontId="53" fillId="49" borderId="80" xfId="0" applyNumberFormat="1" applyFont="1" applyFill="1" applyBorder="1" applyAlignment="1" applyProtection="1">
      <alignment horizontal="center" vertical="top"/>
      <protection hidden="1"/>
    </xf>
    <xf numFmtId="174" fontId="53" fillId="49" borderId="137" xfId="0" applyNumberFormat="1" applyFont="1" applyFill="1" applyBorder="1" applyAlignment="1" applyProtection="1">
      <alignment horizontal="center" vertical="top"/>
      <protection hidden="1"/>
    </xf>
    <xf numFmtId="173" fontId="22" fillId="25" borderId="146" xfId="0" applyFont="1" applyFill="1" applyBorder="1" applyAlignment="1" applyProtection="1">
      <alignment horizontal="left" vertical="center" indent="1"/>
      <protection hidden="1"/>
    </xf>
    <xf numFmtId="173" fontId="22" fillId="25" borderId="185" xfId="0" applyFont="1" applyFill="1" applyBorder="1" applyAlignment="1" applyProtection="1">
      <alignment horizontal="left" vertical="center" indent="1"/>
      <protection hidden="1"/>
    </xf>
    <xf numFmtId="173" fontId="0" fillId="25" borderId="185" xfId="0" applyFill="1" applyBorder="1" applyAlignment="1" applyProtection="1">
      <alignment horizontal="left" vertical="center" indent="1"/>
      <protection hidden="1"/>
    </xf>
    <xf numFmtId="173" fontId="0" fillId="25" borderId="334" xfId="0" applyFill="1" applyBorder="1" applyAlignment="1" applyProtection="1">
      <alignment horizontal="left" vertical="center" indent="1"/>
      <protection hidden="1"/>
    </xf>
    <xf numFmtId="173" fontId="273" fillId="0" borderId="309" xfId="0" applyFont="1" applyBorder="1" applyAlignment="1" applyProtection="1">
      <alignment horizontal="left" vertical="center" indent="1"/>
      <protection hidden="1"/>
    </xf>
    <xf numFmtId="173" fontId="273" fillId="0" borderId="310" xfId="0" applyFont="1" applyBorder="1" applyAlignment="1">
      <alignment horizontal="left" vertical="center" indent="1"/>
    </xf>
    <xf numFmtId="173" fontId="273" fillId="0" borderId="311" xfId="0" applyFont="1" applyBorder="1" applyAlignment="1">
      <alignment horizontal="left" vertical="center" indent="1"/>
    </xf>
    <xf numFmtId="173" fontId="273" fillId="0" borderId="312" xfId="0" applyFont="1" applyBorder="1" applyAlignment="1" applyProtection="1">
      <alignment horizontal="left" vertical="center" indent="1"/>
      <protection hidden="1"/>
    </xf>
    <xf numFmtId="173" fontId="273" fillId="0" borderId="313" xfId="0" applyFont="1" applyBorder="1" applyAlignment="1">
      <alignment horizontal="left" vertical="center" indent="1"/>
    </xf>
    <xf numFmtId="173" fontId="273" fillId="0" borderId="314" xfId="0" applyFont="1" applyBorder="1" applyAlignment="1">
      <alignment horizontal="left" vertical="center" indent="1"/>
    </xf>
    <xf numFmtId="173" fontId="233" fillId="0" borderId="312" xfId="0" applyFont="1" applyBorder="1" applyAlignment="1" applyProtection="1">
      <alignment horizontal="left" vertical="center" indent="1"/>
      <protection hidden="1"/>
    </xf>
    <xf numFmtId="173" fontId="0" fillId="0" borderId="313" xfId="0" applyBorder="1" applyAlignment="1">
      <alignment horizontal="left" vertical="center" indent="1"/>
    </xf>
    <xf numFmtId="173" fontId="0" fillId="0" borderId="314" xfId="0" applyBorder="1" applyAlignment="1">
      <alignment horizontal="left" vertical="center" indent="1"/>
    </xf>
    <xf numFmtId="173" fontId="199" fillId="33" borderId="128" xfId="0" applyFont="1" applyFill="1" applyBorder="1" applyAlignment="1" applyProtection="1">
      <alignment horizontal="left" vertical="center" indent="1"/>
      <protection hidden="1"/>
    </xf>
    <xf numFmtId="173" fontId="199" fillId="33" borderId="304" xfId="0" applyFont="1" applyFill="1" applyBorder="1" applyAlignment="1" applyProtection="1">
      <alignment horizontal="left" vertical="center" indent="1"/>
      <protection hidden="1"/>
    </xf>
    <xf numFmtId="173" fontId="61" fillId="49" borderId="128" xfId="0" quotePrefix="1" applyFont="1" applyFill="1" applyBorder="1" applyAlignment="1" applyProtection="1">
      <alignment horizontal="center"/>
      <protection hidden="1"/>
    </xf>
    <xf numFmtId="173" fontId="61" fillId="49" borderId="300" xfId="0" quotePrefix="1" applyFont="1" applyFill="1" applyBorder="1" applyAlignment="1" applyProtection="1">
      <alignment horizontal="center"/>
      <protection hidden="1"/>
    </xf>
    <xf numFmtId="173" fontId="61" fillId="5" borderId="303" xfId="0" applyFont="1" applyFill="1" applyBorder="1" applyAlignment="1" applyProtection="1">
      <alignment horizontal="left" vertical="center" wrapText="1" indent="1"/>
      <protection locked="0" hidden="1"/>
    </xf>
    <xf numFmtId="173" fontId="61" fillId="5" borderId="129" xfId="0" applyFont="1" applyFill="1" applyBorder="1" applyAlignment="1" applyProtection="1">
      <alignment horizontal="left" vertical="center" wrapText="1" indent="1"/>
      <protection locked="0" hidden="1"/>
    </xf>
    <xf numFmtId="173" fontId="61" fillId="5" borderId="300" xfId="0" applyFont="1" applyFill="1" applyBorder="1" applyAlignment="1" applyProtection="1">
      <alignment horizontal="left" vertical="center" wrapText="1" indent="1"/>
      <protection locked="0" hidden="1"/>
    </xf>
    <xf numFmtId="173" fontId="61" fillId="5" borderId="293" xfId="0" applyFont="1" applyFill="1" applyBorder="1" applyAlignment="1" applyProtection="1">
      <alignment horizontal="left" vertical="center" wrapText="1" indent="1"/>
      <protection locked="0" hidden="1"/>
    </xf>
    <xf numFmtId="173" fontId="61" fillId="5" borderId="141" xfId="0" applyFont="1" applyFill="1" applyBorder="1" applyAlignment="1" applyProtection="1">
      <alignment horizontal="left" vertical="center" wrapText="1" indent="1"/>
      <protection locked="0" hidden="1"/>
    </xf>
    <xf numFmtId="173" fontId="61" fillId="5" borderId="305" xfId="0" applyFont="1" applyFill="1" applyBorder="1" applyAlignment="1" applyProtection="1">
      <alignment horizontal="left" vertical="center" wrapText="1" indent="1"/>
      <protection locked="0" hidden="1"/>
    </xf>
    <xf numFmtId="173" fontId="143" fillId="33" borderId="112" xfId="0" applyFont="1" applyFill="1" applyBorder="1" applyAlignment="1" applyProtection="1">
      <alignment horizontal="left" vertical="center" indent="1"/>
      <protection hidden="1"/>
    </xf>
    <xf numFmtId="173" fontId="143" fillId="33" borderId="115" xfId="0" applyFont="1" applyFill="1" applyBorder="1" applyAlignment="1" applyProtection="1">
      <alignment horizontal="left" vertical="center" indent="1"/>
      <protection hidden="1"/>
    </xf>
    <xf numFmtId="173" fontId="145" fillId="33" borderId="115" xfId="0" applyFont="1" applyFill="1" applyBorder="1" applyAlignment="1" applyProtection="1">
      <alignment horizontal="left" vertical="center" indent="1"/>
      <protection hidden="1"/>
    </xf>
    <xf numFmtId="173" fontId="145" fillId="33" borderId="124" xfId="0" applyFont="1" applyFill="1" applyBorder="1" applyAlignment="1" applyProtection="1">
      <alignment horizontal="left" vertical="center" indent="1"/>
      <protection hidden="1"/>
    </xf>
    <xf numFmtId="173" fontId="57" fillId="0" borderId="309" xfId="0" applyFont="1" applyBorder="1" applyAlignment="1" applyProtection="1">
      <alignment horizontal="left" vertical="center" indent="1"/>
      <protection hidden="1"/>
    </xf>
    <xf numFmtId="173" fontId="0" fillId="0" borderId="324" xfId="0" applyBorder="1" applyAlignment="1">
      <alignment horizontal="left" vertical="center" indent="1"/>
    </xf>
    <xf numFmtId="173" fontId="0" fillId="0" borderId="325" xfId="0" applyBorder="1" applyAlignment="1">
      <alignment horizontal="left" vertical="center" indent="1"/>
    </xf>
    <xf numFmtId="173" fontId="57" fillId="0" borderId="316" xfId="0" applyFont="1" applyBorder="1" applyAlignment="1" applyProtection="1">
      <alignment horizontal="left" vertical="center" indent="1"/>
      <protection hidden="1"/>
    </xf>
    <xf numFmtId="173" fontId="0" fillId="0" borderId="317" xfId="0" applyBorder="1" applyAlignment="1">
      <alignment horizontal="left" vertical="center" indent="1"/>
    </xf>
    <xf numFmtId="173" fontId="0" fillId="0" borderId="318" xfId="0" applyBorder="1" applyAlignment="1">
      <alignment horizontal="left" vertical="center" indent="1"/>
    </xf>
    <xf numFmtId="173" fontId="232" fillId="0" borderId="0" xfId="0" applyFont="1" applyFill="1" applyBorder="1" applyAlignment="1" applyProtection="1">
      <alignment horizontal="left" vertical="center" indent="1"/>
      <protection hidden="1"/>
    </xf>
    <xf numFmtId="173" fontId="57" fillId="0" borderId="80" xfId="0" applyFont="1" applyBorder="1" applyAlignment="1" applyProtection="1">
      <alignment horizontal="left" vertical="center" indent="1"/>
      <protection hidden="1"/>
    </xf>
    <xf numFmtId="173" fontId="179" fillId="0" borderId="145" xfId="0" applyFont="1" applyBorder="1" applyAlignment="1" applyProtection="1">
      <alignment horizontal="left" vertical="center" indent="1"/>
      <protection hidden="1"/>
    </xf>
    <xf numFmtId="173" fontId="57" fillId="0" borderId="320" xfId="0" applyFont="1" applyBorder="1" applyAlignment="1" applyProtection="1">
      <alignment horizontal="left" vertical="center" indent="1"/>
      <protection hidden="1"/>
    </xf>
    <xf numFmtId="173" fontId="0" fillId="0" borderId="321" xfId="0" applyBorder="1" applyAlignment="1">
      <alignment horizontal="left" vertical="center" indent="1"/>
    </xf>
    <xf numFmtId="173" fontId="0" fillId="0" borderId="322" xfId="0" applyBorder="1" applyAlignment="1">
      <alignment horizontal="left" vertical="center" indent="1"/>
    </xf>
    <xf numFmtId="173" fontId="202" fillId="34" borderId="306" xfId="7" applyFont="1" applyFill="1" applyBorder="1" applyAlignment="1" applyProtection="1">
      <alignment horizontal="left" vertical="center" indent="1"/>
      <protection locked="0"/>
    </xf>
    <xf numFmtId="173" fontId="202" fillId="0" borderId="307" xfId="7" applyFont="1" applyBorder="1" applyAlignment="1" applyProtection="1">
      <alignment horizontal="left" vertical="center" indent="1"/>
    </xf>
    <xf numFmtId="173" fontId="202" fillId="0" borderId="308" xfId="7" applyFont="1" applyBorder="1" applyAlignment="1" applyProtection="1">
      <alignment horizontal="left" vertical="center" indent="1"/>
    </xf>
    <xf numFmtId="180" fontId="70" fillId="7" borderId="379" xfId="0" applyNumberFormat="1" applyFont="1" applyFill="1" applyBorder="1" applyAlignment="1" applyProtection="1">
      <alignment horizontal="center" vertical="center"/>
      <protection hidden="1"/>
    </xf>
    <xf numFmtId="180" fontId="70" fillId="7" borderId="380" xfId="0" applyNumberFormat="1" applyFont="1" applyFill="1" applyBorder="1" applyAlignment="1" applyProtection="1">
      <alignment horizontal="center" vertical="center"/>
      <protection hidden="1"/>
    </xf>
    <xf numFmtId="173" fontId="61" fillId="7" borderId="383" xfId="0" applyFont="1" applyFill="1" applyBorder="1" applyAlignment="1" applyProtection="1">
      <alignment horizontal="left" vertical="center" wrapText="1" indent="1"/>
      <protection hidden="1"/>
    </xf>
    <xf numFmtId="173" fontId="61" fillId="7" borderId="301" xfId="0" applyFont="1" applyFill="1" applyBorder="1" applyAlignment="1" applyProtection="1">
      <alignment horizontal="left" vertical="center" wrapText="1" indent="1"/>
      <protection hidden="1"/>
    </xf>
    <xf numFmtId="173" fontId="41" fillId="49" borderId="128" xfId="0" applyFont="1" applyFill="1" applyBorder="1" applyAlignment="1" applyProtection="1">
      <alignment horizontal="center" vertical="center"/>
      <protection hidden="1"/>
    </xf>
    <xf numFmtId="173" fontId="41" fillId="49" borderId="129" xfId="0" applyFont="1" applyFill="1" applyBorder="1" applyAlignment="1" applyProtection="1">
      <alignment horizontal="center" vertical="center"/>
      <protection hidden="1"/>
    </xf>
    <xf numFmtId="173" fontId="41" fillId="49" borderId="300" xfId="0" applyFont="1" applyFill="1" applyBorder="1" applyAlignment="1" applyProtection="1">
      <alignment horizontal="center" vertical="center"/>
      <protection hidden="1"/>
    </xf>
    <xf numFmtId="173" fontId="72" fillId="33" borderId="374" xfId="0" applyFont="1" applyFill="1" applyBorder="1" applyAlignment="1" applyProtection="1">
      <alignment horizontal="right" vertical="center" wrapText="1" indent="1"/>
      <protection hidden="1"/>
    </xf>
    <xf numFmtId="173" fontId="72" fillId="33" borderId="78" xfId="0" applyFont="1" applyFill="1" applyBorder="1" applyAlignment="1" applyProtection="1">
      <alignment horizontal="right" vertical="center" indent="1"/>
      <protection hidden="1"/>
    </xf>
    <xf numFmtId="180" fontId="220" fillId="29" borderId="79" xfId="0" applyNumberFormat="1" applyFont="1" applyFill="1" applyBorder="1" applyAlignment="1" applyProtection="1">
      <alignment horizontal="center" vertical="center"/>
      <protection hidden="1"/>
    </xf>
    <xf numFmtId="180" fontId="220" fillId="29" borderId="372" xfId="0" applyNumberFormat="1" applyFont="1" applyFill="1" applyBorder="1" applyAlignment="1" applyProtection="1">
      <alignment horizontal="center" vertical="center"/>
      <protection hidden="1"/>
    </xf>
    <xf numFmtId="173" fontId="61" fillId="7" borderId="376" xfId="0" applyFont="1" applyFill="1" applyBorder="1" applyAlignment="1" applyProtection="1">
      <alignment horizontal="left" vertical="center" wrapText="1" indent="1"/>
      <protection hidden="1"/>
    </xf>
    <xf numFmtId="173" fontId="0" fillId="0" borderId="201" xfId="0" applyBorder="1" applyAlignment="1">
      <alignment horizontal="left" vertical="center" wrapText="1" indent="1"/>
    </xf>
    <xf numFmtId="173" fontId="61" fillId="7" borderId="81" xfId="0" applyFont="1" applyFill="1" applyBorder="1" applyAlignment="1" applyProtection="1">
      <alignment horizontal="left" vertical="center" wrapText="1" indent="1"/>
      <protection hidden="1"/>
    </xf>
    <xf numFmtId="173" fontId="0" fillId="0" borderId="378" xfId="0" applyBorder="1" applyAlignment="1">
      <alignment horizontal="left" vertical="center" wrapText="1" indent="1"/>
    </xf>
    <xf numFmtId="173" fontId="327" fillId="28" borderId="297" xfId="0" applyFont="1" applyFill="1" applyBorder="1" applyAlignment="1" applyProtection="1">
      <alignment horizontal="left" vertical="center" wrapText="1" indent="1"/>
      <protection hidden="1"/>
    </xf>
    <xf numFmtId="173" fontId="0" fillId="0" borderId="384" xfId="0" applyBorder="1" applyAlignment="1">
      <alignment horizontal="left" vertical="center" wrapText="1" indent="1"/>
    </xf>
    <xf numFmtId="173" fontId="327" fillId="28" borderId="336" xfId="0" applyFont="1" applyFill="1" applyBorder="1" applyAlignment="1" applyProtection="1">
      <alignment horizontal="left" vertical="center" wrapText="1" indent="1"/>
      <protection hidden="1"/>
    </xf>
    <xf numFmtId="173" fontId="0" fillId="0" borderId="220" xfId="0" applyBorder="1" applyAlignment="1">
      <alignment horizontal="left" vertical="center" wrapText="1" indent="1"/>
    </xf>
    <xf numFmtId="173" fontId="241" fillId="26" borderId="387" xfId="0" applyFont="1" applyFill="1" applyBorder="1" applyAlignment="1" applyProtection="1">
      <alignment horizontal="left" vertical="center" wrapText="1" indent="1"/>
      <protection hidden="1"/>
    </xf>
    <xf numFmtId="173" fontId="0" fillId="0" borderId="143" xfId="0" applyBorder="1" applyAlignment="1">
      <alignment horizontal="left" vertical="center" wrapText="1" indent="1"/>
    </xf>
    <xf numFmtId="173" fontId="72" fillId="33" borderId="78" xfId="0" applyFont="1" applyFill="1" applyBorder="1" applyAlignment="1" applyProtection="1">
      <alignment horizontal="right" vertical="center" wrapText="1" indent="1"/>
      <protection hidden="1"/>
    </xf>
    <xf numFmtId="173" fontId="199" fillId="29" borderId="391" xfId="0" applyFont="1" applyFill="1" applyBorder="1" applyAlignment="1" applyProtection="1">
      <alignment horizontal="left" vertical="center" wrapText="1" indent="1"/>
      <protection hidden="1"/>
    </xf>
    <xf numFmtId="173" fontId="199" fillId="29" borderId="382" xfId="0" applyFont="1" applyFill="1" applyBorder="1" applyAlignment="1" applyProtection="1">
      <alignment horizontal="left" vertical="center" wrapText="1" indent="1"/>
      <protection hidden="1"/>
    </xf>
    <xf numFmtId="173" fontId="328" fillId="29" borderId="382" xfId="0" applyFont="1" applyFill="1" applyBorder="1" applyAlignment="1" applyProtection="1">
      <alignment horizontal="left" vertical="center" wrapText="1" indent="1"/>
      <protection hidden="1"/>
    </xf>
    <xf numFmtId="173" fontId="31" fillId="2" borderId="0" xfId="0" applyFont="1" applyFill="1" applyBorder="1" applyAlignment="1" applyProtection="1">
      <alignment horizontal="right" vertical="center" wrapText="1" indent="1"/>
      <protection locked="0"/>
    </xf>
    <xf numFmtId="173" fontId="285" fillId="0" borderId="2" xfId="0" applyFont="1" applyBorder="1" applyAlignment="1" applyProtection="1">
      <alignment horizontal="right" vertical="center" wrapText="1" indent="1"/>
      <protection locked="0"/>
    </xf>
    <xf numFmtId="173" fontId="16" fillId="33" borderId="144" xfId="0" applyFont="1" applyFill="1" applyBorder="1" applyAlignment="1" applyProtection="1">
      <alignment horizontal="center" vertical="center" wrapText="1"/>
      <protection hidden="1"/>
    </xf>
    <xf numFmtId="173" fontId="9" fillId="33" borderId="302" xfId="0" applyFont="1" applyFill="1" applyBorder="1" applyAlignment="1" applyProtection="1">
      <alignment horizontal="center" vertical="center" wrapText="1"/>
      <protection hidden="1"/>
    </xf>
    <xf numFmtId="173" fontId="16" fillId="33" borderId="299" xfId="0" applyFont="1" applyFill="1" applyBorder="1" applyAlignment="1" applyProtection="1">
      <alignment horizontal="center" vertical="center" wrapText="1"/>
      <protection hidden="1"/>
    </xf>
    <xf numFmtId="173" fontId="114" fillId="33" borderId="301" xfId="0" applyFont="1" applyFill="1" applyBorder="1" applyAlignment="1" applyProtection="1">
      <alignment horizontal="center" vertical="center" wrapText="1"/>
      <protection hidden="1"/>
    </xf>
    <xf numFmtId="173" fontId="65" fillId="0" borderId="0" xfId="0" applyFont="1" applyBorder="1" applyAlignment="1" applyProtection="1">
      <alignment horizontal="center" vertical="center"/>
      <protection hidden="1"/>
    </xf>
    <xf numFmtId="170" fontId="296" fillId="0" borderId="0" xfId="0" applyNumberFormat="1" applyFont="1" applyFill="1" applyBorder="1" applyAlignment="1" applyProtection="1">
      <alignment horizontal="center" vertical="top"/>
      <protection hidden="1"/>
    </xf>
    <xf numFmtId="173" fontId="408" fillId="0" borderId="129" xfId="0" applyFont="1" applyBorder="1" applyAlignment="1" applyProtection="1">
      <alignment horizontal="left" vertical="center"/>
      <protection hidden="1"/>
    </xf>
    <xf numFmtId="170" fontId="153" fillId="0" borderId="312" xfId="0" applyNumberFormat="1" applyFont="1" applyBorder="1" applyAlignment="1" applyProtection="1">
      <alignment horizontal="left" vertical="center" indent="1"/>
      <protection locked="0"/>
    </xf>
    <xf numFmtId="173" fontId="241" fillId="25" borderId="146" xfId="0" applyFont="1" applyFill="1" applyBorder="1" applyAlignment="1" applyProtection="1">
      <alignment horizontal="left" vertical="center" wrapText="1" indent="1"/>
      <protection hidden="1"/>
    </xf>
    <xf numFmtId="173" fontId="273" fillId="25" borderId="185" xfId="0" applyFont="1" applyFill="1" applyBorder="1" applyAlignment="1">
      <alignment horizontal="left" vertical="center" wrapText="1" indent="1"/>
    </xf>
    <xf numFmtId="170" fontId="153" fillId="0" borderId="332" xfId="0" applyNumberFormat="1" applyFont="1" applyBorder="1" applyAlignment="1" applyProtection="1">
      <alignment horizontal="left" vertical="center" indent="1"/>
      <protection locked="0"/>
    </xf>
    <xf numFmtId="173" fontId="0" fillId="0" borderId="361" xfId="0" applyBorder="1" applyAlignment="1">
      <alignment horizontal="left" vertical="center" indent="1"/>
    </xf>
    <xf numFmtId="186" fontId="154" fillId="4" borderId="333" xfId="1" applyNumberFormat="1" applyFont="1" applyFill="1" applyBorder="1" applyAlignment="1" applyProtection="1">
      <alignment horizontal="left" vertical="center" indent="1"/>
      <protection locked="0"/>
    </xf>
    <xf numFmtId="173" fontId="199" fillId="29" borderId="387" xfId="0" applyFont="1" applyFill="1" applyBorder="1" applyAlignment="1" applyProtection="1">
      <alignment horizontal="left" vertical="center" wrapText="1" indent="1"/>
      <protection hidden="1"/>
    </xf>
    <xf numFmtId="173" fontId="0" fillId="0" borderId="388" xfId="0" applyBorder="1" applyAlignment="1">
      <alignment horizontal="left" vertical="center" wrapText="1" indent="1"/>
    </xf>
    <xf numFmtId="173" fontId="199" fillId="29" borderId="80" xfId="0" applyFont="1" applyFill="1" applyBorder="1" applyAlignment="1" applyProtection="1">
      <alignment horizontal="left" vertical="center" wrapText="1" indent="1"/>
      <protection hidden="1"/>
    </xf>
    <xf numFmtId="173" fontId="0" fillId="0" borderId="135" xfId="0" applyBorder="1" applyAlignment="1">
      <alignment horizontal="left" vertical="center" wrapText="1" indent="1"/>
    </xf>
    <xf numFmtId="173" fontId="328" fillId="29" borderId="304" xfId="0" applyFont="1" applyFill="1" applyBorder="1" applyAlignment="1" applyProtection="1">
      <alignment horizontal="left" vertical="center" wrapText="1" indent="1"/>
      <protection hidden="1"/>
    </xf>
    <xf numFmtId="173" fontId="0" fillId="0" borderId="142" xfId="0" applyBorder="1" applyAlignment="1">
      <alignment horizontal="left" vertical="center" wrapText="1" indent="1"/>
    </xf>
    <xf numFmtId="173" fontId="61" fillId="33" borderId="368" xfId="0" applyFont="1" applyFill="1" applyBorder="1" applyAlignment="1" applyProtection="1">
      <alignment horizontal="center" vertical="center" wrapText="1"/>
      <protection hidden="1"/>
    </xf>
    <xf numFmtId="173" fontId="124" fillId="0" borderId="369" xfId="0" applyFont="1" applyBorder="1" applyAlignment="1">
      <alignment horizontal="center" vertical="center" wrapText="1"/>
    </xf>
    <xf numFmtId="170" fontId="296" fillId="0" borderId="0" xfId="0" applyNumberFormat="1" applyFont="1" applyFill="1" applyBorder="1" applyAlignment="1" applyProtection="1">
      <alignment horizontal="right" vertical="top" indent="1"/>
      <protection hidden="1"/>
    </xf>
    <xf numFmtId="173" fontId="0" fillId="0" borderId="0" xfId="0" applyBorder="1" applyAlignment="1">
      <alignment horizontal="right" indent="1"/>
    </xf>
    <xf numFmtId="0" fontId="284" fillId="44" borderId="0" xfId="0" applyNumberFormat="1" applyFont="1" applyFill="1" applyBorder="1" applyAlignment="1" applyProtection="1">
      <alignment horizontal="center" vertical="center" wrapText="1"/>
      <protection hidden="1"/>
    </xf>
    <xf numFmtId="173" fontId="212" fillId="33" borderId="275" xfId="7" applyFont="1" applyFill="1" applyBorder="1" applyAlignment="1" applyProtection="1">
      <alignment horizontal="center" vertical="center"/>
      <protection hidden="1"/>
    </xf>
    <xf numFmtId="173" fontId="212" fillId="33" borderId="174" xfId="7" applyFont="1" applyFill="1" applyBorder="1" applyAlignment="1" applyProtection="1">
      <alignment horizontal="center" vertical="center"/>
      <protection hidden="1"/>
    </xf>
    <xf numFmtId="173" fontId="437" fillId="25" borderId="146" xfId="0" applyFont="1" applyFill="1" applyBorder="1" applyAlignment="1" applyProtection="1">
      <alignment horizontal="right" vertical="center" indent="1"/>
      <protection hidden="1"/>
    </xf>
    <xf numFmtId="173" fontId="437" fillId="25" borderId="185" xfId="0" applyFont="1" applyFill="1" applyBorder="1" applyAlignment="1" applyProtection="1">
      <alignment horizontal="right" vertical="center" indent="1"/>
      <protection hidden="1"/>
    </xf>
    <xf numFmtId="173" fontId="437" fillId="25" borderId="257" xfId="0" applyFont="1" applyFill="1" applyBorder="1" applyAlignment="1" applyProtection="1">
      <alignment horizontal="right" vertical="center" indent="1"/>
      <protection hidden="1"/>
    </xf>
    <xf numFmtId="173" fontId="199" fillId="33" borderId="276" xfId="0" applyFont="1" applyFill="1" applyBorder="1" applyAlignment="1" applyProtection="1">
      <alignment horizontal="center" vertical="center" wrapText="1"/>
      <protection hidden="1"/>
    </xf>
    <xf numFmtId="173" fontId="199" fillId="33" borderId="277" xfId="0" applyFont="1" applyFill="1" applyBorder="1" applyAlignment="1" applyProtection="1">
      <alignment horizontal="center" vertical="center" wrapText="1"/>
      <protection hidden="1"/>
    </xf>
    <xf numFmtId="173" fontId="199" fillId="33" borderId="357" xfId="0" applyFont="1" applyFill="1" applyBorder="1" applyAlignment="1" applyProtection="1">
      <alignment horizontal="center" vertical="center" wrapText="1"/>
      <protection hidden="1"/>
    </xf>
    <xf numFmtId="173" fontId="212" fillId="33" borderId="81" xfId="7" applyFont="1" applyFill="1" applyBorder="1" applyAlignment="1" applyProtection="1">
      <alignment horizontal="center" vertical="center"/>
      <protection hidden="1"/>
    </xf>
    <xf numFmtId="173" fontId="212" fillId="33" borderId="194" xfId="7" applyFont="1" applyFill="1" applyBorder="1" applyAlignment="1" applyProtection="1">
      <alignment horizontal="center" vertical="center"/>
      <protection hidden="1"/>
    </xf>
    <xf numFmtId="173" fontId="212" fillId="33" borderId="273" xfId="7" applyFont="1" applyFill="1" applyBorder="1" applyAlignment="1" applyProtection="1">
      <alignment horizontal="center" vertical="center"/>
      <protection hidden="1"/>
    </xf>
    <xf numFmtId="173" fontId="233" fillId="0" borderId="128" xfId="0" applyFont="1" applyFill="1" applyBorder="1" applyAlignment="1" applyProtection="1">
      <alignment horizontal="left" vertical="center" indent="1"/>
      <protection hidden="1"/>
    </xf>
    <xf numFmtId="173" fontId="0" fillId="0" borderId="561" xfId="0" applyBorder="1" applyAlignment="1">
      <alignment horizontal="left" indent="1"/>
    </xf>
    <xf numFmtId="173" fontId="233" fillId="0" borderId="145" xfId="0" applyFont="1" applyFill="1" applyBorder="1" applyAlignment="1" applyProtection="1">
      <alignment horizontal="left" vertical="center" indent="1"/>
      <protection hidden="1"/>
    </xf>
    <xf numFmtId="173" fontId="0" fillId="0" borderId="563" xfId="0" applyBorder="1" applyAlignment="1">
      <alignment horizontal="left" indent="1"/>
    </xf>
    <xf numFmtId="173" fontId="9" fillId="33" borderId="138" xfId="0" applyFont="1" applyFill="1" applyBorder="1" applyAlignment="1" applyProtection="1">
      <alignment horizontal="center" vertical="center" wrapText="1"/>
      <protection hidden="1"/>
    </xf>
    <xf numFmtId="173" fontId="16" fillId="33" borderId="112" xfId="0" applyFont="1" applyFill="1" applyBorder="1" applyAlignment="1" applyProtection="1">
      <alignment horizontal="center" vertical="center"/>
      <protection hidden="1"/>
    </xf>
    <xf numFmtId="173" fontId="0" fillId="0" borderId="394" xfId="0" applyBorder="1" applyAlignment="1">
      <alignment horizontal="center" vertical="center"/>
    </xf>
    <xf numFmtId="173" fontId="16" fillId="33" borderId="128" xfId="0" applyFont="1" applyFill="1" applyBorder="1" applyAlignment="1" applyProtection="1">
      <alignment horizontal="center" vertical="center" wrapText="1"/>
      <protection hidden="1"/>
    </xf>
    <xf numFmtId="173" fontId="114" fillId="33" borderId="81" xfId="0" applyFont="1" applyFill="1" applyBorder="1" applyAlignment="1" applyProtection="1">
      <alignment horizontal="center" vertical="center" wrapText="1"/>
      <protection hidden="1"/>
    </xf>
    <xf numFmtId="173" fontId="22" fillId="0" borderId="213" xfId="0" applyFont="1" applyBorder="1" applyAlignment="1" applyProtection="1">
      <alignment horizontal="left" vertical="center" indent="1"/>
      <protection hidden="1"/>
    </xf>
    <xf numFmtId="173" fontId="408" fillId="0" borderId="0" xfId="0" applyFont="1" applyBorder="1" applyAlignment="1" applyProtection="1">
      <alignment horizontal="left" vertical="center"/>
      <protection hidden="1"/>
    </xf>
    <xf numFmtId="173" fontId="285" fillId="0" borderId="0" xfId="0" applyFont="1" applyBorder="1" applyAlignment="1" applyProtection="1">
      <alignment horizontal="right" vertical="center" wrapText="1" indent="1"/>
      <protection locked="0"/>
    </xf>
    <xf numFmtId="173" fontId="54" fillId="0" borderId="140" xfId="0" applyFont="1" applyBorder="1" applyAlignment="1" applyProtection="1">
      <alignment horizontal="left" vertical="center"/>
      <protection hidden="1"/>
    </xf>
    <xf numFmtId="173" fontId="108" fillId="0" borderId="81" xfId="0" applyFont="1" applyBorder="1" applyAlignment="1" applyProtection="1">
      <alignment horizontal="left" vertical="center" wrapText="1" indent="1"/>
      <protection hidden="1"/>
    </xf>
    <xf numFmtId="173" fontId="0" fillId="0" borderId="194" xfId="0" applyBorder="1" applyAlignment="1">
      <alignment horizontal="left" vertical="center" wrapText="1" indent="1"/>
    </xf>
    <xf numFmtId="173" fontId="41" fillId="13" borderId="112" xfId="0" applyFont="1" applyFill="1" applyBorder="1" applyAlignment="1" applyProtection="1">
      <alignment horizontal="left" vertical="center" indent="1"/>
      <protection hidden="1"/>
    </xf>
    <xf numFmtId="173" fontId="0" fillId="0" borderId="115" xfId="0" applyBorder="1" applyAlignment="1">
      <alignment horizontal="left" vertical="center" indent="1"/>
    </xf>
    <xf numFmtId="173" fontId="123" fillId="11" borderId="0" xfId="0" applyFont="1" applyFill="1" applyBorder="1" applyAlignment="1" applyProtection="1">
      <alignment horizontal="left" indent="1"/>
      <protection hidden="1"/>
    </xf>
    <xf numFmtId="173" fontId="0" fillId="0" borderId="0" xfId="0" applyBorder="1" applyAlignment="1">
      <alignment horizontal="left" indent="1"/>
    </xf>
    <xf numFmtId="173" fontId="248" fillId="25" borderId="190" xfId="4" applyFont="1" applyFill="1" applyBorder="1" applyAlignment="1" applyProtection="1">
      <alignment horizontal="center" vertical="center"/>
      <protection hidden="1"/>
    </xf>
    <xf numFmtId="173" fontId="248" fillId="25" borderId="220" xfId="4" applyFont="1" applyFill="1" applyBorder="1" applyAlignment="1" applyProtection="1">
      <alignment horizontal="center" vertical="center"/>
      <protection hidden="1"/>
    </xf>
    <xf numFmtId="173" fontId="248" fillId="25" borderId="506" xfId="4" applyFont="1" applyFill="1" applyBorder="1" applyAlignment="1" applyProtection="1">
      <alignment horizontal="center" vertical="center"/>
      <protection hidden="1"/>
    </xf>
    <xf numFmtId="173" fontId="41" fillId="49" borderId="112" xfId="0" quotePrefix="1" applyFont="1" applyFill="1" applyBorder="1" applyAlignment="1" applyProtection="1">
      <alignment horizontal="center" vertical="center"/>
      <protection hidden="1"/>
    </xf>
    <xf numFmtId="173" fontId="41" fillId="49" borderId="115" xfId="0" quotePrefix="1" applyFont="1" applyFill="1" applyBorder="1" applyAlignment="1" applyProtection="1">
      <alignment horizontal="center" vertical="center"/>
      <protection hidden="1"/>
    </xf>
    <xf numFmtId="173" fontId="41" fillId="49" borderId="115" xfId="0" applyFont="1" applyFill="1" applyBorder="1" applyAlignment="1" applyProtection="1">
      <alignment horizontal="center" vertical="center"/>
      <protection hidden="1"/>
    </xf>
    <xf numFmtId="173" fontId="41" fillId="49" borderId="124" xfId="0" applyFont="1" applyFill="1" applyBorder="1" applyAlignment="1" applyProtection="1">
      <alignment horizontal="center" vertical="center"/>
      <protection hidden="1"/>
    </xf>
    <xf numFmtId="186" fontId="155" fillId="4" borderId="333" xfId="1" applyNumberFormat="1" applyFont="1" applyFill="1" applyBorder="1" applyAlignment="1" applyProtection="1">
      <alignment horizontal="left" vertical="center" indent="1"/>
      <protection locked="0"/>
    </xf>
    <xf numFmtId="186" fontId="155" fillId="4" borderId="324" xfId="1" applyNumberFormat="1" applyFont="1" applyFill="1" applyBorder="1" applyAlignment="1" applyProtection="1">
      <alignment horizontal="left" vertical="center" indent="1"/>
      <protection locked="0"/>
    </xf>
    <xf numFmtId="170" fontId="303" fillId="0" borderId="312" xfId="0" applyNumberFormat="1" applyFont="1" applyBorder="1" applyAlignment="1" applyProtection="1">
      <alignment horizontal="left" vertical="center" indent="1"/>
      <protection locked="0"/>
    </xf>
    <xf numFmtId="170" fontId="303" fillId="0" borderId="460" xfId="0" applyNumberFormat="1" applyFont="1" applyBorder="1" applyAlignment="1" applyProtection="1">
      <alignment horizontal="left" vertical="center" indent="1"/>
      <protection locked="0"/>
    </xf>
    <xf numFmtId="170" fontId="153" fillId="0" borderId="361" xfId="0" applyNumberFormat="1" applyFont="1" applyBorder="1" applyAlignment="1" applyProtection="1">
      <alignment horizontal="left" vertical="center" indent="1"/>
      <protection locked="0"/>
    </xf>
    <xf numFmtId="173" fontId="41" fillId="33" borderId="260" xfId="0" applyFont="1" applyFill="1" applyBorder="1" applyAlignment="1" applyProtection="1">
      <alignment horizontal="left" vertical="center" indent="2"/>
      <protection hidden="1"/>
    </xf>
    <xf numFmtId="173" fontId="41" fillId="33" borderId="115" xfId="0" applyFont="1" applyFill="1" applyBorder="1" applyAlignment="1" applyProtection="1">
      <alignment horizontal="left" vertical="center" indent="2"/>
      <protection hidden="1"/>
    </xf>
    <xf numFmtId="173" fontId="41" fillId="33" borderId="124" xfId="0" applyFont="1" applyFill="1" applyBorder="1" applyAlignment="1" applyProtection="1">
      <alignment horizontal="left" vertical="center" indent="2"/>
      <protection hidden="1"/>
    </xf>
    <xf numFmtId="173" fontId="233" fillId="0" borderId="80" xfId="0" applyFont="1" applyFill="1" applyBorder="1" applyAlignment="1" applyProtection="1">
      <alignment horizontal="left" vertical="center" indent="1"/>
      <protection hidden="1"/>
    </xf>
    <xf numFmtId="173" fontId="0" fillId="0" borderId="562" xfId="0" applyBorder="1" applyAlignment="1">
      <alignment horizontal="left" indent="1"/>
    </xf>
    <xf numFmtId="173" fontId="203" fillId="0" borderId="0" xfId="7" applyFont="1" applyBorder="1" applyAlignment="1" applyProtection="1">
      <alignment horizontal="center" vertical="center"/>
    </xf>
    <xf numFmtId="173" fontId="16" fillId="33" borderId="358" xfId="0" applyFont="1" applyFill="1" applyBorder="1" applyAlignment="1" applyProtection="1">
      <alignment horizontal="center" vertical="center" wrapText="1"/>
      <protection hidden="1"/>
    </xf>
    <xf numFmtId="173" fontId="16" fillId="33" borderId="539" xfId="0" applyFont="1" applyFill="1" applyBorder="1" applyAlignment="1" applyProtection="1">
      <alignment horizontal="center" vertical="center" wrapText="1"/>
      <protection hidden="1"/>
    </xf>
    <xf numFmtId="173" fontId="16" fillId="33" borderId="594" xfId="0" applyFont="1" applyFill="1" applyBorder="1" applyAlignment="1" applyProtection="1">
      <alignment horizontal="center" vertical="center" wrapText="1"/>
      <protection hidden="1"/>
    </xf>
    <xf numFmtId="173" fontId="114" fillId="33" borderId="597" xfId="0" applyFont="1" applyFill="1" applyBorder="1" applyAlignment="1" applyProtection="1">
      <alignment horizontal="center" vertical="center" wrapText="1"/>
      <protection hidden="1"/>
    </xf>
    <xf numFmtId="173" fontId="218" fillId="33" borderId="596" xfId="0" applyFont="1" applyFill="1" applyBorder="1" applyAlignment="1" applyProtection="1">
      <alignment horizontal="center" vertical="center" wrapText="1"/>
      <protection hidden="1"/>
    </xf>
    <xf numFmtId="173" fontId="22" fillId="0" borderId="392" xfId="0" applyFont="1" applyBorder="1" applyAlignment="1" applyProtection="1">
      <alignment horizontal="left" vertical="center" indent="1"/>
      <protection hidden="1"/>
    </xf>
    <xf numFmtId="173" fontId="0" fillId="0" borderId="396" xfId="0" applyBorder="1" applyAlignment="1">
      <alignment horizontal="left" vertical="center" indent="1"/>
    </xf>
    <xf numFmtId="173" fontId="289" fillId="0" borderId="255" xfId="0" applyFont="1" applyBorder="1" applyAlignment="1" applyProtection="1">
      <alignment horizontal="left" vertical="center" wrapText="1" indent="1"/>
      <protection hidden="1"/>
    </xf>
    <xf numFmtId="173" fontId="0" fillId="0" borderId="395" xfId="0" applyBorder="1" applyAlignment="1">
      <alignment horizontal="left" vertical="center" indent="1"/>
    </xf>
    <xf numFmtId="173" fontId="22" fillId="0" borderId="336" xfId="0" applyFont="1" applyBorder="1" applyAlignment="1" applyProtection="1">
      <alignment horizontal="left" vertical="center" indent="1"/>
      <protection hidden="1"/>
    </xf>
    <xf numFmtId="173" fontId="0" fillId="0" borderId="220" xfId="0" applyBorder="1" applyAlignment="1">
      <alignment horizontal="left" vertical="center" indent="1"/>
    </xf>
    <xf numFmtId="173" fontId="22" fillId="0" borderId="387" xfId="0" applyFont="1" applyBorder="1" applyAlignment="1" applyProtection="1">
      <alignment horizontal="left" vertical="center" indent="1"/>
      <protection hidden="1"/>
    </xf>
    <xf numFmtId="173" fontId="0" fillId="0" borderId="143" xfId="0" applyBorder="1" applyAlignment="1">
      <alignment horizontal="left" vertical="center" indent="1"/>
    </xf>
    <xf numFmtId="173" fontId="248" fillId="24" borderId="336" xfId="0" applyFont="1" applyFill="1" applyBorder="1" applyAlignment="1" applyProtection="1">
      <alignment horizontal="left" vertical="center" wrapText="1" indent="1"/>
      <protection locked="0"/>
    </xf>
    <xf numFmtId="173" fontId="287" fillId="24" borderId="220" xfId="0" applyFont="1" applyFill="1" applyBorder="1" applyAlignment="1">
      <alignment horizontal="left" vertical="center" indent="1"/>
    </xf>
    <xf numFmtId="173" fontId="108" fillId="0" borderId="255" xfId="0" applyFont="1" applyBorder="1" applyAlignment="1" applyProtection="1">
      <alignment horizontal="left" vertical="center" wrapText="1" indent="1"/>
      <protection hidden="1"/>
    </xf>
    <xf numFmtId="173" fontId="0" fillId="0" borderId="395" xfId="0" applyBorder="1" applyAlignment="1">
      <alignment horizontal="left" vertical="center" wrapText="1" indent="1"/>
    </xf>
    <xf numFmtId="173" fontId="106" fillId="0" borderId="80" xfId="0" applyFont="1" applyFill="1" applyBorder="1" applyAlignment="1" applyProtection="1">
      <alignment horizontal="left" vertical="center" wrapText="1" indent="1"/>
      <protection hidden="1"/>
    </xf>
    <xf numFmtId="173" fontId="106" fillId="0" borderId="580" xfId="0" applyFont="1" applyFill="1" applyBorder="1" applyAlignment="1" applyProtection="1">
      <alignment horizontal="left" vertical="center" indent="1"/>
      <protection hidden="1"/>
    </xf>
    <xf numFmtId="173" fontId="176" fillId="0" borderId="581" xfId="0" applyFont="1" applyFill="1" applyBorder="1" applyAlignment="1" applyProtection="1">
      <alignment horizontal="left" vertical="center" indent="1"/>
      <protection hidden="1"/>
    </xf>
    <xf numFmtId="173" fontId="176" fillId="0" borderId="582" xfId="0" applyFont="1" applyFill="1" applyBorder="1" applyAlignment="1" applyProtection="1">
      <alignment horizontal="left" vertical="center" indent="1"/>
      <protection hidden="1"/>
    </xf>
    <xf numFmtId="173" fontId="41" fillId="36" borderId="112" xfId="0" applyFont="1" applyFill="1" applyBorder="1" applyAlignment="1" applyProtection="1">
      <alignment horizontal="center" vertical="center" wrapText="1"/>
      <protection hidden="1"/>
    </xf>
    <xf numFmtId="173" fontId="41" fillId="36" borderId="115" xfId="0" applyFont="1" applyFill="1" applyBorder="1" applyAlignment="1" applyProtection="1">
      <alignment horizontal="center" vertical="center" wrapText="1"/>
      <protection hidden="1"/>
    </xf>
    <xf numFmtId="173" fontId="41" fillId="36" borderId="124" xfId="0" applyFont="1" applyFill="1" applyBorder="1" applyAlignment="1" applyProtection="1">
      <alignment horizontal="center" vertical="center" wrapText="1"/>
      <protection hidden="1"/>
    </xf>
    <xf numFmtId="173" fontId="106" fillId="0" borderId="585" xfId="0" applyFont="1" applyFill="1" applyBorder="1" applyAlignment="1" applyProtection="1">
      <alignment horizontal="left" vertical="center" wrapText="1" indent="1"/>
      <protection hidden="1"/>
    </xf>
    <xf numFmtId="173" fontId="0" fillId="0" borderId="191" xfId="0" applyBorder="1" applyAlignment="1">
      <alignment horizontal="left" vertical="center" indent="1"/>
    </xf>
    <xf numFmtId="173" fontId="0" fillId="0" borderId="214" xfId="0" applyBorder="1" applyAlignment="1">
      <alignment horizontal="left" vertical="center" indent="1"/>
    </xf>
    <xf numFmtId="173" fontId="273" fillId="0" borderId="535" xfId="0" applyFont="1" applyBorder="1" applyAlignment="1" applyProtection="1">
      <alignment horizontal="left" vertical="center"/>
      <protection locked="0"/>
    </xf>
    <xf numFmtId="173" fontId="273" fillId="0" borderId="536" xfId="0" applyFont="1" applyBorder="1" applyAlignment="1" applyProtection="1">
      <alignment horizontal="left" vertical="center"/>
      <protection locked="0"/>
    </xf>
    <xf numFmtId="173" fontId="273" fillId="0" borderId="537" xfId="0" applyFont="1" applyBorder="1" applyAlignment="1" applyProtection="1">
      <alignment horizontal="left" vertical="center"/>
      <protection locked="0"/>
    </xf>
    <xf numFmtId="173" fontId="273" fillId="0" borderId="534" xfId="0" applyFont="1" applyBorder="1" applyAlignment="1" applyProtection="1">
      <alignment vertical="center"/>
      <protection locked="0"/>
    </xf>
    <xf numFmtId="173" fontId="273" fillId="0" borderId="130" xfId="0" applyFont="1" applyBorder="1" applyAlignment="1" applyProtection="1">
      <alignment vertical="center"/>
      <protection locked="0"/>
    </xf>
    <xf numFmtId="3" fontId="204" fillId="36" borderId="545" xfId="0" applyNumberFormat="1" applyFont="1" applyFill="1" applyBorder="1" applyAlignment="1" applyProtection="1">
      <alignment horizontal="center" vertical="center"/>
      <protection hidden="1"/>
    </xf>
    <xf numFmtId="3" fontId="204" fillId="36" borderId="546" xfId="0" applyNumberFormat="1" applyFont="1" applyFill="1" applyBorder="1" applyAlignment="1" applyProtection="1">
      <alignment horizontal="center" vertical="center"/>
      <protection hidden="1"/>
    </xf>
    <xf numFmtId="173" fontId="241" fillId="0" borderId="551" xfId="0" applyFont="1" applyBorder="1" applyAlignment="1" applyProtection="1">
      <alignment horizontal="left" vertical="center" wrapText="1"/>
      <protection locked="0" hidden="1"/>
    </xf>
    <xf numFmtId="173" fontId="241" fillId="0" borderId="552" xfId="0" applyFont="1" applyBorder="1" applyAlignment="1" applyProtection="1">
      <alignment horizontal="left" vertical="center" wrapText="1"/>
      <protection locked="0" hidden="1"/>
    </xf>
    <xf numFmtId="173" fontId="273" fillId="0" borderId="553" xfId="0" applyFont="1" applyBorder="1" applyAlignment="1">
      <alignment horizontal="left" vertical="center" wrapText="1"/>
    </xf>
    <xf numFmtId="173" fontId="273" fillId="0" borderId="221" xfId="0" applyFont="1" applyBorder="1" applyAlignment="1" applyProtection="1">
      <alignment horizontal="left" vertical="center" wrapText="1"/>
      <protection hidden="1"/>
    </xf>
    <xf numFmtId="173" fontId="273" fillId="0" borderId="130" xfId="0" applyFont="1" applyBorder="1" applyAlignment="1" applyProtection="1">
      <alignment horizontal="left" vertical="center" wrapText="1"/>
      <protection hidden="1"/>
    </xf>
    <xf numFmtId="173" fontId="273" fillId="0" borderId="175" xfId="0" applyFont="1" applyBorder="1" applyAlignment="1" applyProtection="1">
      <alignment horizontal="left" vertical="center" wrapText="1"/>
      <protection hidden="1"/>
    </xf>
    <xf numFmtId="3" fontId="233" fillId="0" borderId="128" xfId="0" applyNumberFormat="1" applyFont="1" applyFill="1" applyBorder="1" applyAlignment="1" applyProtection="1">
      <alignment horizontal="left" vertical="center" indent="1"/>
      <protection hidden="1"/>
    </xf>
    <xf numFmtId="173" fontId="287" fillId="0" borderId="129" xfId="0" applyFont="1" applyBorder="1" applyAlignment="1">
      <alignment horizontal="left" vertical="center" indent="1"/>
    </xf>
    <xf numFmtId="173" fontId="233" fillId="0" borderId="531" xfId="0" applyFont="1" applyFill="1" applyBorder="1" applyAlignment="1" applyProtection="1">
      <alignment horizontal="left" vertical="center" wrapText="1" indent="1"/>
      <protection hidden="1"/>
    </xf>
    <xf numFmtId="173" fontId="287" fillId="0" borderId="277" xfId="0" applyFont="1" applyBorder="1" applyAlignment="1">
      <alignment horizontal="left" vertical="center" indent="1"/>
    </xf>
    <xf numFmtId="173" fontId="287" fillId="0" borderId="357" xfId="0" applyFont="1" applyBorder="1" applyAlignment="1">
      <alignment horizontal="left" vertical="center" indent="1"/>
    </xf>
    <xf numFmtId="3" fontId="233" fillId="0" borderId="528" xfId="0" applyNumberFormat="1" applyFont="1" applyFill="1" applyBorder="1" applyAlignment="1" applyProtection="1">
      <alignment horizontal="left" vertical="center" indent="1"/>
      <protection hidden="1"/>
    </xf>
    <xf numFmtId="3" fontId="233" fillId="0" borderId="529" xfId="0" applyNumberFormat="1" applyFont="1" applyFill="1" applyBorder="1" applyAlignment="1" applyProtection="1">
      <alignment horizontal="left" vertical="center" indent="1"/>
      <protection hidden="1"/>
    </xf>
    <xf numFmtId="3" fontId="233" fillId="0" borderId="530" xfId="0" applyNumberFormat="1" applyFont="1" applyFill="1" applyBorder="1" applyAlignment="1" applyProtection="1">
      <alignment horizontal="left" vertical="center" indent="1"/>
      <protection hidden="1"/>
    </xf>
    <xf numFmtId="173" fontId="135" fillId="0" borderId="112" xfId="0" applyFont="1" applyFill="1" applyBorder="1" applyAlignment="1" applyProtection="1">
      <alignment horizontal="left" vertical="center" wrapText="1"/>
      <protection hidden="1"/>
    </xf>
    <xf numFmtId="173" fontId="135" fillId="0" borderId="115" xfId="0" applyFont="1" applyFill="1" applyBorder="1" applyAlignment="1" applyProtection="1">
      <alignment horizontal="left" vertical="center" wrapText="1"/>
      <protection hidden="1"/>
    </xf>
    <xf numFmtId="173" fontId="135" fillId="0" borderId="124" xfId="0" applyFont="1" applyFill="1" applyBorder="1" applyAlignment="1" applyProtection="1">
      <alignment horizontal="left" vertical="center" wrapText="1"/>
      <protection hidden="1"/>
    </xf>
    <xf numFmtId="173" fontId="223" fillId="0" borderId="0" xfId="0" applyFont="1" applyFill="1" applyBorder="1" applyAlignment="1" applyProtection="1">
      <alignment vertical="center"/>
      <protection hidden="1"/>
    </xf>
    <xf numFmtId="173" fontId="273" fillId="0" borderId="266" xfId="0" applyFont="1" applyBorder="1" applyAlignment="1" applyProtection="1">
      <alignment horizontal="left" vertical="center" wrapText="1" indent="1"/>
      <protection locked="0" hidden="1"/>
    </xf>
    <xf numFmtId="173" fontId="273" fillId="0" borderId="266" xfId="0" applyFont="1" applyBorder="1" applyAlignment="1">
      <alignment horizontal="left" vertical="center" wrapText="1" indent="1"/>
    </xf>
    <xf numFmtId="3" fontId="199" fillId="36" borderId="559" xfId="0" applyNumberFormat="1" applyFont="1" applyFill="1" applyBorder="1" applyAlignment="1" applyProtection="1">
      <alignment horizontal="center" vertical="center"/>
      <protection hidden="1"/>
    </xf>
    <xf numFmtId="173" fontId="273" fillId="0" borderId="177" xfId="0" applyFont="1" applyBorder="1" applyAlignment="1" applyProtection="1">
      <alignment horizontal="left" vertical="center" wrapText="1" indent="1"/>
      <protection locked="0" hidden="1"/>
    </xf>
    <xf numFmtId="173" fontId="273" fillId="0" borderId="177" xfId="0" applyFont="1" applyBorder="1" applyAlignment="1">
      <alignment horizontal="left" vertical="center" wrapText="1" indent="1"/>
    </xf>
    <xf numFmtId="173" fontId="273" fillId="0" borderId="176" xfId="0" applyFont="1" applyBorder="1" applyAlignment="1" applyProtection="1">
      <alignment horizontal="left" vertical="center" wrapText="1" indent="1"/>
      <protection locked="0" hidden="1"/>
    </xf>
    <xf numFmtId="173" fontId="273" fillId="0" borderId="176" xfId="0" applyFont="1" applyBorder="1" applyAlignment="1">
      <alignment horizontal="left" vertical="center" wrapText="1" indent="1"/>
    </xf>
    <xf numFmtId="3" fontId="199" fillId="36" borderId="559" xfId="0" applyNumberFormat="1" applyFont="1" applyFill="1" applyBorder="1" applyAlignment="1" applyProtection="1">
      <alignment horizontal="center" vertical="center" wrapText="1"/>
      <protection hidden="1"/>
    </xf>
    <xf numFmtId="173" fontId="61" fillId="5" borderId="112" xfId="0" applyFont="1" applyFill="1" applyBorder="1" applyAlignment="1" applyProtection="1">
      <alignment horizontal="left" vertical="center"/>
      <protection hidden="1"/>
    </xf>
    <xf numFmtId="173" fontId="61" fillId="5" borderId="115" xfId="0" applyFont="1" applyFill="1" applyBorder="1" applyAlignment="1" applyProtection="1">
      <alignment horizontal="left" vertical="center"/>
      <protection hidden="1"/>
    </xf>
    <xf numFmtId="173" fontId="61" fillId="5" borderId="124" xfId="0" applyFont="1" applyFill="1" applyBorder="1" applyAlignment="1" applyProtection="1">
      <alignment horizontal="left" vertical="center"/>
      <protection hidden="1"/>
    </xf>
    <xf numFmtId="175" fontId="248" fillId="0" borderId="0" xfId="0" applyNumberFormat="1" applyFont="1" applyBorder="1" applyAlignment="1" applyProtection="1">
      <alignment horizontal="center" vertical="center"/>
      <protection hidden="1"/>
    </xf>
    <xf numFmtId="175" fontId="287" fillId="0" borderId="0" xfId="0" applyNumberFormat="1" applyFont="1" applyBorder="1" applyAlignment="1">
      <alignment horizontal="center" vertical="center"/>
    </xf>
    <xf numFmtId="173" fontId="273" fillId="0" borderId="80" xfId="0" applyFont="1" applyBorder="1" applyAlignment="1" applyProtection="1">
      <alignment vertical="center"/>
      <protection locked="0"/>
    </xf>
    <xf numFmtId="173" fontId="273" fillId="0" borderId="0" xfId="0" applyFont="1" applyBorder="1" applyAlignment="1">
      <alignment vertical="center"/>
    </xf>
    <xf numFmtId="173" fontId="273" fillId="0" borderId="145" xfId="0" applyFont="1" applyBorder="1" applyAlignment="1" applyProtection="1">
      <alignment vertical="center"/>
      <protection locked="0"/>
    </xf>
    <xf numFmtId="173" fontId="273" fillId="0" borderId="130" xfId="0" applyFont="1" applyBorder="1" applyAlignment="1">
      <alignment vertical="center"/>
    </xf>
    <xf numFmtId="173" fontId="273" fillId="0" borderId="81" xfId="0" applyFont="1" applyBorder="1" applyAlignment="1" applyProtection="1">
      <alignment vertical="center"/>
      <protection locked="0"/>
    </xf>
    <xf numFmtId="173" fontId="273" fillId="0" borderId="194" xfId="0" applyFont="1" applyBorder="1" applyAlignment="1">
      <alignment vertical="center"/>
    </xf>
    <xf numFmtId="3" fontId="283" fillId="0" borderId="0" xfId="0" applyNumberFormat="1" applyFont="1" applyBorder="1" applyAlignment="1" applyProtection="1">
      <alignment horizontal="left" vertical="center" wrapText="1" indent="3"/>
      <protection hidden="1"/>
    </xf>
    <xf numFmtId="167" fontId="220" fillId="0" borderId="17" xfId="0" applyNumberFormat="1" applyFont="1" applyFill="1" applyBorder="1" applyAlignment="1" applyProtection="1">
      <alignment horizontal="center" vertical="center" wrapText="1"/>
      <protection hidden="1"/>
    </xf>
    <xf numFmtId="167" fontId="220" fillId="0" borderId="18" xfId="0" applyNumberFormat="1" applyFont="1" applyFill="1" applyBorder="1" applyAlignment="1" applyProtection="1">
      <alignment horizontal="center" vertical="center" wrapText="1"/>
      <protection hidden="1"/>
    </xf>
    <xf numFmtId="173" fontId="273" fillId="0" borderId="554" xfId="0" applyFont="1" applyBorder="1" applyAlignment="1" applyProtection="1">
      <alignment horizontal="left" vertical="center" wrapText="1"/>
      <protection locked="0" hidden="1"/>
    </xf>
    <xf numFmtId="173" fontId="273" fillId="0" borderId="550" xfId="0" applyFont="1" applyBorder="1" applyAlignment="1" applyProtection="1">
      <alignment horizontal="left" vertical="center" wrapText="1"/>
      <protection locked="0" hidden="1"/>
    </xf>
    <xf numFmtId="173" fontId="273" fillId="0" borderId="555" xfId="0" applyFont="1" applyBorder="1" applyAlignment="1">
      <alignment horizontal="left" vertical="center" wrapText="1"/>
    </xf>
    <xf numFmtId="3" fontId="204" fillId="36" borderId="303" xfId="0" applyNumberFormat="1" applyFont="1" applyFill="1" applyBorder="1" applyAlignment="1" applyProtection="1">
      <alignment horizontal="center" vertical="center"/>
      <protection hidden="1"/>
    </xf>
    <xf numFmtId="3" fontId="204" fillId="36" borderId="432" xfId="0" applyNumberFormat="1" applyFont="1" applyFill="1" applyBorder="1" applyAlignment="1" applyProtection="1">
      <alignment horizontal="center" vertical="center"/>
      <protection hidden="1"/>
    </xf>
    <xf numFmtId="3" fontId="204" fillId="36" borderId="129" xfId="0" applyNumberFormat="1" applyFont="1" applyFill="1" applyBorder="1" applyAlignment="1" applyProtection="1">
      <alignment horizontal="center" vertical="center"/>
      <protection hidden="1"/>
    </xf>
    <xf numFmtId="3" fontId="204" fillId="36" borderId="547" xfId="0" applyNumberFormat="1" applyFont="1" applyFill="1" applyBorder="1" applyAlignment="1" applyProtection="1">
      <alignment horizontal="center" vertical="center"/>
      <protection hidden="1"/>
    </xf>
    <xf numFmtId="3" fontId="204" fillId="36" borderId="191" xfId="0" applyNumberFormat="1" applyFont="1" applyFill="1" applyBorder="1" applyAlignment="1" applyProtection="1">
      <alignment horizontal="center" vertical="center"/>
      <protection hidden="1"/>
    </xf>
    <xf numFmtId="3" fontId="201" fillId="31" borderId="342" xfId="0" applyNumberFormat="1" applyFont="1" applyFill="1" applyBorder="1" applyAlignment="1" applyProtection="1">
      <alignment horizontal="center" vertical="center"/>
      <protection hidden="1"/>
    </xf>
    <xf numFmtId="3" fontId="201" fillId="31" borderId="354" xfId="0" applyNumberFormat="1" applyFont="1" applyFill="1" applyBorder="1" applyAlignment="1" applyProtection="1">
      <alignment horizontal="center" vertical="center"/>
      <protection hidden="1"/>
    </xf>
    <xf numFmtId="3" fontId="199" fillId="36" borderId="297" xfId="0" applyNumberFormat="1" applyFont="1" applyFill="1" applyBorder="1" applyAlignment="1" applyProtection="1">
      <alignment horizontal="center" vertical="center"/>
      <protection hidden="1"/>
    </xf>
    <xf numFmtId="3" fontId="199" fillId="36" borderId="384" xfId="0" applyNumberFormat="1" applyFont="1" applyFill="1" applyBorder="1" applyAlignment="1" applyProtection="1">
      <alignment horizontal="center" vertical="center"/>
      <protection hidden="1"/>
    </xf>
    <xf numFmtId="3" fontId="199" fillId="36" borderId="486" xfId="0" applyNumberFormat="1" applyFont="1" applyFill="1" applyBorder="1" applyAlignment="1" applyProtection="1">
      <alignment horizontal="center" vertical="center"/>
      <protection hidden="1"/>
    </xf>
    <xf numFmtId="173" fontId="203" fillId="0" borderId="0" xfId="7" applyFont="1" applyBorder="1" applyAlignment="1" applyProtection="1">
      <alignment horizontal="right" vertical="center"/>
      <protection locked="0"/>
    </xf>
    <xf numFmtId="9" fontId="239" fillId="0" borderId="0" xfId="0" applyNumberFormat="1" applyFont="1" applyBorder="1" applyAlignment="1" applyProtection="1">
      <alignment horizontal="left" vertical="top" wrapText="1"/>
      <protection hidden="1"/>
    </xf>
    <xf numFmtId="173" fontId="316" fillId="0" borderId="0" xfId="0" applyFont="1" applyFill="1" applyBorder="1" applyAlignment="1" applyProtection="1">
      <alignment horizontal="left" vertical="center"/>
      <protection locked="0"/>
    </xf>
    <xf numFmtId="173" fontId="408" fillId="0" borderId="0" xfId="0" applyFont="1" applyFill="1" applyBorder="1" applyAlignment="1" applyProtection="1">
      <alignment horizontal="right" vertical="center"/>
    </xf>
    <xf numFmtId="9" fontId="210" fillId="0" borderId="0" xfId="0" applyNumberFormat="1" applyFont="1" applyFill="1" applyBorder="1" applyAlignment="1" applyProtection="1">
      <alignment horizontal="left" vertical="center"/>
      <protection hidden="1"/>
    </xf>
    <xf numFmtId="173" fontId="0" fillId="0" borderId="0" xfId="0" applyFill="1" applyBorder="1" applyAlignment="1" applyProtection="1">
      <alignment horizontal="right" vertical="center"/>
      <protection hidden="1"/>
    </xf>
    <xf numFmtId="3" fontId="199" fillId="36" borderId="511" xfId="0" applyNumberFormat="1" applyFont="1" applyFill="1" applyBorder="1" applyAlignment="1" applyProtection="1">
      <alignment horizontal="center" vertical="center"/>
      <protection hidden="1"/>
    </xf>
    <xf numFmtId="3" fontId="199" fillId="36" borderId="219" xfId="0" applyNumberFormat="1" applyFont="1" applyFill="1" applyBorder="1" applyAlignment="1" applyProtection="1">
      <alignment horizontal="center" vertical="center"/>
      <protection hidden="1"/>
    </xf>
    <xf numFmtId="167" fontId="75" fillId="68" borderId="268" xfId="0" applyNumberFormat="1" applyFont="1" applyFill="1" applyBorder="1" applyAlignment="1" applyProtection="1">
      <alignment horizontal="center" vertical="center"/>
      <protection hidden="1"/>
    </xf>
    <xf numFmtId="167" fontId="75" fillId="68" borderId="269" xfId="0" applyNumberFormat="1" applyFont="1" applyFill="1" applyBorder="1" applyAlignment="1" applyProtection="1">
      <alignment horizontal="center" vertical="center"/>
      <protection hidden="1"/>
    </xf>
    <xf numFmtId="173" fontId="273" fillId="25" borderId="556" xfId="0" applyFont="1" applyFill="1" applyBorder="1" applyAlignment="1" applyProtection="1">
      <alignment horizontal="left" vertical="center" wrapText="1"/>
      <protection locked="0" hidden="1"/>
    </xf>
    <xf numFmtId="173" fontId="273" fillId="25" borderId="548" xfId="0" applyFont="1" applyFill="1" applyBorder="1" applyAlignment="1" applyProtection="1">
      <alignment horizontal="left" vertical="center" wrapText="1"/>
      <protection locked="0" hidden="1"/>
    </xf>
    <xf numFmtId="173" fontId="273" fillId="25" borderId="557" xfId="0" applyFont="1" applyFill="1" applyBorder="1" applyAlignment="1" applyProtection="1">
      <alignment horizontal="left" vertical="center" wrapText="1"/>
      <protection locked="0" hidden="1"/>
    </xf>
    <xf numFmtId="173" fontId="363" fillId="53" borderId="112" xfId="0" applyFont="1" applyFill="1" applyBorder="1" applyAlignment="1" applyProtection="1">
      <alignment vertical="center"/>
      <protection hidden="1"/>
    </xf>
    <xf numFmtId="173" fontId="0" fillId="0" borderId="115" xfId="0" applyBorder="1" applyAlignment="1">
      <alignment vertical="center"/>
    </xf>
    <xf numFmtId="173" fontId="0" fillId="0" borderId="124" xfId="0" applyBorder="1" applyAlignment="1">
      <alignment vertical="center"/>
    </xf>
    <xf numFmtId="173" fontId="19" fillId="0" borderId="0" xfId="0" applyFont="1" applyFill="1" applyBorder="1" applyAlignment="1" applyProtection="1">
      <alignment horizontal="left" vertical="center" wrapText="1"/>
      <protection locked="0" hidden="1"/>
    </xf>
    <xf numFmtId="173" fontId="19" fillId="0" borderId="137" xfId="0" applyFont="1" applyFill="1" applyBorder="1" applyAlignment="1" applyProtection="1">
      <alignment horizontal="left" vertical="center" wrapText="1"/>
      <protection locked="0" hidden="1"/>
    </xf>
    <xf numFmtId="173" fontId="19" fillId="0" borderId="130" xfId="0" applyFont="1" applyFill="1" applyBorder="1" applyAlignment="1" applyProtection="1">
      <alignment horizontal="left" vertical="center" wrapText="1"/>
      <protection locked="0" hidden="1"/>
    </xf>
    <xf numFmtId="173" fontId="19" fillId="0" borderId="244" xfId="0" applyFont="1" applyFill="1" applyBorder="1" applyAlignment="1" applyProtection="1">
      <alignment horizontal="left" vertical="center" wrapText="1"/>
      <protection locked="0" hidden="1"/>
    </xf>
    <xf numFmtId="173" fontId="19" fillId="0" borderId="194" xfId="0" applyFont="1" applyFill="1" applyBorder="1" applyAlignment="1" applyProtection="1">
      <alignment horizontal="left" vertical="center" wrapText="1"/>
      <protection locked="0" hidden="1"/>
    </xf>
    <xf numFmtId="173" fontId="19" fillId="0" borderId="138" xfId="0" applyFont="1" applyFill="1" applyBorder="1" applyAlignment="1" applyProtection="1">
      <alignment horizontal="left" vertical="center" wrapText="1"/>
      <protection locked="0" hidden="1"/>
    </xf>
    <xf numFmtId="173" fontId="403" fillId="0" borderId="177" xfId="0" applyFont="1" applyFill="1" applyBorder="1" applyAlignment="1" applyProtection="1">
      <alignment horizontal="center" vertical="center"/>
      <protection locked="0" hidden="1"/>
    </xf>
    <xf numFmtId="173" fontId="403" fillId="0" borderId="176" xfId="0" applyFont="1" applyFill="1" applyBorder="1" applyAlignment="1" applyProtection="1">
      <alignment horizontal="center" vertical="center"/>
      <protection locked="0" hidden="1"/>
    </xf>
    <xf numFmtId="173" fontId="403" fillId="0" borderId="266" xfId="0" applyFont="1" applyFill="1" applyBorder="1" applyAlignment="1" applyProtection="1">
      <alignment horizontal="center" vertical="center"/>
      <protection locked="0" hidden="1"/>
    </xf>
    <xf numFmtId="173" fontId="359" fillId="0" borderId="0" xfId="5" applyFont="1" applyFill="1" applyBorder="1" applyAlignment="1" applyProtection="1">
      <alignment vertical="top" wrapText="1"/>
      <protection hidden="1"/>
    </xf>
    <xf numFmtId="173" fontId="233" fillId="0" borderId="0" xfId="0" applyFont="1" applyBorder="1" applyAlignment="1">
      <alignment vertical="top" wrapText="1"/>
    </xf>
    <xf numFmtId="173" fontId="233" fillId="0" borderId="103" xfId="0" applyFont="1" applyBorder="1" applyAlignment="1">
      <alignment vertical="top" wrapText="1"/>
    </xf>
    <xf numFmtId="173" fontId="106" fillId="0" borderId="128" xfId="0" applyFont="1" applyFill="1" applyBorder="1" applyAlignment="1" applyProtection="1">
      <alignment horizontal="left" vertical="center" wrapText="1" indent="1"/>
      <protection hidden="1"/>
    </xf>
    <xf numFmtId="173" fontId="0" fillId="0" borderId="129" xfId="0" applyBorder="1" applyAlignment="1">
      <alignment horizontal="left" vertical="center" indent="1"/>
    </xf>
    <xf numFmtId="173" fontId="0" fillId="0" borderId="561" xfId="0" applyBorder="1" applyAlignment="1">
      <alignment horizontal="left" vertical="center" indent="1"/>
    </xf>
    <xf numFmtId="173" fontId="0" fillId="0" borderId="539" xfId="0" applyBorder="1" applyAlignment="1">
      <alignment horizontal="left" vertical="center" indent="1"/>
    </xf>
    <xf numFmtId="173" fontId="0" fillId="0" borderId="598" xfId="0" applyBorder="1" applyAlignment="1">
      <alignment horizontal="left" vertical="center" indent="1"/>
    </xf>
    <xf numFmtId="3" fontId="191" fillId="36" borderId="128" xfId="0" applyNumberFormat="1" applyFont="1" applyFill="1" applyBorder="1" applyAlignment="1" applyProtection="1">
      <alignment horizontal="center" vertical="center"/>
      <protection hidden="1"/>
    </xf>
    <xf numFmtId="3" fontId="191" fillId="36" borderId="129" xfId="0" applyNumberFormat="1" applyFont="1" applyFill="1" applyBorder="1" applyAlignment="1" applyProtection="1">
      <alignment horizontal="center" vertical="center"/>
      <protection hidden="1"/>
    </xf>
    <xf numFmtId="3" fontId="191" fillId="36" borderId="432" xfId="0" applyNumberFormat="1" applyFont="1" applyFill="1" applyBorder="1" applyAlignment="1" applyProtection="1">
      <alignment horizontal="center" vertical="center"/>
      <protection hidden="1"/>
    </xf>
    <xf numFmtId="3" fontId="191" fillId="36" borderId="539" xfId="0" applyNumberFormat="1" applyFont="1" applyFill="1" applyBorder="1" applyAlignment="1" applyProtection="1">
      <alignment horizontal="center" vertical="center"/>
      <protection hidden="1"/>
    </xf>
    <xf numFmtId="3" fontId="191" fillId="36" borderId="191" xfId="0" applyNumberFormat="1" applyFont="1" applyFill="1" applyBorder="1" applyAlignment="1" applyProtection="1">
      <alignment horizontal="center" vertical="center"/>
      <protection hidden="1"/>
    </xf>
    <xf numFmtId="3" fontId="191" fillId="36" borderId="540" xfId="0" applyNumberFormat="1" applyFont="1" applyFill="1" applyBorder="1" applyAlignment="1" applyProtection="1">
      <alignment horizontal="center" vertical="center"/>
      <protection hidden="1"/>
    </xf>
    <xf numFmtId="3" fontId="204" fillId="36" borderId="303" xfId="0" applyNumberFormat="1" applyFont="1" applyFill="1" applyBorder="1" applyAlignment="1" applyProtection="1">
      <alignment horizontal="center" vertical="center" wrapText="1"/>
      <protection hidden="1"/>
    </xf>
    <xf numFmtId="3" fontId="204" fillId="36" borderId="300" xfId="0" applyNumberFormat="1" applyFont="1" applyFill="1" applyBorder="1" applyAlignment="1" applyProtection="1">
      <alignment horizontal="center" vertical="center" wrapText="1"/>
      <protection hidden="1"/>
    </xf>
    <xf numFmtId="173" fontId="338" fillId="0" borderId="583" xfId="0" applyFont="1" applyFill="1" applyBorder="1" applyAlignment="1" applyProtection="1">
      <alignment horizontal="left" vertical="center" indent="1"/>
      <protection hidden="1"/>
    </xf>
    <xf numFmtId="173" fontId="200" fillId="0" borderId="561" xfId="0" applyFont="1" applyBorder="1" applyAlignment="1">
      <alignment horizontal="left" vertical="center" indent="1"/>
    </xf>
    <xf numFmtId="173" fontId="338" fillId="0" borderId="586" xfId="0" applyFont="1" applyFill="1" applyBorder="1" applyAlignment="1" applyProtection="1">
      <alignment horizontal="left" vertical="center" indent="1"/>
      <protection hidden="1"/>
    </xf>
    <xf numFmtId="173" fontId="200" fillId="0" borderId="587" xfId="0" applyFont="1" applyBorder="1" applyAlignment="1">
      <alignment horizontal="left" vertical="center" indent="1"/>
    </xf>
    <xf numFmtId="173" fontId="316" fillId="0" borderId="0" xfId="0" applyFont="1" applyFill="1" applyBorder="1" applyAlignment="1" applyProtection="1">
      <alignment vertical="center"/>
      <protection locked="0"/>
    </xf>
    <xf numFmtId="173" fontId="203" fillId="0" borderId="0" xfId="7" applyFont="1" applyBorder="1" applyAlignment="1" applyProtection="1">
      <alignment horizontal="right"/>
    </xf>
    <xf numFmtId="173" fontId="232" fillId="25" borderId="80" xfId="0" applyFont="1" applyFill="1" applyBorder="1" applyAlignment="1" applyProtection="1">
      <alignment horizontal="left" vertical="center" wrapText="1" indent="1"/>
      <protection hidden="1"/>
    </xf>
    <xf numFmtId="173" fontId="232" fillId="25" borderId="0" xfId="0" applyFont="1" applyFill="1" applyBorder="1" applyAlignment="1" applyProtection="1">
      <alignment horizontal="left" vertical="center" wrapText="1" indent="1"/>
      <protection hidden="1"/>
    </xf>
    <xf numFmtId="173" fontId="232" fillId="25" borderId="81" xfId="0" applyFont="1" applyFill="1" applyBorder="1" applyAlignment="1" applyProtection="1">
      <alignment horizontal="left" vertical="center" wrapText="1" indent="1"/>
      <protection hidden="1"/>
    </xf>
    <xf numFmtId="173" fontId="232" fillId="25" borderId="194" xfId="0" applyFont="1" applyFill="1" applyBorder="1" applyAlignment="1" applyProtection="1">
      <alignment horizontal="left" vertical="center" wrapText="1" indent="1"/>
      <protection hidden="1"/>
    </xf>
    <xf numFmtId="173" fontId="231" fillId="25" borderId="137" xfId="0" applyFont="1" applyFill="1" applyBorder="1" applyAlignment="1" applyProtection="1">
      <alignment horizontal="right" vertical="top"/>
      <protection hidden="1"/>
    </xf>
    <xf numFmtId="173" fontId="0" fillId="25" borderId="138" xfId="0" applyFill="1" applyBorder="1" applyAlignment="1">
      <alignment horizontal="right" vertical="top"/>
    </xf>
    <xf numFmtId="173" fontId="323" fillId="25" borderId="387" xfId="0" applyFont="1" applyFill="1" applyBorder="1" applyAlignment="1" applyProtection="1">
      <alignment horizontal="right" vertical="center"/>
      <protection hidden="1"/>
    </xf>
    <xf numFmtId="173" fontId="324" fillId="0" borderId="81" xfId="0" applyFont="1" applyBorder="1" applyAlignment="1">
      <alignment horizontal="right"/>
    </xf>
    <xf numFmtId="9" fontId="323" fillId="25" borderId="393" xfId="0" applyNumberFormat="1" applyFont="1" applyFill="1" applyBorder="1" applyAlignment="1" applyProtection="1">
      <alignment horizontal="left" vertical="center"/>
      <protection hidden="1"/>
    </xf>
    <xf numFmtId="173" fontId="324" fillId="0" borderId="138" xfId="0" applyFont="1" applyBorder="1" applyAlignment="1" applyProtection="1">
      <alignment horizontal="right"/>
      <protection hidden="1"/>
    </xf>
    <xf numFmtId="173" fontId="16" fillId="31" borderId="112" xfId="6" applyFont="1" applyFill="1" applyBorder="1" applyAlignment="1" applyProtection="1">
      <alignment horizontal="center" vertical="center"/>
      <protection hidden="1"/>
    </xf>
    <xf numFmtId="173" fontId="16" fillId="31" borderId="124" xfId="6" applyFont="1" applyFill="1" applyBorder="1" applyAlignment="1" applyProtection="1">
      <alignment horizontal="center" vertical="center"/>
      <protection hidden="1"/>
    </xf>
    <xf numFmtId="167" fontId="53" fillId="0" borderId="0" xfId="0" applyNumberFormat="1" applyFont="1" applyFill="1" applyBorder="1" applyAlignment="1" applyProtection="1">
      <alignment horizontal="center" vertical="center"/>
      <protection hidden="1"/>
    </xf>
    <xf numFmtId="173" fontId="106" fillId="0" borderId="336" xfId="0" applyFont="1" applyFill="1" applyBorder="1" applyAlignment="1" applyProtection="1">
      <alignment horizontal="left" vertical="center" wrapText="1" indent="1"/>
      <protection hidden="1"/>
    </xf>
    <xf numFmtId="173" fontId="0" fillId="0" borderId="220" xfId="0" applyBorder="1" applyAlignment="1" applyProtection="1">
      <alignment horizontal="left" vertical="center" indent="1"/>
      <protection hidden="1"/>
    </xf>
    <xf numFmtId="173" fontId="0" fillId="0" borderId="218" xfId="0" applyBorder="1" applyAlignment="1" applyProtection="1">
      <alignment horizontal="left" vertical="center" indent="1"/>
      <protection hidden="1"/>
    </xf>
    <xf numFmtId="173" fontId="271" fillId="24" borderId="128" xfId="0" applyFont="1" applyFill="1" applyBorder="1" applyAlignment="1" applyProtection="1">
      <alignment horizontal="center" vertical="center" wrapText="1"/>
      <protection locked="0"/>
    </xf>
    <xf numFmtId="173" fontId="271" fillId="24" borderId="300" xfId="0" applyFont="1" applyFill="1" applyBorder="1" applyAlignment="1" applyProtection="1">
      <alignment horizontal="center" vertical="center" wrapText="1"/>
      <protection locked="0"/>
    </xf>
    <xf numFmtId="173" fontId="271" fillId="24" borderId="81" xfId="0" applyFont="1" applyFill="1" applyBorder="1" applyAlignment="1" applyProtection="1">
      <alignment horizontal="center" vertical="center" wrapText="1"/>
      <protection locked="0"/>
    </xf>
    <xf numFmtId="173" fontId="271" fillId="24" borderId="138" xfId="0" applyFont="1" applyFill="1" applyBorder="1" applyAlignment="1" applyProtection="1">
      <alignment horizontal="center" vertical="center" wrapText="1"/>
      <protection locked="0"/>
    </xf>
    <xf numFmtId="173" fontId="203" fillId="0" borderId="0" xfId="7" quotePrefix="1" applyFont="1" applyBorder="1" applyAlignment="1" applyProtection="1">
      <alignment horizontal="left"/>
    </xf>
    <xf numFmtId="173" fontId="41" fillId="13" borderId="183" xfId="0" applyFont="1" applyFill="1" applyBorder="1" applyAlignment="1" applyProtection="1">
      <alignment horizontal="left" vertical="center" indent="1"/>
      <protection hidden="1"/>
    </xf>
    <xf numFmtId="167" fontId="203" fillId="0" borderId="0" xfId="7" quotePrefix="1" applyNumberFormat="1" applyFont="1" applyFill="1" applyBorder="1" applyAlignment="1" applyProtection="1">
      <alignment horizontal="left"/>
      <protection locked="0"/>
    </xf>
    <xf numFmtId="167" fontId="203" fillId="0" borderId="0" xfId="7" applyNumberFormat="1" applyFont="1" applyFill="1" applyBorder="1" applyAlignment="1" applyProtection="1">
      <alignment horizontal="left"/>
      <protection locked="0"/>
    </xf>
    <xf numFmtId="173" fontId="409" fillId="0" borderId="0" xfId="0" applyFont="1" applyFill="1" applyBorder="1" applyAlignment="1" applyProtection="1">
      <alignment horizontal="left" vertical="center"/>
      <protection locked="0"/>
    </xf>
    <xf numFmtId="173" fontId="203" fillId="0" borderId="0" xfId="7" applyFont="1" applyFill="1" applyBorder="1" applyAlignment="1" applyProtection="1">
      <alignment horizontal="left" indent="1"/>
      <protection locked="0"/>
    </xf>
    <xf numFmtId="173" fontId="201" fillId="25" borderId="194" xfId="0" applyFont="1" applyFill="1" applyBorder="1" applyAlignment="1" applyProtection="1">
      <alignment horizontal="right" vertical="center"/>
      <protection hidden="1"/>
    </xf>
    <xf numFmtId="173" fontId="221" fillId="25" borderId="194" xfId="0" applyFont="1" applyFill="1" applyBorder="1" applyAlignment="1">
      <alignment horizontal="right" vertical="center"/>
    </xf>
    <xf numFmtId="173" fontId="273" fillId="0" borderId="533" xfId="0" applyFont="1" applyBorder="1" applyAlignment="1" applyProtection="1">
      <alignment horizontal="left" vertical="center"/>
      <protection locked="0"/>
    </xf>
    <xf numFmtId="173" fontId="273" fillId="0" borderId="0" xfId="0" applyFont="1" applyBorder="1" applyAlignment="1" applyProtection="1">
      <alignment horizontal="left" vertical="center"/>
      <protection locked="0"/>
    </xf>
    <xf numFmtId="173" fontId="273" fillId="0" borderId="164" xfId="0" applyFont="1" applyBorder="1" applyAlignment="1" applyProtection="1">
      <alignment horizontal="left" vertical="center"/>
      <protection locked="0"/>
    </xf>
    <xf numFmtId="173" fontId="273" fillId="0" borderId="536" xfId="0" applyFont="1" applyBorder="1" applyAlignment="1" applyProtection="1">
      <alignment horizontal="right"/>
      <protection locked="0"/>
    </xf>
    <xf numFmtId="173" fontId="273" fillId="0" borderId="537" xfId="0" applyFont="1" applyBorder="1" applyAlignment="1" applyProtection="1">
      <alignment horizontal="right"/>
      <protection locked="0"/>
    </xf>
    <xf numFmtId="173" fontId="41" fillId="49" borderId="342" xfId="0" quotePrefix="1" applyFont="1" applyFill="1" applyBorder="1" applyAlignment="1" applyProtection="1">
      <alignment horizontal="center" vertical="center"/>
      <protection hidden="1"/>
    </xf>
    <xf numFmtId="173" fontId="113" fillId="49" borderId="353" xfId="0" applyFont="1" applyFill="1" applyBorder="1" applyAlignment="1">
      <alignment horizontal="center" vertical="center"/>
    </xf>
    <xf numFmtId="173" fontId="113" fillId="49" borderId="354" xfId="0" applyFont="1" applyFill="1" applyBorder="1" applyAlignment="1">
      <alignment horizontal="center" vertical="center"/>
    </xf>
    <xf numFmtId="173" fontId="106" fillId="0" borderId="387" xfId="0" applyFont="1" applyFill="1" applyBorder="1" applyAlignment="1" applyProtection="1">
      <alignment horizontal="left" vertical="center" wrapText="1" indent="1"/>
      <protection hidden="1"/>
    </xf>
    <xf numFmtId="173" fontId="0" fillId="0" borderId="143" xfId="0" applyBorder="1" applyAlignment="1">
      <alignment horizontal="left" indent="1"/>
    </xf>
    <xf numFmtId="173" fontId="0" fillId="0" borderId="539" xfId="0" applyBorder="1" applyAlignment="1">
      <alignment horizontal="left" indent="1"/>
    </xf>
    <xf numFmtId="173" fontId="0" fillId="0" borderId="191" xfId="0" applyBorder="1" applyAlignment="1">
      <alignment horizontal="left" indent="1"/>
    </xf>
    <xf numFmtId="173" fontId="203" fillId="0" borderId="584" xfId="7" applyFont="1" applyBorder="1" applyAlignment="1" applyProtection="1">
      <alignment horizontal="right" vertical="top" indent="1"/>
    </xf>
    <xf numFmtId="173" fontId="203" fillId="0" borderId="143" xfId="7" applyFont="1" applyBorder="1" applyAlignment="1" applyProtection="1">
      <alignment horizontal="right" vertical="top" indent="1"/>
    </xf>
    <xf numFmtId="173" fontId="203" fillId="0" borderId="393" xfId="7" applyFont="1" applyBorder="1" applyAlignment="1" applyProtection="1">
      <alignment horizontal="right" indent="1"/>
    </xf>
    <xf numFmtId="167" fontId="176" fillId="0" borderId="442" xfId="0" applyNumberFormat="1" applyFont="1" applyFill="1" applyBorder="1" applyAlignment="1" applyProtection="1">
      <alignment vertical="center"/>
      <protection hidden="1"/>
    </xf>
    <xf numFmtId="173" fontId="0" fillId="0" borderId="576" xfId="0" applyBorder="1" applyAlignment="1">
      <alignment vertical="center"/>
    </xf>
    <xf numFmtId="169" fontId="176" fillId="0" borderId="575" xfId="0" applyNumberFormat="1" applyFont="1" applyFill="1" applyBorder="1" applyAlignment="1" applyProtection="1">
      <alignment horizontal="center" vertical="center"/>
      <protection hidden="1"/>
    </xf>
    <xf numFmtId="173" fontId="0" fillId="0" borderId="558" xfId="0" applyBorder="1" applyAlignment="1">
      <alignment horizontal="center" vertical="center"/>
    </xf>
    <xf numFmtId="173" fontId="16" fillId="31" borderId="81" xfId="6" applyFont="1" applyFill="1" applyBorder="1" applyAlignment="1" applyProtection="1">
      <alignment horizontal="center" vertical="top"/>
      <protection hidden="1"/>
    </xf>
    <xf numFmtId="173" fontId="16" fillId="31" borderId="138" xfId="6" applyFont="1" applyFill="1" applyBorder="1" applyAlignment="1" applyProtection="1">
      <alignment horizontal="center" vertical="top"/>
      <protection hidden="1"/>
    </xf>
    <xf numFmtId="173" fontId="274" fillId="0" borderId="191" xfId="0" applyFont="1" applyFill="1" applyBorder="1" applyAlignment="1" applyProtection="1">
      <alignment horizontal="right" vertical="center" indent="1"/>
      <protection hidden="1"/>
    </xf>
    <xf numFmtId="173" fontId="200" fillId="0" borderId="214" xfId="0" applyFont="1" applyBorder="1" applyAlignment="1">
      <alignment horizontal="right" vertical="center" indent="1"/>
    </xf>
    <xf numFmtId="173" fontId="41" fillId="9" borderId="112" xfId="0" applyFont="1" applyFill="1" applyBorder="1" applyAlignment="1" applyProtection="1">
      <alignment horizontal="center" vertical="center"/>
      <protection hidden="1"/>
    </xf>
    <xf numFmtId="173" fontId="41" fillId="9" borderId="115" xfId="0" applyFont="1" applyFill="1" applyBorder="1" applyAlignment="1" applyProtection="1">
      <alignment horizontal="center" vertical="center"/>
      <protection hidden="1"/>
    </xf>
    <xf numFmtId="173" fontId="41" fillId="9" borderId="124" xfId="0" applyFont="1" applyFill="1" applyBorder="1" applyAlignment="1" applyProtection="1">
      <alignment horizontal="center" vertical="center"/>
      <protection hidden="1"/>
    </xf>
    <xf numFmtId="173" fontId="41" fillId="31" borderId="128" xfId="6" applyFont="1" applyFill="1" applyBorder="1" applyAlignment="1" applyProtection="1">
      <alignment horizontal="center" vertical="center"/>
      <protection hidden="1"/>
    </xf>
    <xf numFmtId="173" fontId="41" fillId="31" borderId="300" xfId="6" applyFont="1" applyFill="1" applyBorder="1" applyAlignment="1" applyProtection="1">
      <alignment horizontal="center" vertical="center"/>
      <protection hidden="1"/>
    </xf>
    <xf numFmtId="167" fontId="188" fillId="68" borderId="80" xfId="0" applyNumberFormat="1" applyFont="1" applyFill="1" applyBorder="1" applyAlignment="1" applyProtection="1">
      <alignment horizontal="center" vertical="center"/>
      <protection hidden="1"/>
    </xf>
    <xf numFmtId="173" fontId="188" fillId="68" borderId="137" xfId="0" applyFont="1" applyFill="1" applyBorder="1" applyAlignment="1">
      <alignment horizontal="center" vertical="center"/>
    </xf>
    <xf numFmtId="173" fontId="188" fillId="68" borderId="80" xfId="0" applyFont="1" applyFill="1" applyBorder="1" applyAlignment="1">
      <alignment horizontal="center" vertical="center"/>
    </xf>
    <xf numFmtId="173" fontId="188" fillId="68" borderId="81" xfId="0" applyFont="1" applyFill="1" applyBorder="1" applyAlignment="1">
      <alignment horizontal="center" vertical="center"/>
    </xf>
    <xf numFmtId="173" fontId="188" fillId="68" borderId="138" xfId="0" applyFont="1" applyFill="1" applyBorder="1" applyAlignment="1">
      <alignment horizontal="center" vertical="center"/>
    </xf>
    <xf numFmtId="167" fontId="161" fillId="14" borderId="524" xfId="0" applyNumberFormat="1" applyFont="1" applyFill="1" applyBorder="1" applyAlignment="1" applyProtection="1">
      <alignment horizontal="center" vertical="center"/>
      <protection hidden="1"/>
    </xf>
    <xf numFmtId="167" fontId="161" fillId="14" borderId="525" xfId="0" applyNumberFormat="1" applyFont="1" applyFill="1" applyBorder="1" applyAlignment="1" applyProtection="1">
      <alignment horizontal="center" vertical="center"/>
      <protection hidden="1"/>
    </xf>
    <xf numFmtId="167" fontId="161" fillId="14" borderId="526" xfId="0" applyNumberFormat="1" applyFont="1" applyFill="1" applyBorder="1" applyAlignment="1" applyProtection="1">
      <alignment horizontal="center" vertical="center"/>
      <protection hidden="1"/>
    </xf>
    <xf numFmtId="167" fontId="161" fillId="14" borderId="527" xfId="0" applyNumberFormat="1" applyFont="1" applyFill="1" applyBorder="1" applyAlignment="1" applyProtection="1">
      <alignment horizontal="center" vertical="center"/>
      <protection hidden="1"/>
    </xf>
    <xf numFmtId="167" fontId="70" fillId="0" borderId="0" xfId="0" applyNumberFormat="1" applyFont="1" applyFill="1" applyBorder="1" applyAlignment="1" applyProtection="1">
      <alignment horizontal="center" vertical="center"/>
      <protection hidden="1"/>
    </xf>
    <xf numFmtId="173" fontId="106" fillId="0" borderId="577" xfId="0" applyFont="1" applyFill="1" applyBorder="1" applyAlignment="1" applyProtection="1">
      <alignment horizontal="left" vertical="center" wrapText="1" indent="1"/>
      <protection hidden="1"/>
    </xf>
    <xf numFmtId="173" fontId="185" fillId="0" borderId="578" xfId="0" applyFont="1" applyFill="1" applyBorder="1" applyAlignment="1" applyProtection="1">
      <alignment horizontal="left" vertical="center" wrapText="1" indent="1"/>
      <protection hidden="1"/>
    </xf>
    <xf numFmtId="173" fontId="185" fillId="0" borderId="578" xfId="0" applyFont="1" applyFill="1" applyBorder="1" applyAlignment="1" applyProtection="1">
      <alignment horizontal="left" vertical="center" indent="1"/>
      <protection hidden="1"/>
    </xf>
    <xf numFmtId="173" fontId="185" fillId="0" borderId="579" xfId="0" applyFont="1" applyFill="1" applyBorder="1" applyAlignment="1" applyProtection="1">
      <alignment horizontal="left" vertical="center" indent="1"/>
      <protection hidden="1"/>
    </xf>
    <xf numFmtId="167" fontId="176" fillId="68" borderId="387" xfId="0" applyNumberFormat="1" applyFont="1" applyFill="1" applyBorder="1" applyAlignment="1" applyProtection="1">
      <alignment horizontal="center" vertical="center"/>
      <protection hidden="1"/>
    </xf>
    <xf numFmtId="167" fontId="176" fillId="68" borderId="393" xfId="0" applyNumberFormat="1" applyFont="1" applyFill="1" applyBorder="1" applyAlignment="1" applyProtection="1">
      <alignment horizontal="center" vertical="center"/>
      <protection hidden="1"/>
    </xf>
    <xf numFmtId="167" fontId="176" fillId="68" borderId="539" xfId="0" applyNumberFormat="1" applyFont="1" applyFill="1" applyBorder="1" applyAlignment="1" applyProtection="1">
      <alignment horizontal="center" vertical="center"/>
      <protection hidden="1"/>
    </xf>
    <xf numFmtId="167" fontId="176" fillId="68" borderId="214" xfId="0" applyNumberFormat="1" applyFont="1" applyFill="1" applyBorder="1" applyAlignment="1" applyProtection="1">
      <alignment horizontal="center" vertical="center"/>
      <protection hidden="1"/>
    </xf>
    <xf numFmtId="173" fontId="248" fillId="24" borderId="112" xfId="0" applyFont="1" applyFill="1" applyBorder="1" applyAlignment="1" applyProtection="1">
      <alignment horizontal="center" vertical="center"/>
      <protection locked="0"/>
    </xf>
    <xf numFmtId="173" fontId="248" fillId="24" borderId="124" xfId="0" applyFont="1" applyFill="1" applyBorder="1" applyAlignment="1" applyProtection="1">
      <alignment horizontal="center" vertical="center"/>
      <protection locked="0"/>
    </xf>
    <xf numFmtId="173" fontId="248" fillId="24" borderId="342" xfId="0" applyFont="1" applyFill="1" applyBorder="1" applyAlignment="1" applyProtection="1">
      <alignment horizontal="center" vertical="center"/>
      <protection locked="0"/>
    </xf>
    <xf numFmtId="173" fontId="248" fillId="24" borderId="354" xfId="0" applyFont="1" applyFill="1" applyBorder="1" applyAlignment="1" applyProtection="1">
      <alignment horizontal="center" vertical="center"/>
      <protection locked="0"/>
    </xf>
    <xf numFmtId="173" fontId="41" fillId="9" borderId="112" xfId="0" applyFont="1" applyFill="1" applyBorder="1" applyAlignment="1" applyProtection="1">
      <alignment horizontal="left" vertical="center" wrapText="1"/>
      <protection hidden="1"/>
    </xf>
    <xf numFmtId="173" fontId="41" fillId="9" borderId="115" xfId="0" applyFont="1" applyFill="1" applyBorder="1" applyAlignment="1" applyProtection="1">
      <alignment horizontal="left" vertical="center" wrapText="1"/>
      <protection hidden="1"/>
    </xf>
    <xf numFmtId="173" fontId="41" fillId="9" borderId="124" xfId="0" applyFont="1" applyFill="1" applyBorder="1" applyAlignment="1" applyProtection="1">
      <alignment horizontal="left" vertical="center" wrapText="1"/>
      <protection hidden="1"/>
    </xf>
    <xf numFmtId="173" fontId="363" fillId="53" borderId="112" xfId="0" applyFont="1" applyFill="1" applyBorder="1" applyAlignment="1" applyProtection="1">
      <alignment horizontal="left" vertical="center"/>
      <protection hidden="1"/>
    </xf>
    <xf numFmtId="173" fontId="363" fillId="53" borderId="115" xfId="0" applyFont="1" applyFill="1" applyBorder="1" applyAlignment="1" applyProtection="1">
      <alignment horizontal="left" vertical="center"/>
      <protection hidden="1"/>
    </xf>
    <xf numFmtId="173" fontId="363" fillId="53" borderId="124" xfId="0" applyFont="1" applyFill="1" applyBorder="1" applyAlignment="1" applyProtection="1">
      <alignment horizontal="left" vertical="center"/>
      <protection hidden="1"/>
    </xf>
    <xf numFmtId="173" fontId="41" fillId="36" borderId="112" xfId="3" applyFont="1" applyFill="1" applyBorder="1" applyAlignment="1" applyProtection="1">
      <alignment horizontal="left" vertical="center"/>
      <protection hidden="1"/>
    </xf>
    <xf numFmtId="173" fontId="41" fillId="36" borderId="115" xfId="3" applyFont="1" applyFill="1" applyBorder="1" applyAlignment="1" applyProtection="1">
      <alignment horizontal="left" vertical="center"/>
      <protection hidden="1"/>
    </xf>
    <xf numFmtId="173" fontId="41" fillId="36" borderId="124" xfId="3" applyFont="1" applyFill="1" applyBorder="1" applyAlignment="1" applyProtection="1">
      <alignment horizontal="left" vertical="center"/>
      <protection hidden="1"/>
    </xf>
    <xf numFmtId="9" fontId="232" fillId="25" borderId="80" xfId="0" applyNumberFormat="1" applyFont="1" applyFill="1" applyBorder="1" applyAlignment="1" applyProtection="1">
      <alignment horizontal="center" wrapText="1"/>
      <protection hidden="1"/>
    </xf>
    <xf numFmtId="173" fontId="0" fillId="0" borderId="137" xfId="0" applyBorder="1" applyAlignment="1" applyProtection="1">
      <alignment horizontal="center"/>
      <protection hidden="1"/>
    </xf>
    <xf numFmtId="173" fontId="0" fillId="0" borderId="81" xfId="0" applyBorder="1" applyAlignment="1" applyProtection="1">
      <alignment horizontal="center"/>
      <protection hidden="1"/>
    </xf>
    <xf numFmtId="173" fontId="0" fillId="0" borderId="138" xfId="0" applyBorder="1" applyAlignment="1" applyProtection="1">
      <alignment horizontal="center"/>
      <protection hidden="1"/>
    </xf>
    <xf numFmtId="173" fontId="248" fillId="25" borderId="297" xfId="0" applyFont="1" applyFill="1" applyBorder="1" applyAlignment="1">
      <alignment horizontal="left" vertical="center" indent="1"/>
    </xf>
    <xf numFmtId="173" fontId="248" fillId="25" borderId="384" xfId="0" applyFont="1" applyFill="1" applyBorder="1" applyAlignment="1">
      <alignment horizontal="left" vertical="center" indent="1"/>
    </xf>
    <xf numFmtId="173" fontId="114" fillId="0" borderId="384" xfId="0" applyFont="1" applyBorder="1" applyAlignment="1">
      <alignment horizontal="left" vertical="center" indent="1"/>
    </xf>
    <xf numFmtId="173" fontId="352" fillId="25" borderId="438" xfId="0" applyFont="1" applyFill="1" applyBorder="1" applyAlignment="1" applyProtection="1">
      <alignment horizontal="left" vertical="center" indent="1"/>
      <protection hidden="1"/>
    </xf>
    <xf numFmtId="173" fontId="352" fillId="25" borderId="184" xfId="0" applyFont="1" applyFill="1" applyBorder="1" applyAlignment="1" applyProtection="1">
      <alignment horizontal="left" vertical="center" indent="1"/>
      <protection hidden="1"/>
    </xf>
    <xf numFmtId="173" fontId="19" fillId="0" borderId="145" xfId="0" applyFont="1" applyBorder="1" applyAlignment="1" applyProtection="1">
      <alignment horizontal="left" vertical="center" indent="1"/>
      <protection hidden="1"/>
    </xf>
    <xf numFmtId="173" fontId="19" fillId="0" borderId="130" xfId="0" applyFont="1" applyBorder="1" applyAlignment="1" applyProtection="1">
      <alignment horizontal="left" vertical="center" indent="1"/>
      <protection hidden="1"/>
    </xf>
    <xf numFmtId="173" fontId="0" fillId="0" borderId="130" xfId="0" applyBorder="1" applyAlignment="1" applyProtection="1">
      <alignment horizontal="left" vertical="center" indent="1"/>
      <protection hidden="1"/>
    </xf>
    <xf numFmtId="173" fontId="19" fillId="0" borderId="145" xfId="0" applyFont="1" applyBorder="1" applyAlignment="1" applyProtection="1">
      <alignment horizontal="left" vertical="center" indent="1"/>
      <protection locked="0"/>
    </xf>
    <xf numFmtId="173" fontId="19" fillId="0" borderId="130" xfId="0" applyFont="1" applyBorder="1" applyAlignment="1" applyProtection="1">
      <alignment horizontal="left" vertical="center" indent="1"/>
      <protection locked="0"/>
    </xf>
    <xf numFmtId="173" fontId="19" fillId="0" borderId="0" xfId="0" applyFont="1" applyBorder="1" applyAlignment="1" applyProtection="1">
      <alignment horizontal="left" vertical="center" indent="1"/>
      <protection locked="0"/>
    </xf>
    <xf numFmtId="173" fontId="0" fillId="0" borderId="0" xfId="0" applyBorder="1" applyAlignment="1" applyProtection="1">
      <alignment horizontal="left" vertical="center" indent="1"/>
      <protection locked="0"/>
    </xf>
    <xf numFmtId="3" fontId="19" fillId="0" borderId="145" xfId="0" applyNumberFormat="1" applyFont="1" applyBorder="1" applyAlignment="1" applyProtection="1">
      <alignment horizontal="left" vertical="center" indent="1"/>
      <protection hidden="1"/>
    </xf>
    <xf numFmtId="3" fontId="19" fillId="0" borderId="130" xfId="0" applyNumberFormat="1" applyFont="1" applyBorder="1" applyAlignment="1" applyProtection="1">
      <alignment horizontal="left" vertical="center" indent="1"/>
      <protection hidden="1"/>
    </xf>
    <xf numFmtId="3" fontId="340" fillId="25" borderId="336" xfId="56" quotePrefix="1" applyNumberFormat="1" applyFont="1" applyFill="1" applyBorder="1" applyAlignment="1" applyProtection="1">
      <alignment horizontal="left" vertical="center" indent="1"/>
      <protection hidden="1"/>
    </xf>
    <xf numFmtId="3" fontId="340" fillId="25" borderId="220" xfId="56" applyNumberFormat="1" applyFont="1" applyFill="1" applyBorder="1" applyAlignment="1" applyProtection="1">
      <alignment horizontal="left" vertical="center" indent="1"/>
      <protection hidden="1"/>
    </xf>
    <xf numFmtId="3" fontId="341" fillId="0" borderId="145" xfId="0" applyNumberFormat="1" applyFont="1" applyBorder="1" applyAlignment="1" applyProtection="1">
      <alignment horizontal="left" vertical="center" indent="1"/>
      <protection hidden="1"/>
    </xf>
    <xf numFmtId="3" fontId="341" fillId="0" borderId="130" xfId="0" applyNumberFormat="1" applyFont="1" applyBorder="1" applyAlignment="1" applyProtection="1">
      <alignment horizontal="left" vertical="center" indent="1"/>
      <protection hidden="1"/>
    </xf>
    <xf numFmtId="173" fontId="248" fillId="54" borderId="111" xfId="0" applyFont="1" applyFill="1" applyBorder="1" applyAlignment="1" applyProtection="1">
      <alignment horizontal="left" vertical="center" indent="1"/>
      <protection hidden="1"/>
    </xf>
    <xf numFmtId="173" fontId="248" fillId="54" borderId="112" xfId="0" applyFont="1" applyFill="1" applyBorder="1" applyAlignment="1" applyProtection="1">
      <alignment horizontal="left" vertical="center" indent="1"/>
      <protection hidden="1"/>
    </xf>
    <xf numFmtId="173" fontId="342" fillId="25" borderId="442" xfId="0" applyFont="1" applyFill="1" applyBorder="1" applyAlignment="1">
      <alignment horizontal="center" vertical="center" textRotation="90"/>
    </xf>
    <xf numFmtId="173" fontId="342" fillId="25" borderId="418" xfId="0" applyFont="1" applyFill="1" applyBorder="1" applyAlignment="1">
      <alignment horizontal="center" vertical="center" textRotation="90"/>
    </xf>
    <xf numFmtId="167" fontId="273" fillId="25" borderId="336" xfId="0" applyNumberFormat="1" applyFont="1" applyFill="1" applyBorder="1" applyAlignment="1">
      <alignment horizontal="left" vertical="center" indent="1"/>
    </xf>
    <xf numFmtId="173" fontId="273" fillId="25" borderId="220" xfId="0" applyFont="1" applyFill="1" applyBorder="1" applyAlignment="1">
      <alignment horizontal="left" vertical="center" indent="1"/>
    </xf>
    <xf numFmtId="173" fontId="200" fillId="25" borderId="220" xfId="0" applyFont="1" applyFill="1" applyBorder="1" applyAlignment="1">
      <alignment horizontal="left" vertical="center" indent="1"/>
    </xf>
    <xf numFmtId="173" fontId="341" fillId="0" borderId="145" xfId="0" applyFont="1" applyBorder="1" applyAlignment="1" applyProtection="1">
      <alignment horizontal="left" vertical="center" indent="1"/>
      <protection hidden="1"/>
    </xf>
    <xf numFmtId="173" fontId="341" fillId="0" borderId="130" xfId="0" applyFont="1" applyBorder="1" applyAlignment="1" applyProtection="1">
      <alignment horizontal="left" vertical="center" indent="1"/>
      <protection hidden="1"/>
    </xf>
    <xf numFmtId="173" fontId="64" fillId="25" borderId="146" xfId="0" applyFont="1" applyFill="1" applyBorder="1" applyAlignment="1" applyProtection="1">
      <alignment horizontal="left" vertical="center" indent="1"/>
      <protection hidden="1"/>
    </xf>
    <xf numFmtId="173" fontId="64" fillId="25" borderId="185" xfId="0" applyFont="1" applyFill="1" applyBorder="1" applyAlignment="1" applyProtection="1">
      <alignment horizontal="left" vertical="center" indent="1"/>
      <protection hidden="1"/>
    </xf>
    <xf numFmtId="173" fontId="124" fillId="25" borderId="185" xfId="0" applyFont="1" applyFill="1" applyBorder="1" applyAlignment="1" applyProtection="1">
      <alignment horizontal="left" vertical="center" indent="1"/>
      <protection hidden="1"/>
    </xf>
    <xf numFmtId="173" fontId="344" fillId="25" borderId="442" xfId="0" applyFont="1" applyFill="1" applyBorder="1" applyAlignment="1" applyProtection="1">
      <alignment horizontal="center" vertical="center" textRotation="90"/>
      <protection hidden="1"/>
    </xf>
    <xf numFmtId="173" fontId="344" fillId="25" borderId="418" xfId="0" applyFont="1" applyFill="1" applyBorder="1" applyAlignment="1" applyProtection="1">
      <alignment horizontal="center" vertical="center" textRotation="90"/>
      <protection hidden="1"/>
    </xf>
    <xf numFmtId="173" fontId="209" fillId="33" borderId="353" xfId="0" applyFont="1" applyFill="1" applyBorder="1" applyAlignment="1" applyProtection="1">
      <alignment horizontal="center" vertical="center"/>
      <protection hidden="1"/>
    </xf>
    <xf numFmtId="173" fontId="41" fillId="13" borderId="342" xfId="0" applyFont="1" applyFill="1" applyBorder="1" applyAlignment="1" applyProtection="1">
      <alignment horizontal="left" vertical="center" indent="1"/>
      <protection hidden="1"/>
    </xf>
    <xf numFmtId="173" fontId="41" fillId="13" borderId="353" xfId="0" applyFont="1" applyFill="1" applyBorder="1" applyAlignment="1" applyProtection="1">
      <alignment horizontal="left" vertical="center" indent="1"/>
      <protection hidden="1"/>
    </xf>
    <xf numFmtId="173" fontId="0" fillId="0" borderId="400" xfId="0" applyBorder="1" applyAlignment="1">
      <alignment horizontal="left" vertical="center" indent="1"/>
    </xf>
    <xf numFmtId="177" fontId="16" fillId="49" borderId="80" xfId="0" applyNumberFormat="1" applyFont="1" applyFill="1" applyBorder="1" applyAlignment="1" applyProtection="1">
      <alignment horizontal="center" vertical="center"/>
      <protection hidden="1"/>
    </xf>
    <xf numFmtId="177" fontId="16" fillId="49" borderId="0" xfId="0" applyNumberFormat="1" applyFont="1" applyFill="1" applyBorder="1" applyAlignment="1" applyProtection="1">
      <alignment horizontal="center" vertical="center"/>
      <protection hidden="1"/>
    </xf>
    <xf numFmtId="177" fontId="16" fillId="49" borderId="135" xfId="0" applyNumberFormat="1" applyFont="1" applyFill="1" applyBorder="1" applyAlignment="1" applyProtection="1">
      <alignment horizontal="center" vertical="center"/>
      <protection hidden="1"/>
    </xf>
    <xf numFmtId="173" fontId="341" fillId="0" borderId="80" xfId="0" applyFont="1" applyBorder="1" applyAlignment="1" applyProtection="1">
      <alignment horizontal="left" vertical="center" indent="1"/>
      <protection locked="0"/>
    </xf>
    <xf numFmtId="173" fontId="341" fillId="0" borderId="0" xfId="0" applyFont="1" applyBorder="1" applyAlignment="1" applyProtection="1">
      <alignment horizontal="left" vertical="center" indent="1"/>
      <protection locked="0"/>
    </xf>
    <xf numFmtId="173" fontId="346" fillId="0" borderId="220" xfId="0" applyFont="1" applyFill="1" applyBorder="1" applyAlignment="1" applyProtection="1">
      <alignment vertical="center"/>
      <protection hidden="1"/>
    </xf>
    <xf numFmtId="173" fontId="347" fillId="0" borderId="220" xfId="0" applyFont="1" applyFill="1" applyBorder="1" applyAlignment="1" applyProtection="1">
      <alignment vertical="center"/>
      <protection hidden="1"/>
    </xf>
    <xf numFmtId="173" fontId="349" fillId="0" borderId="115" xfId="0" applyFont="1" applyFill="1" applyBorder="1" applyAlignment="1" applyProtection="1">
      <alignment vertical="center"/>
      <protection hidden="1"/>
    </xf>
    <xf numFmtId="173" fontId="350" fillId="0" borderId="115" xfId="0" applyFont="1" applyFill="1" applyBorder="1" applyAlignment="1" applyProtection="1">
      <alignment vertical="center"/>
      <protection hidden="1"/>
    </xf>
    <xf numFmtId="3" fontId="340" fillId="0" borderId="128" xfId="56" applyNumberFormat="1" applyFont="1" applyFill="1" applyBorder="1" applyAlignment="1" applyProtection="1">
      <alignment horizontal="left" vertical="center" wrapText="1" indent="1"/>
      <protection hidden="1"/>
    </xf>
    <xf numFmtId="3" fontId="340" fillId="0" borderId="129" xfId="56" applyNumberFormat="1" applyFont="1" applyFill="1" applyBorder="1" applyAlignment="1" applyProtection="1">
      <alignment horizontal="left" vertical="center" wrapText="1" indent="1"/>
      <protection hidden="1"/>
    </xf>
    <xf numFmtId="173" fontId="0" fillId="0" borderId="129" xfId="0" applyFill="1" applyBorder="1" applyAlignment="1" applyProtection="1">
      <alignment horizontal="left" vertical="center" wrapText="1" indent="1"/>
      <protection hidden="1"/>
    </xf>
    <xf numFmtId="173" fontId="212" fillId="36" borderId="128" xfId="0" applyFont="1" applyFill="1" applyBorder="1" applyAlignment="1" applyProtection="1">
      <alignment horizontal="left" vertical="center" indent="1"/>
      <protection hidden="1"/>
    </xf>
    <xf numFmtId="173" fontId="0" fillId="0" borderId="81" xfId="0" applyBorder="1" applyAlignment="1" applyProtection="1">
      <alignment horizontal="left" vertical="center" indent="1"/>
      <protection hidden="1"/>
    </xf>
    <xf numFmtId="3" fontId="209" fillId="0" borderId="0" xfId="0" applyNumberFormat="1" applyFont="1" applyBorder="1" applyAlignment="1" applyProtection="1">
      <alignment horizontal="center" vertical="center"/>
      <protection locked="0" hidden="1"/>
    </xf>
    <xf numFmtId="173" fontId="0" fillId="0" borderId="0" xfId="0" applyBorder="1" applyAlignment="1" applyProtection="1">
      <alignment horizontal="center" vertical="center"/>
      <protection hidden="1"/>
    </xf>
    <xf numFmtId="173" fontId="209" fillId="33" borderId="112" xfId="0" applyFont="1" applyFill="1" applyBorder="1" applyAlignment="1" applyProtection="1">
      <alignment horizontal="center" vertical="center"/>
      <protection hidden="1"/>
    </xf>
    <xf numFmtId="173" fontId="209" fillId="33" borderId="115" xfId="0" applyFont="1" applyFill="1" applyBorder="1" applyAlignment="1" applyProtection="1">
      <alignment horizontal="center" vertical="center"/>
      <protection hidden="1"/>
    </xf>
    <xf numFmtId="173" fontId="209" fillId="33" borderId="124" xfId="0" applyFont="1" applyFill="1" applyBorder="1" applyAlignment="1" applyProtection="1">
      <alignment horizontal="center" vertical="center"/>
      <protection hidden="1"/>
    </xf>
    <xf numFmtId="173" fontId="429" fillId="0" borderId="0" xfId="0" applyFont="1" applyBorder="1" applyAlignment="1" applyProtection="1">
      <alignment horizontal="right" vertical="top"/>
    </xf>
    <xf numFmtId="173" fontId="427" fillId="0" borderId="0" xfId="0" applyFont="1" applyBorder="1" applyAlignment="1">
      <alignment horizontal="right" vertical="top"/>
    </xf>
    <xf numFmtId="173" fontId="428" fillId="0" borderId="0" xfId="0" applyFont="1" applyBorder="1" applyAlignment="1" applyProtection="1">
      <alignment horizontal="right"/>
      <protection locked="0"/>
    </xf>
    <xf numFmtId="173" fontId="427" fillId="0" borderId="0" xfId="0" applyFont="1" applyBorder="1" applyAlignment="1">
      <alignment horizontal="right"/>
    </xf>
    <xf numFmtId="170" fontId="229" fillId="25" borderId="190" xfId="0" quotePrefix="1" applyNumberFormat="1" applyFont="1" applyFill="1" applyBorder="1" applyAlignment="1" applyProtection="1">
      <alignment horizontal="center" vertical="center"/>
      <protection locked="0"/>
    </xf>
    <xf numFmtId="173" fontId="0" fillId="0" borderId="218" xfId="0" applyBorder="1" applyAlignment="1" applyProtection="1">
      <alignment horizontal="center" vertical="center"/>
      <protection locked="0"/>
    </xf>
    <xf numFmtId="170" fontId="229" fillId="25" borderId="405" xfId="0" quotePrefix="1" applyNumberFormat="1" applyFont="1" applyFill="1" applyBorder="1" applyAlignment="1" applyProtection="1">
      <alignment horizontal="center" vertical="center"/>
      <protection locked="0"/>
    </xf>
    <xf numFmtId="173" fontId="0" fillId="0" borderId="334" xfId="0" applyBorder="1" applyAlignment="1" applyProtection="1">
      <alignment horizontal="center" vertical="center"/>
      <protection locked="0"/>
    </xf>
    <xf numFmtId="170" fontId="229" fillId="25" borderId="188" xfId="0" quotePrefix="1" applyNumberFormat="1" applyFont="1" applyFill="1" applyBorder="1" applyAlignment="1" applyProtection="1">
      <alignment horizontal="center" vertical="center"/>
      <protection locked="0"/>
    </xf>
    <xf numFmtId="173" fontId="0" fillId="0" borderId="219" xfId="0" applyBorder="1" applyAlignment="1" applyProtection="1">
      <alignment horizontal="center" vertical="center"/>
      <protection locked="0"/>
    </xf>
    <xf numFmtId="173" fontId="201" fillId="36" borderId="303" xfId="0" applyFont="1" applyFill="1" applyBorder="1" applyAlignment="1">
      <alignment horizontal="center"/>
    </xf>
    <xf numFmtId="173" fontId="423" fillId="36" borderId="300" xfId="0" applyFont="1" applyFill="1" applyBorder="1" applyAlignment="1">
      <alignment horizontal="center"/>
    </xf>
    <xf numFmtId="173" fontId="201" fillId="36" borderId="407" xfId="0" applyFont="1" applyFill="1" applyBorder="1" applyAlignment="1">
      <alignment horizontal="center" vertical="top"/>
    </xf>
    <xf numFmtId="173" fontId="201" fillId="36" borderId="138" xfId="0" applyFont="1" applyFill="1" applyBorder="1" applyAlignment="1">
      <alignment horizontal="center" vertical="top"/>
    </xf>
    <xf numFmtId="9" fontId="201" fillId="33" borderId="303" xfId="0" quotePrefix="1" applyNumberFormat="1" applyFont="1" applyFill="1" applyBorder="1" applyAlignment="1" applyProtection="1">
      <alignment horizontal="center" vertical="center" wrapText="1"/>
      <protection hidden="1"/>
    </xf>
    <xf numFmtId="9" fontId="201" fillId="33" borderId="300" xfId="0" quotePrefix="1" applyNumberFormat="1" applyFont="1" applyFill="1" applyBorder="1" applyAlignment="1" applyProtection="1">
      <alignment horizontal="center" vertical="center"/>
      <protection hidden="1"/>
    </xf>
    <xf numFmtId="9" fontId="201" fillId="33" borderId="407" xfId="0" quotePrefix="1" applyNumberFormat="1" applyFont="1" applyFill="1" applyBorder="1" applyAlignment="1" applyProtection="1">
      <alignment horizontal="center" vertical="center"/>
      <protection hidden="1"/>
    </xf>
    <xf numFmtId="9" fontId="201" fillId="33" borderId="138" xfId="0" quotePrefix="1" applyNumberFormat="1" applyFont="1" applyFill="1" applyBorder="1" applyAlignment="1" applyProtection="1">
      <alignment horizontal="center" vertical="center"/>
      <protection hidden="1"/>
    </xf>
    <xf numFmtId="173" fontId="209" fillId="33" borderId="128" xfId="0" applyFont="1" applyFill="1" applyBorder="1" applyAlignment="1" applyProtection="1">
      <alignment horizontal="center" vertical="center"/>
      <protection hidden="1"/>
    </xf>
    <xf numFmtId="173" fontId="209" fillId="33" borderId="81" xfId="0" applyFont="1" applyFill="1" applyBorder="1" applyAlignment="1" applyProtection="1">
      <alignment horizontal="center" vertical="center"/>
      <protection hidden="1"/>
    </xf>
    <xf numFmtId="173" fontId="229" fillId="25" borderId="405" xfId="0" applyFont="1" applyFill="1" applyBorder="1" applyAlignment="1">
      <alignment horizontal="center" vertical="center"/>
    </xf>
    <xf numFmtId="173" fontId="249" fillId="0" borderId="334" xfId="0" applyFont="1" applyBorder="1" applyAlignment="1">
      <alignment horizontal="center" vertical="center"/>
    </xf>
    <xf numFmtId="3" fontId="225" fillId="48" borderId="279" xfId="0" applyNumberFormat="1" applyFont="1" applyFill="1" applyBorder="1" applyAlignment="1" applyProtection="1">
      <alignment horizontal="left" vertical="center" indent="1"/>
      <protection hidden="1"/>
    </xf>
    <xf numFmtId="173" fontId="200" fillId="25" borderId="406" xfId="0" applyFont="1" applyFill="1" applyBorder="1" applyAlignment="1">
      <alignment horizontal="center"/>
    </xf>
    <xf numFmtId="173" fontId="0" fillId="0" borderId="300" xfId="0" applyBorder="1" applyAlignment="1">
      <alignment horizontal="center"/>
    </xf>
    <xf numFmtId="173" fontId="248" fillId="0" borderId="128" xfId="0" applyFont="1" applyFill="1" applyBorder="1" applyAlignment="1" applyProtection="1">
      <alignment horizontal="left" vertical="center" indent="1"/>
      <protection hidden="1"/>
    </xf>
    <xf numFmtId="173" fontId="114" fillId="0" borderId="539" xfId="0" applyFont="1" applyBorder="1" applyAlignment="1" applyProtection="1">
      <alignment horizontal="left" vertical="center" indent="1"/>
      <protection hidden="1"/>
    </xf>
    <xf numFmtId="173" fontId="391" fillId="0" borderId="568" xfId="0" applyFont="1" applyFill="1" applyBorder="1" applyAlignment="1" applyProtection="1">
      <alignment horizontal="center" vertical="center"/>
      <protection hidden="1"/>
    </xf>
    <xf numFmtId="173" fontId="391" fillId="0" borderId="569" xfId="0" applyFont="1" applyFill="1" applyBorder="1" applyAlignment="1" applyProtection="1">
      <alignment horizontal="center" vertical="center"/>
      <protection hidden="1"/>
    </xf>
    <xf numFmtId="173" fontId="248" fillId="0" borderId="392" xfId="0" applyFont="1" applyFill="1" applyBorder="1" applyAlignment="1" applyProtection="1">
      <alignment horizontal="left" vertical="center" indent="1"/>
      <protection hidden="1"/>
    </xf>
    <xf numFmtId="173" fontId="114" fillId="0" borderId="255" xfId="0" applyFont="1" applyBorder="1" applyAlignment="1" applyProtection="1">
      <alignment horizontal="left" vertical="center" indent="1"/>
      <protection hidden="1"/>
    </xf>
    <xf numFmtId="173" fontId="200" fillId="25" borderId="592" xfId="0" applyFont="1" applyFill="1" applyBorder="1" applyAlignment="1">
      <alignment horizontal="center"/>
    </xf>
    <xf numFmtId="173" fontId="0" fillId="0" borderId="393" xfId="0" applyBorder="1" applyAlignment="1">
      <alignment horizontal="center"/>
    </xf>
    <xf numFmtId="173" fontId="248" fillId="0" borderId="80" xfId="0" applyFont="1" applyFill="1" applyBorder="1" applyAlignment="1" applyProtection="1">
      <alignment horizontal="left" vertical="center" indent="1"/>
      <protection hidden="1"/>
    </xf>
    <xf numFmtId="173" fontId="114" fillId="0" borderId="81" xfId="0" applyFont="1" applyBorder="1" applyAlignment="1" applyProtection="1">
      <alignment horizontal="left" vertical="center" indent="1"/>
      <protection hidden="1"/>
    </xf>
    <xf numFmtId="3" fontId="247" fillId="0" borderId="0" xfId="0" applyNumberFormat="1" applyFont="1" applyFill="1" applyBorder="1" applyAlignment="1" applyProtection="1">
      <alignment horizontal="center" vertical="center" wrapText="1"/>
      <protection hidden="1"/>
    </xf>
    <xf numFmtId="173" fontId="248" fillId="0" borderId="80" xfId="0" applyFont="1" applyFill="1" applyBorder="1" applyAlignment="1" applyProtection="1">
      <alignment horizontal="left" vertical="center" wrapText="1" indent="1"/>
      <protection hidden="1"/>
    </xf>
    <xf numFmtId="173" fontId="114" fillId="0" borderId="80" xfId="0" applyFont="1" applyBorder="1" applyAlignment="1" applyProtection="1">
      <alignment horizontal="left" vertical="center" indent="1"/>
      <protection hidden="1"/>
    </xf>
    <xf numFmtId="169" fontId="33" fillId="51" borderId="188" xfId="0" applyNumberFormat="1" applyFont="1" applyFill="1" applyBorder="1" applyAlignment="1" applyProtection="1">
      <alignment horizontal="center" vertical="center"/>
      <protection hidden="1"/>
    </xf>
    <xf numFmtId="169" fontId="33" fillId="51" borderId="219" xfId="0" applyNumberFormat="1" applyFont="1" applyFill="1" applyBorder="1" applyAlignment="1" applyProtection="1">
      <alignment horizontal="center" vertical="center"/>
      <protection hidden="1"/>
    </xf>
    <xf numFmtId="173" fontId="229" fillId="25" borderId="125" xfId="0" applyFont="1" applyFill="1" applyBorder="1" applyAlignment="1">
      <alignment horizontal="center" vertical="top"/>
    </xf>
    <xf numFmtId="173" fontId="229" fillId="25" borderId="137" xfId="0" applyFont="1" applyFill="1" applyBorder="1" applyAlignment="1">
      <alignment horizontal="center" vertical="top"/>
    </xf>
    <xf numFmtId="173" fontId="229" fillId="25" borderId="593" xfId="0" applyFont="1" applyFill="1" applyBorder="1" applyAlignment="1">
      <alignment horizontal="center" vertical="top"/>
    </xf>
    <xf numFmtId="173" fontId="229" fillId="25" borderId="214" xfId="0" applyFont="1" applyFill="1" applyBorder="1" applyAlignment="1">
      <alignment horizontal="center" vertical="top"/>
    </xf>
    <xf numFmtId="173" fontId="325" fillId="0" borderId="0" xfId="0" applyFont="1" applyBorder="1" applyAlignment="1" applyProtection="1">
      <alignment horizontal="left" vertical="center" wrapText="1" indent="1"/>
      <protection hidden="1"/>
    </xf>
    <xf numFmtId="173" fontId="325" fillId="0" borderId="0" xfId="0" applyFont="1" applyBorder="1" applyAlignment="1" applyProtection="1">
      <alignment horizontal="left" vertical="center" indent="1"/>
      <protection hidden="1"/>
    </xf>
    <xf numFmtId="173" fontId="0" fillId="0" borderId="0" xfId="0" applyBorder="1" applyAlignment="1">
      <alignment horizontal="left" vertical="center" wrapText="1" indent="1"/>
    </xf>
    <xf numFmtId="3" fontId="209" fillId="33" borderId="260" xfId="0" applyNumberFormat="1" applyFont="1" applyFill="1" applyBorder="1" applyAlignment="1" applyProtection="1">
      <alignment horizontal="center" vertical="center" wrapText="1"/>
      <protection hidden="1"/>
    </xf>
    <xf numFmtId="3" fontId="209" fillId="33" borderId="115" xfId="0" applyNumberFormat="1" applyFont="1" applyFill="1" applyBorder="1" applyAlignment="1" applyProtection="1">
      <alignment horizontal="center" vertical="center" wrapText="1"/>
      <protection hidden="1"/>
    </xf>
    <xf numFmtId="173" fontId="0" fillId="0" borderId="115" xfId="0" applyBorder="1" applyAlignment="1">
      <alignment horizontal="right"/>
    </xf>
    <xf numFmtId="173" fontId="0" fillId="0" borderId="124" xfId="0" applyBorder="1" applyAlignment="1">
      <alignment horizontal="right"/>
    </xf>
    <xf numFmtId="173" fontId="209" fillId="71" borderId="128" xfId="0" applyFont="1" applyFill="1" applyBorder="1" applyAlignment="1" applyProtection="1">
      <alignment horizontal="center" vertical="center"/>
      <protection hidden="1"/>
    </xf>
    <xf numFmtId="173" fontId="209" fillId="71" borderId="129" xfId="0" applyFont="1" applyFill="1" applyBorder="1" applyAlignment="1" applyProtection="1">
      <alignment horizontal="center" vertical="center"/>
      <protection hidden="1"/>
    </xf>
    <xf numFmtId="173" fontId="209" fillId="71" borderId="300" xfId="0" applyFont="1" applyFill="1" applyBorder="1" applyAlignment="1" applyProtection="1">
      <alignment horizontal="center" vertical="center"/>
      <protection hidden="1"/>
    </xf>
    <xf numFmtId="173" fontId="209" fillId="71" borderId="81" xfId="0" applyFont="1" applyFill="1" applyBorder="1" applyAlignment="1" applyProtection="1">
      <alignment horizontal="center" vertical="center"/>
      <protection hidden="1"/>
    </xf>
    <xf numFmtId="173" fontId="209" fillId="71" borderId="194" xfId="0" applyFont="1" applyFill="1" applyBorder="1" applyAlignment="1" applyProtection="1">
      <alignment horizontal="center" vertical="center"/>
      <protection hidden="1"/>
    </xf>
    <xf numFmtId="173" fontId="209" fillId="71" borderId="138" xfId="0" applyFont="1" applyFill="1" applyBorder="1" applyAlignment="1" applyProtection="1">
      <alignment horizontal="center" vertical="center"/>
      <protection hidden="1"/>
    </xf>
    <xf numFmtId="173" fontId="424" fillId="0" borderId="0" xfId="0" applyFont="1" applyBorder="1" applyAlignment="1" applyProtection="1">
      <alignment horizontal="center" vertical="center"/>
      <protection hidden="1"/>
    </xf>
    <xf numFmtId="193" fontId="38" fillId="0" borderId="0" xfId="0" applyNumberFormat="1" applyFont="1" applyFill="1" applyBorder="1" applyAlignment="1" applyProtection="1">
      <alignment horizontal="center" vertical="center"/>
      <protection hidden="1"/>
    </xf>
    <xf numFmtId="173" fontId="264" fillId="33" borderId="0" xfId="0" applyFont="1" applyFill="1" applyBorder="1" applyAlignment="1" applyProtection="1">
      <alignment horizontal="left" vertical="center" wrapText="1" indent="5"/>
      <protection hidden="1"/>
    </xf>
    <xf numFmtId="173" fontId="264" fillId="33" borderId="0" xfId="0" applyFont="1" applyFill="1" applyBorder="1" applyAlignment="1" applyProtection="1">
      <alignment horizontal="center" vertical="top" wrapText="1"/>
      <protection hidden="1"/>
    </xf>
    <xf numFmtId="173" fontId="271" fillId="0" borderId="0" xfId="0" applyFont="1" applyBorder="1" applyAlignment="1" applyProtection="1">
      <alignment horizontal="center" vertical="center"/>
      <protection hidden="1"/>
    </xf>
    <xf numFmtId="9" fontId="280" fillId="0" borderId="0" xfId="0" applyNumberFormat="1" applyFont="1" applyBorder="1" applyAlignment="1" applyProtection="1">
      <alignment horizontal="center" vertical="center"/>
      <protection hidden="1"/>
    </xf>
    <xf numFmtId="173" fontId="268" fillId="49" borderId="81" xfId="0" quotePrefix="1" applyFont="1" applyFill="1" applyBorder="1" applyAlignment="1" applyProtection="1">
      <alignment horizontal="center" vertical="center"/>
      <protection hidden="1"/>
    </xf>
    <xf numFmtId="173" fontId="268" fillId="49" borderId="194" xfId="0" quotePrefix="1" applyFont="1" applyFill="1" applyBorder="1" applyAlignment="1" applyProtection="1">
      <alignment horizontal="center" vertical="center"/>
      <protection hidden="1"/>
    </xf>
    <xf numFmtId="173" fontId="268" fillId="49" borderId="138" xfId="0" quotePrefix="1" applyFont="1" applyFill="1" applyBorder="1" applyAlignment="1" applyProtection="1">
      <alignment horizontal="center" vertical="center"/>
      <protection hidden="1"/>
    </xf>
    <xf numFmtId="173" fontId="113" fillId="13" borderId="183" xfId="0" applyFont="1" applyFill="1" applyBorder="1" applyAlignment="1" applyProtection="1">
      <alignment horizontal="left" indent="1"/>
      <protection hidden="1"/>
    </xf>
    <xf numFmtId="173" fontId="113" fillId="0" borderId="183" xfId="0" applyFont="1" applyBorder="1" applyAlignment="1" applyProtection="1">
      <alignment horizontal="left" indent="1"/>
      <protection hidden="1"/>
    </xf>
    <xf numFmtId="173" fontId="268" fillId="33" borderId="183" xfId="6" applyFont="1" applyFill="1" applyBorder="1" applyAlignment="1" applyProtection="1">
      <alignment horizontal="center" vertical="center" wrapText="1"/>
      <protection hidden="1"/>
    </xf>
    <xf numFmtId="173" fontId="268" fillId="33" borderId="261" xfId="6" applyFont="1" applyFill="1" applyBorder="1" applyAlignment="1" applyProtection="1">
      <alignment horizontal="center" vertical="center" wrapText="1"/>
      <protection hidden="1"/>
    </xf>
    <xf numFmtId="173" fontId="221" fillId="33" borderId="376" xfId="0" applyFont="1" applyFill="1" applyBorder="1" applyAlignment="1" applyProtection="1">
      <alignment horizontal="left" vertical="center" indent="1"/>
      <protection hidden="1"/>
    </xf>
    <xf numFmtId="173" fontId="0" fillId="0" borderId="172" xfId="0" applyBorder="1" applyAlignment="1" applyProtection="1">
      <alignment horizontal="left" vertical="center" indent="1"/>
      <protection hidden="1"/>
    </xf>
    <xf numFmtId="167" fontId="221" fillId="33" borderId="78" xfId="0" applyNumberFormat="1" applyFont="1" applyFill="1" applyBorder="1" applyAlignment="1" applyProtection="1">
      <alignment horizontal="left" vertical="center" wrapText="1"/>
      <protection hidden="1"/>
    </xf>
    <xf numFmtId="173" fontId="308" fillId="33" borderId="78" xfId="0" applyFont="1" applyFill="1" applyBorder="1" applyAlignment="1" applyProtection="1">
      <alignment horizontal="left" vertical="center"/>
      <protection hidden="1"/>
    </xf>
    <xf numFmtId="4" fontId="200" fillId="30" borderId="115" xfId="0" applyNumberFormat="1" applyFont="1" applyFill="1" applyBorder="1" applyAlignment="1" applyProtection="1">
      <alignment horizontal="center" vertical="center"/>
      <protection locked="0"/>
    </xf>
    <xf numFmtId="4" fontId="200" fillId="30" borderId="124" xfId="0" applyNumberFormat="1" applyFont="1" applyFill="1" applyBorder="1" applyAlignment="1" applyProtection="1">
      <alignment horizontal="center" vertical="center"/>
      <protection locked="0"/>
    </xf>
    <xf numFmtId="173" fontId="221" fillId="33" borderId="259" xfId="0" quotePrefix="1" applyFont="1" applyFill="1" applyBorder="1" applyAlignment="1" applyProtection="1">
      <alignment horizontal="left" vertical="center"/>
      <protection hidden="1"/>
    </xf>
    <xf numFmtId="173" fontId="0" fillId="0" borderId="78" xfId="0" applyBorder="1" applyAlignment="1">
      <alignment horizontal="left" vertical="center"/>
    </xf>
    <xf numFmtId="173" fontId="241" fillId="0" borderId="0" xfId="0" applyFont="1" applyBorder="1" applyAlignment="1" applyProtection="1">
      <alignment vertical="center"/>
      <protection locked="0" hidden="1"/>
    </xf>
    <xf numFmtId="173" fontId="0" fillId="0" borderId="0" xfId="0" applyBorder="1" applyAlignment="1" applyProtection="1">
      <alignment vertical="center"/>
      <protection hidden="1"/>
    </xf>
    <xf numFmtId="173" fontId="241" fillId="0" borderId="0" xfId="0" applyFont="1" applyBorder="1" applyAlignment="1" applyProtection="1">
      <alignment vertical="center"/>
      <protection hidden="1"/>
    </xf>
    <xf numFmtId="173" fontId="203" fillId="0" borderId="103" xfId="7" applyFont="1" applyBorder="1" applyAlignment="1" applyProtection="1">
      <alignment vertical="center"/>
      <protection locked="0"/>
    </xf>
    <xf numFmtId="173" fontId="225" fillId="33" borderId="342" xfId="0" applyFont="1" applyFill="1" applyBorder="1" applyAlignment="1" applyProtection="1">
      <alignment horizontal="center" vertical="center"/>
      <protection hidden="1"/>
    </xf>
    <xf numFmtId="173" fontId="225" fillId="33" borderId="353" xfId="0" applyFont="1" applyFill="1" applyBorder="1" applyAlignment="1" applyProtection="1">
      <alignment horizontal="center" vertical="center"/>
      <protection hidden="1"/>
    </xf>
    <xf numFmtId="173" fontId="225" fillId="33" borderId="354" xfId="0" applyFont="1" applyFill="1" applyBorder="1" applyAlignment="1" applyProtection="1">
      <alignment horizontal="center" vertical="center"/>
      <protection hidden="1"/>
    </xf>
    <xf numFmtId="173" fontId="204" fillId="33" borderId="374" xfId="0" applyFont="1" applyFill="1" applyBorder="1" applyAlignment="1" applyProtection="1">
      <alignment horizontal="center" vertical="center"/>
      <protection hidden="1"/>
    </xf>
    <xf numFmtId="173" fontId="307" fillId="33" borderId="78" xfId="0" applyFont="1" applyFill="1" applyBorder="1" applyAlignment="1" applyProtection="1">
      <alignment horizontal="center" vertical="center"/>
      <protection hidden="1"/>
    </xf>
    <xf numFmtId="173" fontId="307" fillId="33" borderId="373" xfId="0" applyFont="1" applyFill="1" applyBorder="1" applyAlignment="1" applyProtection="1">
      <alignment horizontal="center" vertical="center"/>
      <protection hidden="1"/>
    </xf>
    <xf numFmtId="173" fontId="187" fillId="0" borderId="103" xfId="7" applyFont="1" applyBorder="1" applyAlignment="1" applyProtection="1">
      <alignment horizontal="left" vertical="center"/>
    </xf>
    <xf numFmtId="173" fontId="225" fillId="29" borderId="342" xfId="0" applyFont="1" applyFill="1" applyBorder="1" applyAlignment="1" applyProtection="1">
      <alignment horizontal="center" vertical="center"/>
      <protection hidden="1"/>
    </xf>
    <xf numFmtId="173" fontId="305" fillId="0" borderId="353" xfId="0" applyFont="1" applyBorder="1" applyAlignment="1" applyProtection="1">
      <alignment horizontal="center" vertical="center"/>
      <protection hidden="1"/>
    </xf>
    <xf numFmtId="173" fontId="305" fillId="0" borderId="354" xfId="0" applyFont="1" applyBorder="1" applyAlignment="1" applyProtection="1">
      <alignment horizontal="center" vertical="center"/>
      <protection hidden="1"/>
    </xf>
    <xf numFmtId="173" fontId="19" fillId="0" borderId="0" xfId="0" applyFont="1" applyFill="1" applyBorder="1" applyAlignment="1" applyProtection="1">
      <alignment horizontal="left" vertical="center" wrapText="1" shrinkToFit="1"/>
      <protection hidden="1"/>
    </xf>
    <xf numFmtId="173" fontId="19" fillId="0" borderId="0" xfId="0" applyFont="1" applyBorder="1" applyAlignment="1">
      <alignment horizontal="left" vertical="center"/>
    </xf>
    <xf numFmtId="173" fontId="19" fillId="0" borderId="0" xfId="0" applyFont="1" applyBorder="1" applyAlignment="1" applyProtection="1">
      <alignment horizontal="left" vertical="center" wrapText="1" shrinkToFit="1"/>
      <protection hidden="1"/>
    </xf>
    <xf numFmtId="173" fontId="19" fillId="0" borderId="0" xfId="0" applyFont="1" applyBorder="1" applyAlignment="1">
      <alignment horizontal="left" vertical="center" wrapText="1" shrinkToFit="1"/>
    </xf>
    <xf numFmtId="173" fontId="30" fillId="0" borderId="0" xfId="0" applyFont="1" applyBorder="1" applyAlignment="1" applyProtection="1">
      <alignment horizontal="left" vertical="center" wrapText="1" shrinkToFit="1"/>
      <protection hidden="1"/>
    </xf>
    <xf numFmtId="173" fontId="25" fillId="0" borderId="0" xfId="0" applyFont="1" applyBorder="1" applyAlignment="1">
      <alignment horizontal="left" vertical="center" wrapText="1" shrinkToFit="1"/>
    </xf>
    <xf numFmtId="173" fontId="19" fillId="0" borderId="0" xfId="0" quotePrefix="1" applyFont="1" applyBorder="1" applyAlignment="1" applyProtection="1">
      <alignment horizontal="left" vertical="center" wrapText="1" shrinkToFit="1"/>
      <protection hidden="1"/>
    </xf>
    <xf numFmtId="173" fontId="27" fillId="0" borderId="0" xfId="0" applyFont="1" applyBorder="1" applyAlignment="1" applyProtection="1">
      <alignment horizontal="left" vertical="center" wrapText="1" shrinkToFit="1"/>
      <protection hidden="1"/>
    </xf>
    <xf numFmtId="173" fontId="27" fillId="0" borderId="0" xfId="0" applyFont="1" applyBorder="1" applyAlignment="1" applyProtection="1">
      <alignment horizontal="left" vertical="center"/>
      <protection hidden="1"/>
    </xf>
    <xf numFmtId="173" fontId="27" fillId="0" borderId="0" xfId="0" quotePrefix="1" applyFont="1" applyBorder="1" applyAlignment="1" applyProtection="1">
      <alignment horizontal="left" vertical="center" wrapText="1" shrinkToFit="1"/>
      <protection hidden="1"/>
    </xf>
    <xf numFmtId="173" fontId="244" fillId="46" borderId="190" xfId="0" applyFont="1" applyFill="1" applyBorder="1" applyAlignment="1" applyProtection="1">
      <alignment horizontal="center" vertical="center" wrapText="1" shrinkToFit="1"/>
      <protection hidden="1"/>
    </xf>
    <xf numFmtId="173" fontId="244" fillId="46" borderId="220" xfId="0" applyFont="1" applyFill="1" applyBorder="1" applyAlignment="1" applyProtection="1">
      <alignment horizontal="center" vertical="center" wrapText="1" shrinkToFit="1"/>
      <protection hidden="1"/>
    </xf>
    <xf numFmtId="173" fontId="244" fillId="46" borderId="506" xfId="0" applyFont="1" applyFill="1" applyBorder="1" applyAlignment="1" applyProtection="1">
      <alignment horizontal="center" vertical="center" wrapText="1" shrinkToFit="1"/>
      <protection hidden="1"/>
    </xf>
    <xf numFmtId="173" fontId="19" fillId="0" borderId="0" xfId="0" applyFont="1" applyBorder="1" applyAlignment="1" applyProtection="1">
      <alignment horizontal="left" vertical="center" wrapText="1"/>
      <protection hidden="1"/>
    </xf>
    <xf numFmtId="173" fontId="15" fillId="0" borderId="0" xfId="0" applyFont="1" applyBorder="1" applyAlignment="1" applyProtection="1">
      <alignment horizontal="left" vertical="center"/>
      <protection hidden="1"/>
    </xf>
    <xf numFmtId="173" fontId="30" fillId="0" borderId="0" xfId="0" applyFont="1" applyBorder="1" applyAlignment="1" applyProtection="1">
      <alignment horizontal="left" vertical="center" wrapText="1" indent="1" shrinkToFit="1"/>
      <protection hidden="1"/>
    </xf>
    <xf numFmtId="173" fontId="25" fillId="0" borderId="0" xfId="0" applyFont="1" applyBorder="1" applyAlignment="1">
      <alignment horizontal="left" vertical="center" wrapText="1" indent="1" shrinkToFit="1"/>
    </xf>
    <xf numFmtId="173" fontId="22" fillId="0" borderId="0" xfId="0" quotePrefix="1" applyFont="1" applyBorder="1" applyAlignment="1" applyProtection="1">
      <alignment horizontal="left" vertical="center" wrapText="1" shrinkToFit="1"/>
      <protection hidden="1"/>
    </xf>
    <xf numFmtId="173" fontId="19" fillId="0" borderId="0" xfId="0" quotePrefix="1" applyFont="1" applyFill="1" applyBorder="1" applyAlignment="1" applyProtection="1">
      <alignment horizontal="left" vertical="center" wrapText="1" shrinkToFit="1"/>
      <protection hidden="1"/>
    </xf>
    <xf numFmtId="173" fontId="54" fillId="25" borderId="190" xfId="0" applyFont="1" applyFill="1" applyBorder="1" applyAlignment="1" applyProtection="1">
      <alignment horizontal="center" vertical="center" wrapText="1" shrinkToFit="1"/>
      <protection hidden="1"/>
    </xf>
    <xf numFmtId="173" fontId="54" fillId="25" borderId="220" xfId="0" applyFont="1" applyFill="1" applyBorder="1" applyAlignment="1" applyProtection="1">
      <alignment horizontal="center" vertical="center" wrapText="1" shrinkToFit="1"/>
      <protection hidden="1"/>
    </xf>
    <xf numFmtId="173" fontId="54" fillId="25" borderId="506" xfId="0" applyFont="1" applyFill="1" applyBorder="1" applyAlignment="1" applyProtection="1">
      <alignment horizontal="center" vertical="center" wrapText="1" shrinkToFit="1"/>
      <protection hidden="1"/>
    </xf>
    <xf numFmtId="173" fontId="41" fillId="33" borderId="0" xfId="0" applyFont="1" applyFill="1" applyBorder="1" applyAlignment="1" applyProtection="1">
      <alignment horizontal="left" vertical="center" wrapText="1" indent="1" shrinkToFit="1"/>
      <protection hidden="1"/>
    </xf>
    <xf numFmtId="173" fontId="0" fillId="33" borderId="1" xfId="0" applyFill="1" applyAlignment="1">
      <alignment horizontal="left" vertical="center" indent="1"/>
    </xf>
    <xf numFmtId="173" fontId="19" fillId="0" borderId="0" xfId="0" applyFont="1" applyBorder="1" applyAlignment="1" applyProtection="1">
      <alignment horizontal="left" vertical="center"/>
      <protection hidden="1"/>
    </xf>
    <xf numFmtId="173" fontId="20" fillId="0" borderId="0" xfId="0" applyFont="1" applyFill="1" applyBorder="1" applyAlignment="1" applyProtection="1">
      <alignment horizontal="left" vertical="center" wrapText="1" shrinkToFit="1"/>
      <protection hidden="1"/>
    </xf>
    <xf numFmtId="173" fontId="84" fillId="25" borderId="190" xfId="0" applyFont="1" applyFill="1" applyBorder="1" applyAlignment="1" applyProtection="1">
      <alignment horizontal="center" vertical="center" wrapText="1" shrinkToFit="1"/>
      <protection hidden="1"/>
    </xf>
    <xf numFmtId="173" fontId="84" fillId="25" borderId="220" xfId="0" applyFont="1" applyFill="1" applyBorder="1" applyAlignment="1" applyProtection="1">
      <alignment horizontal="center" vertical="center" wrapText="1" shrinkToFit="1"/>
      <protection hidden="1"/>
    </xf>
    <xf numFmtId="173" fontId="84" fillId="25" borderId="506" xfId="0" applyFont="1" applyFill="1" applyBorder="1" applyAlignment="1" applyProtection="1">
      <alignment horizontal="center" vertical="center" wrapText="1" shrinkToFit="1"/>
      <protection hidden="1"/>
    </xf>
    <xf numFmtId="173" fontId="113" fillId="25" borderId="220" xfId="0" applyFont="1" applyFill="1" applyBorder="1" applyAlignment="1">
      <alignment horizontal="center" vertical="center"/>
    </xf>
    <xf numFmtId="173" fontId="113" fillId="25" borderId="506" xfId="0" applyFont="1" applyFill="1" applyBorder="1" applyAlignment="1">
      <alignment horizontal="center" vertical="center"/>
    </xf>
    <xf numFmtId="173" fontId="19" fillId="0" borderId="0" xfId="0" quotePrefix="1" applyFont="1" applyBorder="1" applyAlignment="1" applyProtection="1">
      <alignment horizontal="left" vertical="center" wrapText="1" indent="1" shrinkToFit="1"/>
      <protection hidden="1"/>
    </xf>
    <xf numFmtId="173" fontId="19" fillId="0" borderId="0" xfId="0" applyFont="1" applyBorder="1" applyAlignment="1" applyProtection="1">
      <alignment horizontal="left" vertical="center" wrapText="1" indent="1"/>
      <protection hidden="1"/>
    </xf>
    <xf numFmtId="173" fontId="33" fillId="46" borderId="190" xfId="0" applyFont="1" applyFill="1" applyBorder="1" applyAlignment="1" applyProtection="1">
      <alignment horizontal="left" vertical="center" wrapText="1" indent="3" shrinkToFit="1"/>
      <protection hidden="1"/>
    </xf>
    <xf numFmtId="173" fontId="33" fillId="46" borderId="220" xfId="0" applyFont="1" applyFill="1" applyBorder="1" applyAlignment="1" applyProtection="1">
      <alignment horizontal="left" vertical="center" wrapText="1" indent="3" shrinkToFit="1"/>
      <protection hidden="1"/>
    </xf>
    <xf numFmtId="173" fontId="33" fillId="46" borderId="506" xfId="0" applyFont="1" applyFill="1" applyBorder="1" applyAlignment="1" applyProtection="1">
      <alignment horizontal="left" vertical="center" wrapText="1" indent="3" shrinkToFit="1"/>
      <protection hidden="1"/>
    </xf>
    <xf numFmtId="173" fontId="19" fillId="0" borderId="0" xfId="7" applyFont="1" applyBorder="1" applyAlignment="1" applyProtection="1">
      <alignment horizontal="left" vertical="center" wrapText="1" shrinkToFit="1"/>
      <protection hidden="1"/>
    </xf>
    <xf numFmtId="173" fontId="19" fillId="0" borderId="0" xfId="0" applyFont="1" applyBorder="1" applyAlignment="1" applyProtection="1">
      <alignment horizontal="left" vertical="top" wrapText="1" shrinkToFit="1"/>
      <protection hidden="1"/>
    </xf>
    <xf numFmtId="173" fontId="19" fillId="0" borderId="0" xfId="0" applyFont="1" applyBorder="1" applyAlignment="1" applyProtection="1">
      <alignment horizontal="left" vertical="top"/>
      <protection hidden="1"/>
    </xf>
    <xf numFmtId="173" fontId="22" fillId="0" borderId="0" xfId="0" applyFont="1" applyFill="1" applyBorder="1" applyAlignment="1" applyProtection="1">
      <alignment horizontal="center" vertical="center" wrapText="1" shrinkToFit="1"/>
      <protection hidden="1"/>
    </xf>
    <xf numFmtId="173" fontId="30" fillId="25" borderId="190" xfId="0" applyFont="1" applyFill="1" applyBorder="1" applyAlignment="1" applyProtection="1">
      <alignment horizontal="left" vertical="center" wrapText="1" indent="3" shrinkToFit="1"/>
      <protection hidden="1"/>
    </xf>
    <xf numFmtId="173" fontId="0" fillId="0" borderId="506" xfId="0" applyBorder="1" applyAlignment="1">
      <alignment horizontal="left" vertical="center" wrapText="1" indent="3" shrinkToFit="1"/>
    </xf>
    <xf numFmtId="173" fontId="22" fillId="25" borderId="190" xfId="0" applyFont="1" applyFill="1" applyBorder="1" applyAlignment="1" applyProtection="1">
      <alignment horizontal="left" vertical="center" wrapText="1" indent="3" shrinkToFit="1"/>
      <protection hidden="1"/>
    </xf>
    <xf numFmtId="173" fontId="19" fillId="25" borderId="220" xfId="0" applyFont="1" applyFill="1" applyBorder="1" applyAlignment="1" applyProtection="1">
      <alignment horizontal="left" vertical="center" wrapText="1" indent="3"/>
      <protection hidden="1"/>
    </xf>
    <xf numFmtId="173" fontId="19" fillId="25" borderId="506" xfId="0" applyFont="1" applyFill="1" applyBorder="1" applyAlignment="1" applyProtection="1">
      <alignment horizontal="left" vertical="center" wrapText="1" indent="3"/>
      <protection hidden="1"/>
    </xf>
    <xf numFmtId="173" fontId="406" fillId="45" borderId="190" xfId="0" applyFont="1" applyFill="1" applyBorder="1" applyAlignment="1" applyProtection="1">
      <alignment horizontal="center" vertical="center" wrapText="1" shrinkToFit="1"/>
      <protection hidden="1"/>
    </xf>
    <xf numFmtId="173" fontId="406" fillId="45" borderId="220" xfId="0" applyFont="1" applyFill="1" applyBorder="1" applyAlignment="1" applyProtection="1">
      <alignment horizontal="center" vertical="center" wrapText="1" shrinkToFit="1"/>
      <protection hidden="1"/>
    </xf>
    <xf numFmtId="173" fontId="406" fillId="45" borderId="506" xfId="0" applyFont="1" applyFill="1" applyBorder="1" applyAlignment="1" applyProtection="1">
      <alignment horizontal="center" vertical="center" wrapText="1" shrinkToFit="1"/>
      <protection hidden="1"/>
    </xf>
    <xf numFmtId="173" fontId="22" fillId="0" borderId="0" xfId="0" applyFont="1" applyBorder="1" applyAlignment="1" applyProtection="1">
      <alignment horizontal="left" vertical="center" wrapText="1" shrinkToFit="1"/>
      <protection hidden="1"/>
    </xf>
    <xf numFmtId="173" fontId="22" fillId="0" borderId="0" xfId="0" applyFont="1" applyBorder="1" applyAlignment="1" applyProtection="1">
      <alignment horizontal="left" wrapText="1" shrinkToFit="1"/>
      <protection hidden="1"/>
    </xf>
    <xf numFmtId="173" fontId="19" fillId="0" borderId="0" xfId="7" applyFont="1" applyBorder="1" applyAlignment="1" applyProtection="1">
      <alignment horizontal="left" vertical="center" wrapText="1"/>
      <protection hidden="1"/>
    </xf>
    <xf numFmtId="173" fontId="0" fillId="0" borderId="0" xfId="0" applyBorder="1" applyAlignment="1">
      <alignment horizontal="left" vertical="center" wrapText="1"/>
    </xf>
    <xf numFmtId="173" fontId="242" fillId="46" borderId="190" xfId="0" applyFont="1" applyFill="1" applyBorder="1" applyAlignment="1" applyProtection="1">
      <alignment horizontal="left" vertical="center" wrapText="1" indent="1" shrinkToFit="1"/>
      <protection hidden="1"/>
    </xf>
    <xf numFmtId="173" fontId="242" fillId="46" borderId="220" xfId="0" applyFont="1" applyFill="1" applyBorder="1" applyAlignment="1" applyProtection="1">
      <alignment horizontal="left" vertical="center" wrapText="1" indent="1" shrinkToFit="1"/>
      <protection hidden="1"/>
    </xf>
    <xf numFmtId="173" fontId="242" fillId="46" borderId="506" xfId="0" applyFont="1" applyFill="1" applyBorder="1" applyAlignment="1" applyProtection="1">
      <alignment horizontal="left" vertical="center" wrapText="1" indent="1" shrinkToFit="1"/>
      <protection hidden="1"/>
    </xf>
    <xf numFmtId="173" fontId="114" fillId="33" borderId="0" xfId="0" applyFont="1" applyFill="1" applyBorder="1" applyAlignment="1">
      <alignment horizontal="left" vertical="center" indent="1"/>
    </xf>
    <xf numFmtId="173" fontId="15" fillId="0" borderId="0" xfId="0" applyFont="1" applyBorder="1" applyAlignment="1" applyProtection="1">
      <alignment horizontal="left" vertical="center" wrapText="1"/>
      <protection hidden="1"/>
    </xf>
    <xf numFmtId="173" fontId="11" fillId="25" borderId="220" xfId="0" applyFont="1" applyFill="1" applyBorder="1" applyAlignment="1" applyProtection="1">
      <alignment horizontal="center" vertical="center"/>
      <protection hidden="1"/>
    </xf>
    <xf numFmtId="173" fontId="11" fillId="25" borderId="506" xfId="0" applyFont="1" applyFill="1" applyBorder="1" applyAlignment="1" applyProtection="1">
      <alignment horizontal="center" vertical="center"/>
      <protection hidden="1"/>
    </xf>
    <xf numFmtId="173" fontId="244" fillId="12" borderId="190" xfId="0" applyFont="1" applyFill="1" applyBorder="1" applyAlignment="1" applyProtection="1">
      <alignment horizontal="center" vertical="center" wrapText="1" shrinkToFit="1"/>
      <protection hidden="1"/>
    </xf>
    <xf numFmtId="173" fontId="244" fillId="12" borderId="220" xfId="0" applyFont="1" applyFill="1" applyBorder="1" applyAlignment="1" applyProtection="1">
      <alignment horizontal="center" vertical="center" wrapText="1" shrinkToFit="1"/>
      <protection hidden="1"/>
    </xf>
    <xf numFmtId="173" fontId="244" fillId="12" borderId="506" xfId="0" applyFont="1" applyFill="1" applyBorder="1" applyAlignment="1" applyProtection="1">
      <alignment horizontal="center" vertical="center" wrapText="1" shrinkToFit="1"/>
      <protection hidden="1"/>
    </xf>
    <xf numFmtId="173" fontId="81" fillId="25" borderId="220" xfId="0" applyFont="1" applyFill="1" applyBorder="1" applyAlignment="1" applyProtection="1">
      <alignment horizontal="center" vertical="center" wrapText="1"/>
      <protection hidden="1"/>
    </xf>
    <xf numFmtId="173" fontId="81" fillId="25" borderId="506" xfId="0" applyFont="1" applyFill="1" applyBorder="1" applyAlignment="1" applyProtection="1">
      <alignment horizontal="center" vertical="center" wrapText="1"/>
      <protection hidden="1"/>
    </xf>
    <xf numFmtId="173" fontId="0" fillId="33" borderId="0" xfId="0" applyFill="1" applyBorder="1" applyAlignment="1">
      <alignment horizontal="left" vertical="center" indent="1"/>
    </xf>
    <xf numFmtId="173" fontId="19" fillId="0" borderId="0" xfId="0" applyFont="1" applyBorder="1" applyAlignment="1" applyProtection="1">
      <alignment horizontal="right" vertical="center"/>
      <protection hidden="1"/>
    </xf>
    <xf numFmtId="173" fontId="22" fillId="0" borderId="0" xfId="0" applyFont="1" applyFill="1" applyBorder="1" applyAlignment="1" applyProtection="1">
      <alignment horizontal="left" vertical="center" wrapText="1" shrinkToFit="1"/>
      <protection hidden="1"/>
    </xf>
    <xf numFmtId="173" fontId="85" fillId="46" borderId="190" xfId="0" applyFont="1" applyFill="1" applyBorder="1" applyAlignment="1" applyProtection="1">
      <alignment horizontal="center" vertical="center" wrapText="1" shrinkToFit="1"/>
      <protection hidden="1"/>
    </xf>
    <xf numFmtId="173" fontId="85" fillId="46" borderId="220" xfId="0" applyFont="1" applyFill="1" applyBorder="1" applyAlignment="1" applyProtection="1">
      <alignment horizontal="center" vertical="center" wrapText="1" shrinkToFit="1"/>
      <protection hidden="1"/>
    </xf>
    <xf numFmtId="173" fontId="85" fillId="46" borderId="506" xfId="0" applyFont="1" applyFill="1" applyBorder="1" applyAlignment="1" applyProtection="1">
      <alignment horizontal="center" vertical="center" wrapText="1" shrinkToFit="1"/>
      <protection hidden="1"/>
    </xf>
    <xf numFmtId="173" fontId="54" fillId="0" borderId="0" xfId="0" applyFont="1" applyFill="1" applyBorder="1" applyAlignment="1" applyProtection="1">
      <alignment horizontal="left" vertical="center" wrapText="1" shrinkToFit="1"/>
      <protection hidden="1"/>
    </xf>
    <xf numFmtId="173" fontId="41" fillId="33" borderId="112" xfId="0" applyFont="1" applyFill="1" applyBorder="1" applyAlignment="1" applyProtection="1">
      <alignment horizontal="center" vertical="center"/>
      <protection locked="0"/>
    </xf>
    <xf numFmtId="173" fontId="41" fillId="33" borderId="115" xfId="0" applyFont="1" applyFill="1" applyBorder="1" applyAlignment="1" applyProtection="1">
      <alignment horizontal="center" vertical="center"/>
      <protection locked="0"/>
    </xf>
    <xf numFmtId="173" fontId="41" fillId="33" borderId="124" xfId="0" applyFont="1" applyFill="1" applyBorder="1" applyAlignment="1" applyProtection="1">
      <alignment horizontal="center" vertical="center"/>
      <protection locked="0"/>
    </xf>
    <xf numFmtId="173" fontId="233" fillId="0" borderId="213" xfId="0" applyFont="1" applyBorder="1" applyAlignment="1" applyProtection="1">
      <alignment horizontal="left" vertical="center" indent="1"/>
      <protection hidden="1"/>
    </xf>
    <xf numFmtId="173" fontId="248" fillId="55" borderId="336" xfId="0" applyFont="1" applyFill="1" applyBorder="1" applyAlignment="1" applyProtection="1">
      <alignment horizontal="left" vertical="center" indent="1"/>
      <protection hidden="1"/>
    </xf>
    <xf numFmtId="173" fontId="248" fillId="55" borderId="220" xfId="0" applyFont="1" applyFill="1" applyBorder="1" applyAlignment="1" applyProtection="1">
      <alignment horizontal="left" vertical="center" indent="1"/>
      <protection hidden="1"/>
    </xf>
    <xf numFmtId="173" fontId="287" fillId="0" borderId="220" xfId="0" applyFont="1" applyBorder="1" applyAlignment="1" applyProtection="1">
      <alignment horizontal="left" vertical="center" indent="1"/>
      <protection hidden="1"/>
    </xf>
    <xf numFmtId="173" fontId="287" fillId="0" borderId="218" xfId="0" applyFont="1" applyBorder="1" applyAlignment="1" applyProtection="1">
      <alignment horizontal="left" vertical="center" indent="1"/>
      <protection hidden="1"/>
    </xf>
    <xf numFmtId="173" fontId="209" fillId="33" borderId="182" xfId="0" applyFont="1" applyFill="1" applyBorder="1" applyAlignment="1" applyProtection="1">
      <alignment horizontal="center" vertical="center"/>
      <protection hidden="1"/>
    </xf>
    <xf numFmtId="173" fontId="16" fillId="33" borderId="194" xfId="0" applyFont="1" applyFill="1" applyBorder="1" applyAlignment="1" applyProtection="1">
      <alignment horizontal="center" vertical="center"/>
      <protection hidden="1"/>
    </xf>
    <xf numFmtId="173" fontId="0" fillId="33" borderId="138" xfId="0" applyFill="1" applyBorder="1" applyAlignment="1" applyProtection="1">
      <alignment horizontal="center" vertical="center"/>
      <protection hidden="1"/>
    </xf>
    <xf numFmtId="173" fontId="15" fillId="0" borderId="0" xfId="0" applyFont="1" applyFill="1" applyBorder="1" applyAlignment="1" applyProtection="1">
      <alignment horizontal="left" vertical="center" wrapText="1" indent="1"/>
      <protection locked="0"/>
    </xf>
    <xf numFmtId="173" fontId="0" fillId="0" borderId="137" xfId="0" applyBorder="1" applyAlignment="1">
      <alignment horizontal="left" vertical="center" wrapText="1" indent="1"/>
    </xf>
    <xf numFmtId="173" fontId="15" fillId="0" borderId="129" xfId="0" applyFont="1" applyFill="1" applyBorder="1" applyAlignment="1" applyProtection="1">
      <alignment horizontal="left" vertical="center" wrapText="1" indent="1"/>
      <protection locked="0"/>
    </xf>
    <xf numFmtId="173" fontId="0" fillId="0" borderId="300" xfId="0" applyBorder="1" applyAlignment="1">
      <alignment horizontal="left" vertical="center" wrapText="1" indent="1"/>
    </xf>
    <xf numFmtId="173" fontId="0" fillId="0" borderId="138" xfId="0" applyBorder="1" applyAlignment="1">
      <alignment horizontal="left" vertical="center" wrapText="1" indent="1"/>
    </xf>
    <xf numFmtId="9" fontId="31" fillId="0" borderId="177" xfId="0" applyNumberFormat="1" applyFont="1" applyFill="1" applyBorder="1" applyAlignment="1" applyProtection="1">
      <alignment horizontal="center" vertical="center"/>
      <protection locked="0"/>
    </xf>
    <xf numFmtId="9" fontId="76" fillId="0" borderId="385" xfId="0" applyNumberFormat="1" applyFont="1" applyFill="1" applyBorder="1" applyAlignment="1" applyProtection="1">
      <alignment horizontal="center" vertical="center"/>
      <protection locked="0"/>
    </xf>
    <xf numFmtId="9" fontId="76" fillId="0" borderId="266" xfId="0" applyNumberFormat="1" applyFont="1" applyFill="1" applyBorder="1" applyAlignment="1" applyProtection="1">
      <alignment horizontal="center" vertical="center"/>
      <protection locked="0"/>
    </xf>
    <xf numFmtId="171" fontId="31" fillId="0" borderId="177" xfId="0" applyNumberFormat="1" applyFont="1" applyFill="1" applyBorder="1" applyAlignment="1" applyProtection="1">
      <alignment horizontal="center" vertical="center"/>
      <protection locked="0"/>
    </xf>
    <xf numFmtId="171" fontId="76" fillId="0" borderId="385" xfId="0" applyNumberFormat="1" applyFont="1" applyFill="1" applyBorder="1" applyAlignment="1" applyProtection="1">
      <alignment horizontal="center" vertical="center"/>
      <protection locked="0"/>
    </xf>
    <xf numFmtId="171" fontId="76" fillId="0" borderId="266" xfId="0" applyNumberFormat="1" applyFont="1" applyFill="1" applyBorder="1" applyAlignment="1" applyProtection="1">
      <alignment horizontal="center" vertical="center"/>
      <protection locked="0"/>
    </xf>
    <xf numFmtId="173" fontId="233" fillId="0" borderId="80" xfId="0" applyFont="1" applyFill="1" applyBorder="1" applyAlignment="1" applyProtection="1">
      <alignment horizontal="left" vertical="center"/>
      <protection hidden="1"/>
    </xf>
    <xf numFmtId="173" fontId="287" fillId="0" borderId="0" xfId="0" applyFont="1" applyBorder="1" applyAlignment="1">
      <alignment horizontal="left" vertical="center"/>
    </xf>
    <xf numFmtId="173" fontId="61" fillId="8" borderId="156" xfId="0" applyFont="1" applyFill="1" applyBorder="1" applyAlignment="1" applyProtection="1">
      <alignment horizontal="center" vertical="center" wrapText="1"/>
      <protection hidden="1"/>
    </xf>
    <xf numFmtId="173" fontId="61" fillId="8" borderId="154" xfId="0" applyFont="1" applyFill="1" applyBorder="1" applyAlignment="1" applyProtection="1">
      <alignment horizontal="center" vertical="center" wrapText="1"/>
      <protection hidden="1"/>
    </xf>
    <xf numFmtId="178" fontId="15" fillId="0" borderId="176" xfId="0" applyNumberFormat="1" applyFont="1" applyFill="1" applyBorder="1" applyAlignment="1" applyProtection="1">
      <alignment horizontal="right" vertical="center"/>
      <protection hidden="1"/>
    </xf>
    <xf numFmtId="178" fontId="15" fillId="0" borderId="399" xfId="0" applyNumberFormat="1" applyFont="1" applyFill="1" applyBorder="1" applyAlignment="1" applyProtection="1">
      <alignment horizontal="right" vertical="center"/>
      <protection hidden="1"/>
    </xf>
    <xf numFmtId="178" fontId="17" fillId="25" borderId="184" xfId="0" applyNumberFormat="1" applyFont="1" applyFill="1" applyBorder="1" applyAlignment="1" applyProtection="1">
      <alignment horizontal="right" vertical="center"/>
      <protection hidden="1"/>
    </xf>
    <xf numFmtId="173" fontId="98" fillId="8" borderId="150" xfId="0" applyFont="1" applyFill="1" applyBorder="1" applyAlignment="1" applyProtection="1">
      <alignment horizontal="center" vertical="center"/>
      <protection hidden="1"/>
    </xf>
    <xf numFmtId="173" fontId="98" fillId="8" borderId="151" xfId="0" applyFont="1" applyFill="1" applyBorder="1" applyAlignment="1" applyProtection="1">
      <alignment horizontal="center" vertical="center"/>
      <protection hidden="1"/>
    </xf>
    <xf numFmtId="173" fontId="98" fillId="8" borderId="152" xfId="0" applyFont="1" applyFill="1" applyBorder="1" applyAlignment="1" applyProtection="1">
      <alignment horizontal="center" vertical="center"/>
      <protection hidden="1"/>
    </xf>
    <xf numFmtId="173" fontId="98" fillId="8" borderId="153" xfId="0" applyFont="1" applyFill="1" applyBorder="1" applyAlignment="1" applyProtection="1">
      <alignment horizontal="center" vertical="center"/>
      <protection hidden="1"/>
    </xf>
    <xf numFmtId="173" fontId="98" fillId="8" borderId="147" xfId="0" applyFont="1" applyFill="1" applyBorder="1" applyAlignment="1" applyProtection="1">
      <alignment horizontal="center" vertical="center"/>
      <protection hidden="1"/>
    </xf>
    <xf numFmtId="173" fontId="98" fillId="8" borderId="154" xfId="0" applyFont="1" applyFill="1" applyBorder="1" applyAlignment="1" applyProtection="1">
      <alignment horizontal="center" vertical="center"/>
      <protection hidden="1"/>
    </xf>
    <xf numFmtId="173" fontId="61" fillId="8" borderId="155" xfId="0" applyFont="1" applyFill="1" applyBorder="1" applyAlignment="1" applyProtection="1">
      <alignment horizontal="center" vertical="center"/>
      <protection hidden="1"/>
    </xf>
    <xf numFmtId="173" fontId="61" fillId="8" borderId="148" xfId="0" applyFont="1" applyFill="1" applyBorder="1" applyAlignment="1" applyProtection="1">
      <alignment horizontal="center" vertical="center"/>
      <protection hidden="1"/>
    </xf>
    <xf numFmtId="173" fontId="61" fillId="8" borderId="153" xfId="0" applyFont="1" applyFill="1" applyBorder="1" applyAlignment="1" applyProtection="1">
      <alignment horizontal="center" vertical="center"/>
      <protection hidden="1"/>
    </xf>
    <xf numFmtId="173" fontId="61" fillId="8" borderId="147" xfId="0" applyFont="1" applyFill="1" applyBorder="1" applyAlignment="1" applyProtection="1">
      <alignment horizontal="center" vertical="center"/>
      <protection hidden="1"/>
    </xf>
    <xf numFmtId="178" fontId="201" fillId="34" borderId="407" xfId="0" applyNumberFormat="1" applyFont="1" applyFill="1" applyBorder="1" applyAlignment="1" applyProtection="1">
      <alignment horizontal="right" vertical="center"/>
      <protection hidden="1"/>
    </xf>
    <xf numFmtId="178" fontId="201" fillId="34" borderId="212" xfId="0" applyNumberFormat="1" applyFont="1" applyFill="1" applyBorder="1" applyAlignment="1" applyProtection="1">
      <alignment horizontal="right" vertical="center"/>
      <protection hidden="1"/>
    </xf>
    <xf numFmtId="173" fontId="16" fillId="8" borderId="148" xfId="0" applyFont="1" applyFill="1" applyBorder="1" applyAlignment="1" applyProtection="1">
      <alignment horizontal="center" vertical="center" wrapText="1"/>
      <protection hidden="1"/>
    </xf>
    <xf numFmtId="173" fontId="16" fillId="8" borderId="147" xfId="0" applyFont="1" applyFill="1" applyBorder="1" applyAlignment="1" applyProtection="1">
      <alignment horizontal="center" vertical="center" wrapText="1"/>
      <protection hidden="1"/>
    </xf>
    <xf numFmtId="173" fontId="16" fillId="8" borderId="156" xfId="0" applyFont="1" applyFill="1" applyBorder="1" applyAlignment="1" applyProtection="1">
      <alignment horizontal="center" vertical="center" wrapText="1"/>
      <protection hidden="1"/>
    </xf>
    <xf numFmtId="173" fontId="16" fillId="8" borderId="154" xfId="0" applyFont="1" applyFill="1" applyBorder="1" applyAlignment="1" applyProtection="1">
      <alignment horizontal="center" vertical="center" wrapText="1"/>
      <protection hidden="1"/>
    </xf>
    <xf numFmtId="173" fontId="370" fillId="0" borderId="0" xfId="0" applyFont="1" applyBorder="1" applyAlignment="1" applyProtection="1">
      <alignment horizontal="right" vertical="center" indent="1"/>
      <protection locked="0"/>
    </xf>
    <xf numFmtId="173" fontId="0" fillId="0" borderId="0" xfId="0" applyBorder="1" applyAlignment="1">
      <alignment horizontal="right" vertical="center" indent="1"/>
    </xf>
    <xf numFmtId="173" fontId="286" fillId="8" borderId="148" xfId="0" applyFont="1" applyFill="1" applyBorder="1" applyAlignment="1" applyProtection="1">
      <alignment horizontal="center" vertical="center"/>
      <protection locked="0"/>
    </xf>
    <xf numFmtId="173" fontId="286" fillId="8" borderId="158" xfId="0" applyFont="1" applyFill="1" applyBorder="1" applyAlignment="1" applyProtection="1">
      <alignment horizontal="center" vertical="center"/>
      <protection locked="0"/>
    </xf>
    <xf numFmtId="173" fontId="286" fillId="8" borderId="155" xfId="0" applyFont="1" applyFill="1" applyBorder="1" applyAlignment="1" applyProtection="1">
      <alignment horizontal="center" vertical="center"/>
      <protection locked="0"/>
    </xf>
    <xf numFmtId="173" fontId="286" fillId="8" borderId="157" xfId="0" applyFont="1" applyFill="1" applyBorder="1" applyAlignment="1" applyProtection="1">
      <alignment horizontal="center" vertical="center"/>
      <protection locked="0"/>
    </xf>
    <xf numFmtId="173" fontId="16" fillId="8" borderId="155" xfId="0" applyFont="1" applyFill="1" applyBorder="1" applyAlignment="1" applyProtection="1">
      <alignment horizontal="center" vertical="center" wrapText="1"/>
      <protection hidden="1"/>
    </xf>
    <xf numFmtId="173" fontId="16" fillId="8" borderId="153" xfId="0" applyFont="1" applyFill="1" applyBorder="1" applyAlignment="1" applyProtection="1">
      <alignment horizontal="center" vertical="center" wrapText="1"/>
      <protection hidden="1"/>
    </xf>
    <xf numFmtId="3" fontId="286" fillId="8" borderId="156" xfId="0" applyNumberFormat="1" applyFont="1" applyFill="1" applyBorder="1" applyAlignment="1" applyProtection="1">
      <alignment horizontal="center" vertical="center"/>
      <protection hidden="1"/>
    </xf>
    <xf numFmtId="3" fontId="286" fillId="8" borderId="159" xfId="0" applyNumberFormat="1" applyFont="1" applyFill="1" applyBorder="1" applyAlignment="1" applyProtection="1">
      <alignment horizontal="center" vertical="center"/>
      <protection hidden="1"/>
    </xf>
    <xf numFmtId="173" fontId="233" fillId="0" borderId="145" xfId="0" applyFont="1" applyFill="1" applyBorder="1" applyAlignment="1" applyProtection="1">
      <alignment horizontal="left" vertical="center"/>
      <protection hidden="1"/>
    </xf>
    <xf numFmtId="173" fontId="233" fillId="0" borderId="130" xfId="0" applyFont="1" applyFill="1" applyBorder="1" applyAlignment="1" applyProtection="1">
      <alignment horizontal="left" vertical="center"/>
      <protection hidden="1"/>
    </xf>
    <xf numFmtId="173" fontId="287" fillId="0" borderId="130" xfId="0" applyFont="1" applyBorder="1" applyAlignment="1">
      <alignment horizontal="left" vertical="center"/>
    </xf>
    <xf numFmtId="173" fontId="29" fillId="33" borderId="359" xfId="0" applyFont="1" applyFill="1" applyBorder="1" applyAlignment="1" applyProtection="1">
      <alignment horizontal="center" vertical="center" wrapText="1"/>
      <protection hidden="1"/>
    </xf>
    <xf numFmtId="173" fontId="29" fillId="33" borderId="366" xfId="0" applyFont="1" applyFill="1" applyBorder="1" applyAlignment="1" applyProtection="1">
      <alignment horizontal="center" vertical="center" wrapText="1"/>
      <protection hidden="1"/>
    </xf>
    <xf numFmtId="173" fontId="157" fillId="0" borderId="80" xfId="0" applyFont="1" applyBorder="1" applyAlignment="1" applyProtection="1">
      <alignment horizontal="left" vertical="center" indent="1"/>
      <protection hidden="1"/>
    </xf>
    <xf numFmtId="173" fontId="174" fillId="0" borderId="0" xfId="0" applyFont="1" applyFill="1" applyBorder="1" applyAlignment="1" applyProtection="1">
      <alignment horizontal="right" vertical="center" indent="1"/>
      <protection hidden="1"/>
    </xf>
    <xf numFmtId="173" fontId="174" fillId="0" borderId="258" xfId="0" applyFont="1" applyFill="1" applyBorder="1" applyAlignment="1" applyProtection="1">
      <alignment horizontal="right" vertical="center" indent="1"/>
      <protection hidden="1"/>
    </xf>
    <xf numFmtId="173" fontId="201" fillId="34" borderId="81" xfId="0" applyFont="1" applyFill="1" applyBorder="1" applyAlignment="1" applyProtection="1">
      <alignment vertical="center"/>
      <protection hidden="1"/>
    </xf>
    <xf numFmtId="173" fontId="201" fillId="34" borderId="194" xfId="0" applyFont="1" applyFill="1" applyBorder="1" applyAlignment="1">
      <alignment vertical="center"/>
    </xf>
    <xf numFmtId="173" fontId="273" fillId="0" borderId="145" xfId="0" applyFont="1" applyFill="1" applyBorder="1" applyAlignment="1" applyProtection="1">
      <alignment horizontal="left" vertical="center"/>
      <protection hidden="1"/>
    </xf>
    <xf numFmtId="173" fontId="287" fillId="0" borderId="130" xfId="0" applyFont="1" applyBorder="1" applyAlignment="1">
      <alignment horizontal="right" vertical="center"/>
    </xf>
    <xf numFmtId="173" fontId="273" fillId="0" borderId="335" xfId="0" applyFont="1" applyFill="1" applyBorder="1" applyAlignment="1" applyProtection="1">
      <alignment horizontal="left" vertical="center"/>
      <protection hidden="1"/>
    </xf>
    <xf numFmtId="173" fontId="287" fillId="0" borderId="132" xfId="0" applyFont="1" applyBorder="1" applyAlignment="1">
      <alignment horizontal="right" vertical="center"/>
    </xf>
    <xf numFmtId="173" fontId="248" fillId="25" borderId="146" xfId="0" applyFont="1" applyFill="1" applyBorder="1" applyAlignment="1" applyProtection="1">
      <alignment horizontal="left" vertical="center"/>
      <protection hidden="1"/>
    </xf>
    <xf numFmtId="173" fontId="287" fillId="25" borderId="185" xfId="0" applyFont="1" applyFill="1" applyBorder="1" applyAlignment="1">
      <alignment horizontal="left" vertical="center"/>
    </xf>
    <xf numFmtId="173" fontId="233" fillId="0" borderId="275" xfId="0" applyFont="1" applyBorder="1" applyAlignment="1" applyProtection="1">
      <alignment horizontal="left" vertical="center" indent="1"/>
      <protection hidden="1"/>
    </xf>
    <xf numFmtId="173" fontId="102" fillId="33" borderId="128" xfId="6" applyFont="1" applyFill="1" applyBorder="1" applyAlignment="1" applyProtection="1">
      <alignment horizontal="center" vertical="center" wrapText="1"/>
      <protection hidden="1"/>
    </xf>
    <xf numFmtId="173" fontId="0" fillId="0" borderId="129" xfId="0" applyBorder="1" applyAlignment="1" applyProtection="1">
      <alignment horizontal="center" vertical="center" wrapText="1"/>
      <protection hidden="1"/>
    </xf>
    <xf numFmtId="173" fontId="186" fillId="33" borderId="81" xfId="6" applyFont="1" applyFill="1" applyBorder="1" applyAlignment="1" applyProtection="1">
      <alignment horizontal="center" vertical="center" wrapText="1"/>
      <protection hidden="1"/>
    </xf>
    <xf numFmtId="173" fontId="0" fillId="0" borderId="194" xfId="0" applyBorder="1" applyAlignment="1" applyProtection="1">
      <alignment horizontal="center" vertical="center" wrapText="1"/>
      <protection hidden="1"/>
    </xf>
    <xf numFmtId="173" fontId="256" fillId="0" borderId="213" xfId="0" applyFont="1" applyFill="1" applyBorder="1" applyAlignment="1" applyProtection="1">
      <alignment vertical="center"/>
      <protection hidden="1"/>
    </xf>
    <xf numFmtId="173" fontId="0" fillId="0" borderId="280" xfId="0" applyBorder="1" applyAlignment="1" applyProtection="1">
      <alignment vertical="center"/>
      <protection hidden="1"/>
    </xf>
    <xf numFmtId="173" fontId="223" fillId="0" borderId="194" xfId="0" applyFont="1" applyBorder="1" applyAlignment="1" applyProtection="1">
      <alignment horizontal="left"/>
      <protection hidden="1"/>
    </xf>
    <xf numFmtId="173" fontId="233" fillId="0" borderId="392" xfId="0" applyFont="1" applyFill="1" applyBorder="1" applyAlignment="1" applyProtection="1">
      <alignment horizontal="left" vertical="center"/>
      <protection hidden="1"/>
    </xf>
    <xf numFmtId="173" fontId="287" fillId="0" borderId="396" xfId="0" applyFont="1" applyBorder="1" applyAlignment="1">
      <alignment horizontal="left" vertical="center"/>
    </xf>
    <xf numFmtId="173" fontId="233" fillId="0" borderId="0" xfId="0" applyFont="1" applyFill="1" applyBorder="1" applyAlignment="1" applyProtection="1">
      <alignment horizontal="left" vertical="center"/>
      <protection hidden="1"/>
    </xf>
    <xf numFmtId="173" fontId="248" fillId="25" borderId="185" xfId="0" applyFont="1" applyFill="1" applyBorder="1" applyAlignment="1" applyProtection="1">
      <alignment horizontal="left" vertical="center"/>
      <protection hidden="1"/>
    </xf>
    <xf numFmtId="173" fontId="225" fillId="13" borderId="250" xfId="0" applyFont="1" applyFill="1" applyBorder="1" applyAlignment="1" applyProtection="1">
      <alignment horizontal="left" vertical="center" indent="1"/>
      <protection hidden="1"/>
    </xf>
    <xf numFmtId="173" fontId="0" fillId="0" borderId="252" xfId="0" applyBorder="1" applyAlignment="1">
      <alignment horizontal="left" vertical="center" indent="1"/>
    </xf>
    <xf numFmtId="173" fontId="0" fillId="0" borderId="253" xfId="0" applyBorder="1" applyAlignment="1">
      <alignment horizontal="left" vertical="center" indent="1"/>
    </xf>
    <xf numFmtId="173" fontId="41" fillId="33" borderId="128" xfId="0" applyFont="1" applyFill="1" applyBorder="1" applyAlignment="1" applyProtection="1">
      <alignment horizontal="left" vertical="center" wrapText="1" indent="1"/>
      <protection hidden="1"/>
    </xf>
    <xf numFmtId="173" fontId="0" fillId="0" borderId="358" xfId="0" applyBorder="1" applyAlignment="1" applyProtection="1">
      <alignment horizontal="left" vertical="center" wrapText="1" indent="1"/>
      <protection hidden="1"/>
    </xf>
    <xf numFmtId="173" fontId="41" fillId="33" borderId="81" xfId="0" applyFont="1" applyFill="1" applyBorder="1" applyAlignment="1" applyProtection="1">
      <alignment horizontal="left" vertical="center" wrapText="1" indent="1"/>
      <protection hidden="1"/>
    </xf>
    <xf numFmtId="173" fontId="0" fillId="0" borderId="378" xfId="0" applyBorder="1" applyAlignment="1" applyProtection="1">
      <alignment horizontal="left" vertical="center" wrapText="1" indent="1"/>
      <protection hidden="1"/>
    </xf>
    <xf numFmtId="173" fontId="342" fillId="0" borderId="128" xfId="0" applyFont="1" applyFill="1" applyBorder="1" applyAlignment="1" applyProtection="1">
      <alignment horizontal="left" vertical="center" indent="1"/>
      <protection hidden="1"/>
    </xf>
    <xf numFmtId="173" fontId="237" fillId="0" borderId="81" xfId="0" applyFont="1" applyFill="1" applyBorder="1" applyAlignment="1" applyProtection="1">
      <alignment horizontal="left" vertical="center" indent="1"/>
      <protection hidden="1"/>
    </xf>
    <xf numFmtId="173" fontId="342" fillId="0" borderId="80" xfId="0" applyFont="1" applyFill="1" applyBorder="1" applyAlignment="1" applyProtection="1">
      <alignment horizontal="left" vertical="center" indent="1"/>
      <protection hidden="1"/>
    </xf>
    <xf numFmtId="173" fontId="16" fillId="33" borderId="266" xfId="0" applyFont="1" applyFill="1" applyBorder="1" applyAlignment="1" applyProtection="1">
      <alignment horizontal="center" vertical="center"/>
      <protection hidden="1"/>
    </xf>
    <xf numFmtId="173" fontId="39" fillId="0" borderId="177" xfId="0" applyFont="1" applyFill="1" applyBorder="1" applyAlignment="1" applyProtection="1">
      <alignment horizontal="center" vertical="center"/>
      <protection locked="0" hidden="1"/>
    </xf>
    <xf numFmtId="173" fontId="39" fillId="0" borderId="266" xfId="0" applyFont="1" applyFill="1" applyBorder="1" applyAlignment="1" applyProtection="1">
      <alignment horizontal="center" vertical="center"/>
      <protection locked="0" hidden="1"/>
    </xf>
    <xf numFmtId="173" fontId="39" fillId="0" borderId="385" xfId="0" applyFont="1" applyFill="1" applyBorder="1" applyAlignment="1" applyProtection="1">
      <alignment horizontal="center" vertical="center"/>
      <protection locked="0" hidden="1"/>
    </xf>
    <xf numFmtId="173" fontId="224" fillId="60" borderId="250" xfId="0" applyFont="1" applyFill="1" applyBorder="1" applyAlignment="1" applyProtection="1">
      <alignment horizontal="center" vertical="center"/>
      <protection hidden="1"/>
    </xf>
    <xf numFmtId="173" fontId="223" fillId="0" borderId="252" xfId="0" applyFont="1" applyBorder="1" applyAlignment="1">
      <alignment horizontal="right"/>
    </xf>
    <xf numFmtId="173" fontId="223" fillId="0" borderId="253" xfId="0" applyFont="1" applyBorder="1" applyAlignment="1">
      <alignment horizontal="right"/>
    </xf>
    <xf numFmtId="173" fontId="16" fillId="49" borderId="260" xfId="0" applyFont="1" applyFill="1" applyBorder="1" applyAlignment="1" applyProtection="1">
      <alignment horizontal="center" vertical="center"/>
      <protection hidden="1"/>
    </xf>
    <xf numFmtId="173" fontId="16" fillId="49" borderId="182" xfId="0" applyFont="1" applyFill="1" applyBorder="1" applyAlignment="1" applyProtection="1">
      <alignment horizontal="center" vertical="center"/>
      <protection hidden="1"/>
    </xf>
    <xf numFmtId="178" fontId="15" fillId="0" borderId="573" xfId="0" applyNumberFormat="1" applyFont="1" applyFill="1" applyBorder="1" applyAlignment="1" applyProtection="1">
      <alignment horizontal="right" vertical="center"/>
      <protection hidden="1"/>
    </xf>
    <xf numFmtId="173" fontId="16" fillId="33" borderId="572" xfId="0" applyFont="1" applyFill="1" applyBorder="1" applyAlignment="1" applyProtection="1">
      <alignment horizontal="center" vertical="center"/>
      <protection hidden="1"/>
    </xf>
    <xf numFmtId="173" fontId="184" fillId="33" borderId="128" xfId="0" applyFont="1" applyFill="1" applyBorder="1" applyAlignment="1" applyProtection="1">
      <alignment horizontal="center" vertical="center"/>
      <protection hidden="1"/>
    </xf>
    <xf numFmtId="173" fontId="0" fillId="0" borderId="432" xfId="0" applyBorder="1" applyAlignment="1" applyProtection="1">
      <alignment horizontal="center" vertical="center"/>
      <protection hidden="1"/>
    </xf>
    <xf numFmtId="173" fontId="184" fillId="33" borderId="81" xfId="0" applyFont="1" applyFill="1" applyBorder="1" applyAlignment="1" applyProtection="1">
      <alignment horizontal="center" vertical="center"/>
      <protection hidden="1"/>
    </xf>
    <xf numFmtId="173" fontId="0" fillId="0" borderId="212" xfId="0" applyBorder="1" applyAlignment="1" applyProtection="1">
      <alignment horizontal="center" vertical="center"/>
      <protection hidden="1"/>
    </xf>
    <xf numFmtId="173" fontId="31" fillId="0" borderId="80" xfId="0" applyFont="1" applyFill="1" applyBorder="1" applyAlignment="1" applyProtection="1">
      <alignment horizontal="center" vertical="center"/>
      <protection locked="0" hidden="1"/>
    </xf>
    <xf numFmtId="173" fontId="31" fillId="0" borderId="128" xfId="0" applyFont="1" applyFill="1" applyBorder="1" applyAlignment="1" applyProtection="1">
      <alignment horizontal="center" vertical="center"/>
      <protection locked="0" hidden="1"/>
    </xf>
    <xf numFmtId="173" fontId="31" fillId="0" borderId="81" xfId="0" applyFont="1" applyFill="1" applyBorder="1" applyAlignment="1" applyProtection="1">
      <alignment horizontal="center" vertical="center"/>
      <protection locked="0" hidden="1"/>
    </xf>
    <xf numFmtId="3" fontId="17" fillId="0" borderId="160" xfId="0" applyNumberFormat="1" applyFont="1" applyFill="1" applyBorder="1" applyAlignment="1" applyProtection="1">
      <alignment horizontal="right" vertical="center" indent="1"/>
      <protection hidden="1"/>
    </xf>
    <xf numFmtId="173" fontId="119" fillId="0" borderId="267" xfId="0" applyFont="1" applyBorder="1" applyAlignment="1" applyProtection="1">
      <alignment horizontal="right" vertical="center" indent="1"/>
      <protection hidden="1"/>
    </xf>
    <xf numFmtId="3" fontId="17" fillId="0" borderId="162" xfId="0" applyNumberFormat="1" applyFont="1" applyFill="1" applyBorder="1" applyAlignment="1" applyProtection="1">
      <alignment horizontal="right" vertical="center" indent="1"/>
      <protection hidden="1"/>
    </xf>
    <xf numFmtId="173" fontId="119" fillId="0" borderId="162" xfId="0" applyFont="1" applyBorder="1" applyAlignment="1" applyProtection="1">
      <alignment horizontal="right" vertical="center" indent="1"/>
      <protection hidden="1"/>
    </xf>
    <xf numFmtId="176" fontId="31" fillId="0" borderId="129" xfId="0" applyNumberFormat="1" applyFont="1" applyFill="1" applyBorder="1" applyAlignment="1" applyProtection="1">
      <alignment horizontal="center" vertical="center"/>
      <protection hidden="1"/>
    </xf>
    <xf numFmtId="173" fontId="0" fillId="0" borderId="194" xfId="0" applyBorder="1" applyAlignment="1" applyProtection="1">
      <alignment horizontal="center" vertical="center"/>
      <protection hidden="1"/>
    </xf>
    <xf numFmtId="171" fontId="31" fillId="0" borderId="406" xfId="0" applyNumberFormat="1" applyFont="1" applyFill="1" applyBorder="1" applyAlignment="1" applyProtection="1">
      <alignment horizontal="center" vertical="center"/>
      <protection hidden="1"/>
    </xf>
    <xf numFmtId="173" fontId="0" fillId="0" borderId="189" xfId="0" applyBorder="1" applyAlignment="1" applyProtection="1">
      <alignment horizontal="center" vertical="center"/>
      <protection hidden="1"/>
    </xf>
    <xf numFmtId="173" fontId="16" fillId="33" borderId="426" xfId="0" applyFont="1" applyFill="1" applyBorder="1" applyAlignment="1" applyProtection="1">
      <alignment horizontal="center" vertical="center"/>
      <protection hidden="1"/>
    </xf>
    <xf numFmtId="173" fontId="16" fillId="33" borderId="129" xfId="0" applyFont="1" applyFill="1" applyBorder="1" applyAlignment="1" applyProtection="1">
      <alignment horizontal="center" vertical="center"/>
      <protection hidden="1"/>
    </xf>
    <xf numFmtId="173" fontId="16" fillId="33" borderId="358" xfId="0" applyFont="1" applyFill="1" applyBorder="1" applyAlignment="1" applyProtection="1">
      <alignment horizontal="center" vertical="center"/>
      <protection hidden="1"/>
    </xf>
    <xf numFmtId="173" fontId="16" fillId="33" borderId="428" xfId="0" applyFont="1" applyFill="1" applyBorder="1" applyAlignment="1" applyProtection="1">
      <alignment horizontal="center" vertical="center"/>
      <protection hidden="1"/>
    </xf>
    <xf numFmtId="173" fontId="16" fillId="33" borderId="378" xfId="0" applyFont="1" applyFill="1" applyBorder="1" applyAlignment="1" applyProtection="1">
      <alignment horizontal="center" vertical="center"/>
      <protection hidden="1"/>
    </xf>
    <xf numFmtId="173" fontId="0" fillId="0" borderId="0" xfId="0" applyBorder="1" applyAlignment="1" applyProtection="1">
      <alignment horizontal="left" vertical="center" wrapText="1" indent="1"/>
      <protection locked="0"/>
    </xf>
    <xf numFmtId="173" fontId="0" fillId="0" borderId="194" xfId="0" applyBorder="1" applyAlignment="1" applyProtection="1">
      <alignment horizontal="left" vertical="center" wrapText="1" indent="1"/>
      <protection locked="0"/>
    </xf>
    <xf numFmtId="173" fontId="0" fillId="0" borderId="129" xfId="0" applyBorder="1" applyAlignment="1" applyProtection="1">
      <alignment horizontal="left" vertical="center" wrapText="1" indent="1"/>
      <protection locked="0"/>
    </xf>
    <xf numFmtId="173" fontId="61" fillId="33" borderId="484" xfId="0" applyFont="1" applyFill="1" applyBorder="1" applyAlignment="1" applyProtection="1">
      <alignment horizontal="center" vertical="center"/>
      <protection hidden="1"/>
    </xf>
    <xf numFmtId="173" fontId="61" fillId="33" borderId="384" xfId="0" applyFont="1" applyFill="1" applyBorder="1" applyAlignment="1" applyProtection="1">
      <alignment horizontal="center" vertical="center"/>
      <protection hidden="1"/>
    </xf>
    <xf numFmtId="173" fontId="61" fillId="33" borderId="219" xfId="0" applyFont="1" applyFill="1" applyBorder="1" applyAlignment="1" applyProtection="1">
      <alignment horizontal="center" vertical="center"/>
      <protection hidden="1"/>
    </xf>
    <xf numFmtId="173" fontId="256" fillId="0" borderId="145" xfId="0" applyFont="1" applyFill="1" applyBorder="1" applyAlignment="1" applyProtection="1">
      <alignment vertical="center"/>
      <protection hidden="1"/>
    </xf>
    <xf numFmtId="173" fontId="0" fillId="0" borderId="175" xfId="0" applyBorder="1" applyAlignment="1" applyProtection="1">
      <alignment vertical="center"/>
      <protection hidden="1"/>
    </xf>
    <xf numFmtId="173" fontId="256" fillId="0" borderId="255" xfId="0" applyFont="1" applyFill="1" applyBorder="1" applyAlignment="1" applyProtection="1">
      <alignment vertical="center"/>
      <protection hidden="1"/>
    </xf>
    <xf numFmtId="173" fontId="0" fillId="0" borderId="256" xfId="0" applyBorder="1" applyAlignment="1" applyProtection="1">
      <alignment vertical="center"/>
      <protection hidden="1"/>
    </xf>
    <xf numFmtId="173" fontId="259" fillId="25" borderId="146" xfId="0" applyFont="1" applyFill="1" applyBorder="1" applyAlignment="1" applyProtection="1">
      <alignment horizontal="right" vertical="center" indent="1"/>
      <protection hidden="1"/>
    </xf>
    <xf numFmtId="173" fontId="259" fillId="25" borderId="257" xfId="0" applyFont="1" applyFill="1" applyBorder="1" applyAlignment="1" applyProtection="1">
      <alignment horizontal="right" vertical="center" indent="1"/>
      <protection hidden="1"/>
    </xf>
    <xf numFmtId="178" fontId="15" fillId="55" borderId="176" xfId="0" applyNumberFormat="1" applyFont="1" applyFill="1" applyBorder="1" applyAlignment="1" applyProtection="1">
      <alignment horizontal="right" vertical="center"/>
      <protection hidden="1"/>
    </xf>
    <xf numFmtId="178" fontId="15" fillId="55" borderId="221" xfId="0" applyNumberFormat="1" applyFont="1" applyFill="1" applyBorder="1" applyAlignment="1" applyProtection="1">
      <alignment horizontal="right" vertical="center"/>
      <protection hidden="1"/>
    </xf>
    <xf numFmtId="173" fontId="382" fillId="0" borderId="0" xfId="0" applyFont="1" applyBorder="1" applyAlignment="1" applyProtection="1">
      <alignment horizontal="center" vertical="center"/>
      <protection hidden="1"/>
    </xf>
    <xf numFmtId="173" fontId="364" fillId="0" borderId="0" xfId="0" applyFont="1" applyFill="1" applyBorder="1" applyAlignment="1" applyProtection="1">
      <alignment horizontal="right" vertical="center" indent="2"/>
      <protection hidden="1"/>
    </xf>
    <xf numFmtId="173" fontId="364" fillId="0" borderId="137" xfId="0" applyFont="1" applyFill="1" applyBorder="1" applyAlignment="1" applyProtection="1">
      <alignment horizontal="right" vertical="center" indent="2"/>
      <protection hidden="1"/>
    </xf>
    <xf numFmtId="173" fontId="273" fillId="0" borderId="80" xfId="0" applyFont="1" applyBorder="1" applyAlignment="1" applyProtection="1">
      <alignment horizontal="left" vertical="center" indent="1"/>
      <protection locked="0" hidden="1"/>
    </xf>
    <xf numFmtId="173" fontId="225" fillId="33" borderId="112" xfId="0" applyFont="1" applyFill="1" applyBorder="1" applyAlignment="1" applyProtection="1">
      <alignment horizontal="center" vertical="center"/>
      <protection hidden="1"/>
    </xf>
    <xf numFmtId="173" fontId="225" fillId="33" borderId="115" xfId="0" applyFont="1" applyFill="1" applyBorder="1" applyAlignment="1" applyProtection="1">
      <alignment horizontal="center" vertical="center"/>
      <protection hidden="1"/>
    </xf>
    <xf numFmtId="173" fontId="204" fillId="33" borderId="112" xfId="0" applyFont="1" applyFill="1" applyBorder="1" applyAlignment="1" applyProtection="1">
      <alignment horizontal="left" vertical="center" indent="1"/>
      <protection hidden="1"/>
    </xf>
    <xf numFmtId="173" fontId="0" fillId="0" borderId="115" xfId="0" applyBorder="1" applyAlignment="1" applyProtection="1">
      <alignment horizontal="left" vertical="center" indent="1"/>
      <protection hidden="1"/>
    </xf>
    <xf numFmtId="173" fontId="0" fillId="0" borderId="182" xfId="0" applyBorder="1" applyAlignment="1" applyProtection="1">
      <alignment horizontal="left" vertical="center" indent="1"/>
      <protection hidden="1"/>
    </xf>
    <xf numFmtId="173" fontId="363" fillId="0" borderId="145" xfId="0" applyFont="1" applyBorder="1" applyAlignment="1" applyProtection="1">
      <alignment vertical="center" wrapText="1"/>
      <protection hidden="1"/>
    </xf>
    <xf numFmtId="173" fontId="363" fillId="0" borderId="130" xfId="0" applyFont="1" applyBorder="1" applyAlignment="1" applyProtection="1">
      <alignment vertical="center" wrapText="1"/>
      <protection hidden="1"/>
    </xf>
    <xf numFmtId="173" fontId="0" fillId="0" borderId="175" xfId="0" applyBorder="1" applyAlignment="1" applyProtection="1">
      <alignment vertical="center" wrapText="1"/>
      <protection hidden="1"/>
    </xf>
    <xf numFmtId="208" fontId="204" fillId="50" borderId="112" xfId="0" applyNumberFormat="1" applyFont="1" applyFill="1" applyBorder="1" applyAlignment="1" applyProtection="1">
      <alignment horizontal="center" vertical="center"/>
      <protection hidden="1"/>
    </xf>
    <xf numFmtId="208" fontId="204" fillId="50" borderId="182" xfId="0" applyNumberFormat="1" applyFont="1" applyFill="1" applyBorder="1" applyAlignment="1" applyProtection="1">
      <alignment horizontal="center" vertical="center"/>
      <protection hidden="1"/>
    </xf>
    <xf numFmtId="165" fontId="364" fillId="25" borderId="275" xfId="0" applyNumberFormat="1" applyFont="1" applyFill="1" applyBorder="1" applyAlignment="1" applyProtection="1">
      <alignment horizontal="center" vertical="center"/>
      <protection hidden="1"/>
    </xf>
    <xf numFmtId="165" fontId="364" fillId="25" borderId="269" xfId="0" applyNumberFormat="1" applyFont="1" applyFill="1" applyBorder="1" applyAlignment="1" applyProtection="1">
      <alignment horizontal="center" vertical="center"/>
      <protection hidden="1"/>
    </xf>
    <xf numFmtId="165" fontId="364" fillId="25" borderId="213" xfId="0" applyNumberFormat="1" applyFont="1" applyFill="1" applyBorder="1" applyAlignment="1" applyProtection="1">
      <alignment horizontal="center" vertical="center"/>
      <protection hidden="1"/>
    </xf>
    <xf numFmtId="165" fontId="364" fillId="25" borderId="274" xfId="0" applyNumberFormat="1" applyFont="1" applyFill="1" applyBorder="1" applyAlignment="1" applyProtection="1">
      <alignment horizontal="center" vertical="center"/>
      <protection hidden="1"/>
    </xf>
    <xf numFmtId="173" fontId="237" fillId="0" borderId="276" xfId="0" applyFont="1" applyBorder="1" applyAlignment="1" applyProtection="1">
      <alignment vertical="center"/>
      <protection locked="0" hidden="1"/>
    </xf>
    <xf numFmtId="173" fontId="124" fillId="0" borderId="277" xfId="0" applyFont="1" applyBorder="1" applyAlignment="1" applyProtection="1">
      <alignment vertical="center"/>
      <protection hidden="1"/>
    </xf>
    <xf numFmtId="173" fontId="124" fillId="0" borderId="278" xfId="0" applyFont="1" applyBorder="1" applyAlignment="1" applyProtection="1">
      <alignment vertical="center"/>
      <protection hidden="1"/>
    </xf>
    <xf numFmtId="173" fontId="237" fillId="0" borderId="145" xfId="0" applyFont="1" applyBorder="1" applyAlignment="1" applyProtection="1">
      <alignment vertical="center"/>
      <protection locked="0" hidden="1"/>
    </xf>
    <xf numFmtId="173" fontId="124" fillId="0" borderId="130" xfId="0" applyFont="1" applyBorder="1" applyAlignment="1" applyProtection="1">
      <alignment vertical="center"/>
      <protection hidden="1"/>
    </xf>
    <xf numFmtId="173" fontId="124" fillId="0" borderId="175" xfId="0" applyFont="1" applyBorder="1" applyAlignment="1" applyProtection="1">
      <alignment vertical="center"/>
      <protection hidden="1"/>
    </xf>
    <xf numFmtId="173" fontId="237" fillId="0" borderId="275" xfId="0" applyFont="1" applyBorder="1" applyAlignment="1" applyProtection="1">
      <alignment vertical="center"/>
      <protection locked="0" hidden="1"/>
    </xf>
    <xf numFmtId="173" fontId="124" fillId="0" borderId="173" xfId="0" applyFont="1" applyBorder="1" applyAlignment="1" applyProtection="1">
      <alignment vertical="center"/>
      <protection hidden="1"/>
    </xf>
    <xf numFmtId="173" fontId="124" fillId="0" borderId="174" xfId="0" applyFont="1" applyBorder="1" applyAlignment="1" applyProtection="1">
      <alignment vertical="center"/>
      <protection hidden="1"/>
    </xf>
    <xf numFmtId="173" fontId="342" fillId="25" borderId="115" xfId="0" applyFont="1" applyFill="1" applyBorder="1" applyAlignment="1" applyProtection="1">
      <alignment horizontal="right" vertical="center"/>
      <protection hidden="1"/>
    </xf>
    <xf numFmtId="2" fontId="16" fillId="33" borderId="281" xfId="0" applyNumberFormat="1" applyFont="1" applyFill="1" applyBorder="1" applyAlignment="1" applyProtection="1">
      <alignment horizontal="center" vertical="center" wrapText="1"/>
      <protection hidden="1"/>
    </xf>
    <xf numFmtId="2" fontId="16" fillId="33" borderId="182" xfId="0" applyNumberFormat="1" applyFont="1" applyFill="1" applyBorder="1" applyAlignment="1" applyProtection="1">
      <alignment horizontal="center" vertical="center" wrapText="1"/>
      <protection hidden="1"/>
    </xf>
    <xf numFmtId="165" fontId="364" fillId="25" borderId="145" xfId="0" applyNumberFormat="1" applyFont="1" applyFill="1" applyBorder="1" applyAlignment="1" applyProtection="1">
      <alignment horizontal="center" vertical="center"/>
      <protection hidden="1"/>
    </xf>
    <xf numFmtId="165" fontId="364" fillId="25" borderId="244" xfId="0" applyNumberFormat="1" applyFont="1" applyFill="1" applyBorder="1" applyAlignment="1" applyProtection="1">
      <alignment horizontal="center" vertical="center"/>
      <protection hidden="1"/>
    </xf>
    <xf numFmtId="2" fontId="212" fillId="33" borderId="260" xfId="0" applyNumberFormat="1" applyFont="1" applyFill="1" applyBorder="1" applyAlignment="1" applyProtection="1">
      <alignment horizontal="center" vertical="center" wrapText="1"/>
      <protection hidden="1"/>
    </xf>
    <xf numFmtId="2" fontId="212" fillId="33" borderId="182" xfId="0" applyNumberFormat="1" applyFont="1" applyFill="1" applyBorder="1" applyAlignment="1" applyProtection="1">
      <alignment horizontal="center" vertical="center" wrapText="1"/>
      <protection hidden="1"/>
    </xf>
    <xf numFmtId="165" fontId="364" fillId="25" borderId="80" xfId="0" applyNumberFormat="1" applyFont="1" applyFill="1" applyBorder="1" applyAlignment="1" applyProtection="1">
      <alignment horizontal="center" vertical="center"/>
      <protection hidden="1"/>
    </xf>
    <xf numFmtId="165" fontId="364" fillId="25" borderId="137" xfId="0" applyNumberFormat="1" applyFont="1" applyFill="1" applyBorder="1" applyAlignment="1" applyProtection="1">
      <alignment horizontal="center" vertical="center"/>
      <protection hidden="1"/>
    </xf>
    <xf numFmtId="165" fontId="364" fillId="25" borderId="81" xfId="0" applyNumberFormat="1" applyFont="1" applyFill="1" applyBorder="1" applyAlignment="1" applyProtection="1">
      <alignment horizontal="center" vertical="center"/>
      <protection hidden="1"/>
    </xf>
    <xf numFmtId="165" fontId="364" fillId="25" borderId="138" xfId="0" applyNumberFormat="1" applyFont="1" applyFill="1" applyBorder="1" applyAlignment="1" applyProtection="1">
      <alignment horizontal="center" vertical="center"/>
      <protection hidden="1"/>
    </xf>
    <xf numFmtId="173" fontId="61" fillId="33" borderId="112" xfId="0" applyFont="1" applyFill="1" applyBorder="1" applyAlignment="1" applyProtection="1">
      <alignment horizontal="center" vertical="center" wrapText="1"/>
      <protection hidden="1"/>
    </xf>
    <xf numFmtId="173" fontId="61" fillId="33" borderId="115" xfId="0" applyFont="1" applyFill="1" applyBorder="1" applyAlignment="1" applyProtection="1">
      <alignment horizontal="center" vertical="center" wrapText="1"/>
      <protection hidden="1"/>
    </xf>
    <xf numFmtId="173" fontId="61" fillId="33" borderId="182" xfId="0" applyFont="1" applyFill="1" applyBorder="1" applyAlignment="1" applyProtection="1">
      <alignment horizontal="center" vertical="center" wrapText="1"/>
      <protection hidden="1"/>
    </xf>
    <xf numFmtId="173" fontId="209" fillId="33" borderId="260" xfId="0" applyFont="1" applyFill="1" applyBorder="1" applyAlignment="1" applyProtection="1">
      <alignment horizontal="center" vertical="center" wrapText="1"/>
      <protection hidden="1"/>
    </xf>
    <xf numFmtId="173" fontId="209" fillId="33" borderId="124" xfId="0" applyFont="1" applyFill="1" applyBorder="1" applyAlignment="1" applyProtection="1">
      <alignment horizontal="center" vertical="center" wrapText="1"/>
      <protection hidden="1"/>
    </xf>
    <xf numFmtId="173" fontId="363" fillId="0" borderId="81" xfId="0" applyFont="1" applyBorder="1" applyAlignment="1" applyProtection="1">
      <alignment horizontal="left" vertical="center" wrapText="1"/>
      <protection hidden="1"/>
    </xf>
    <xf numFmtId="173" fontId="363" fillId="0" borderId="194" xfId="0" applyFont="1" applyBorder="1" applyAlignment="1" applyProtection="1">
      <alignment horizontal="left" vertical="center" wrapText="1"/>
      <protection hidden="1"/>
    </xf>
    <xf numFmtId="173" fontId="363" fillId="0" borderId="273" xfId="0" applyFont="1" applyBorder="1" applyAlignment="1" applyProtection="1">
      <alignment horizontal="left" vertical="center" wrapText="1"/>
      <protection hidden="1"/>
    </xf>
    <xf numFmtId="173" fontId="363" fillId="0" borderId="81" xfId="0" applyFont="1" applyFill="1" applyBorder="1" applyAlignment="1" applyProtection="1">
      <alignment vertical="center" wrapText="1"/>
      <protection hidden="1"/>
    </xf>
    <xf numFmtId="173" fontId="363" fillId="0" borderId="194" xfId="0" applyFont="1" applyFill="1" applyBorder="1" applyAlignment="1" applyProtection="1">
      <alignment vertical="center" wrapText="1"/>
      <protection hidden="1"/>
    </xf>
    <xf numFmtId="173" fontId="0" fillId="0" borderId="273" xfId="0" applyBorder="1" applyAlignment="1" applyProtection="1">
      <alignment vertical="center" wrapText="1"/>
      <protection hidden="1"/>
    </xf>
    <xf numFmtId="173" fontId="363" fillId="0" borderId="80" xfId="0" applyFont="1" applyBorder="1" applyAlignment="1" applyProtection="1">
      <alignment horizontal="left" vertical="center" wrapText="1"/>
      <protection hidden="1"/>
    </xf>
    <xf numFmtId="173" fontId="363" fillId="0" borderId="0" xfId="0" applyFont="1" applyBorder="1" applyAlignment="1" applyProtection="1">
      <alignment horizontal="left" vertical="center" wrapText="1"/>
      <protection hidden="1"/>
    </xf>
    <xf numFmtId="173" fontId="0" fillId="0" borderId="126" xfId="0" applyBorder="1" applyAlignment="1" applyProtection="1">
      <alignment horizontal="left" vertical="center" wrapText="1"/>
      <protection hidden="1"/>
    </xf>
    <xf numFmtId="173" fontId="363" fillId="0" borderId="145" xfId="0" applyFont="1" applyBorder="1" applyAlignment="1" applyProtection="1">
      <alignment horizontal="left" vertical="center" wrapText="1"/>
      <protection hidden="1"/>
    </xf>
    <xf numFmtId="173" fontId="363" fillId="0" borderId="130" xfId="0" applyFont="1" applyBorder="1" applyAlignment="1" applyProtection="1">
      <alignment horizontal="left" vertical="center" wrapText="1"/>
      <protection hidden="1"/>
    </xf>
    <xf numFmtId="173" fontId="0" fillId="0" borderId="175" xfId="0" applyBorder="1" applyAlignment="1" applyProtection="1">
      <alignment horizontal="left" vertical="center" wrapText="1"/>
      <protection hidden="1"/>
    </xf>
    <xf numFmtId="173" fontId="363" fillId="0" borderId="175" xfId="0" applyFont="1" applyBorder="1" applyAlignment="1" applyProtection="1">
      <alignment horizontal="left" vertical="center" wrapText="1"/>
      <protection hidden="1"/>
    </xf>
    <xf numFmtId="173" fontId="204" fillId="35" borderId="260" xfId="0" applyFont="1" applyFill="1" applyBorder="1" applyAlignment="1" applyProtection="1">
      <alignment horizontal="right" vertical="center" indent="1"/>
      <protection hidden="1"/>
    </xf>
    <xf numFmtId="173" fontId="204" fillId="35" borderId="115" xfId="0" applyFont="1" applyFill="1" applyBorder="1" applyAlignment="1" applyProtection="1">
      <alignment horizontal="right" vertical="center" indent="1"/>
      <protection hidden="1"/>
    </xf>
    <xf numFmtId="173" fontId="204" fillId="35" borderId="182" xfId="0" applyFont="1" applyFill="1" applyBorder="1" applyAlignment="1" applyProtection="1">
      <alignment horizontal="right" vertical="center" indent="1"/>
      <protection hidden="1"/>
    </xf>
    <xf numFmtId="173" fontId="363" fillId="0" borderId="275" xfId="0" applyFont="1" applyFill="1" applyBorder="1" applyAlignment="1" applyProtection="1">
      <alignment vertical="center" wrapText="1"/>
      <protection locked="0"/>
    </xf>
    <xf numFmtId="173" fontId="363" fillId="0" borderId="173" xfId="0" applyFont="1" applyFill="1" applyBorder="1" applyAlignment="1" applyProtection="1">
      <alignment vertical="center" wrapText="1"/>
      <protection locked="0"/>
    </xf>
    <xf numFmtId="173" fontId="0" fillId="0" borderId="174" xfId="0" applyBorder="1" applyAlignment="1">
      <alignment vertical="center"/>
    </xf>
    <xf numFmtId="173" fontId="363" fillId="0" borderId="80" xfId="0" applyFont="1" applyBorder="1" applyAlignment="1" applyProtection="1">
      <alignment vertical="center" wrapText="1"/>
      <protection hidden="1"/>
    </xf>
    <xf numFmtId="173" fontId="363" fillId="0" borderId="0" xfId="0" applyFont="1" applyBorder="1" applyAlignment="1" applyProtection="1">
      <alignment vertical="center" wrapText="1"/>
      <protection hidden="1"/>
    </xf>
    <xf numFmtId="173" fontId="0" fillId="0" borderId="126" xfId="0" applyBorder="1" applyAlignment="1" applyProtection="1">
      <alignment vertical="center" wrapText="1"/>
      <protection hidden="1"/>
    </xf>
    <xf numFmtId="173" fontId="0" fillId="0" borderId="273" xfId="0" applyBorder="1" applyAlignment="1" applyProtection="1">
      <alignment horizontal="left" vertical="center" wrapText="1"/>
      <protection hidden="1"/>
    </xf>
    <xf numFmtId="173" fontId="363" fillId="0" borderId="126" xfId="0" applyFont="1" applyBorder="1" applyAlignment="1" applyProtection="1">
      <alignment horizontal="left" vertical="center" wrapText="1"/>
      <protection hidden="1"/>
    </xf>
    <xf numFmtId="173" fontId="363" fillId="0" borderId="213" xfId="0" applyFont="1" applyBorder="1" applyAlignment="1" applyProtection="1">
      <alignment vertical="center" wrapText="1"/>
      <protection locked="0" hidden="1"/>
    </xf>
    <xf numFmtId="173" fontId="363" fillId="0" borderId="178" xfId="0" applyFont="1" applyBorder="1" applyAlignment="1" applyProtection="1">
      <alignment vertical="center" wrapText="1"/>
      <protection locked="0" hidden="1"/>
    </xf>
    <xf numFmtId="173" fontId="15" fillId="0" borderId="189" xfId="0" applyFont="1" applyBorder="1" applyAlignment="1" applyProtection="1">
      <alignment horizontal="left" vertical="center" indent="1"/>
      <protection locked="0"/>
    </xf>
    <xf numFmtId="173" fontId="0" fillId="0" borderId="194" xfId="0" applyBorder="1" applyAlignment="1" applyProtection="1">
      <alignment horizontal="left" vertical="center" indent="1"/>
      <protection locked="0"/>
    </xf>
    <xf numFmtId="173" fontId="0" fillId="0" borderId="273" xfId="0" applyBorder="1" applyAlignment="1" applyProtection="1">
      <alignment horizontal="left" vertical="center" indent="1"/>
      <protection locked="0"/>
    </xf>
    <xf numFmtId="173" fontId="15" fillId="0" borderId="221" xfId="0" applyFont="1" applyBorder="1" applyAlignment="1" applyProtection="1">
      <alignment horizontal="left" vertical="center" indent="1"/>
      <protection locked="0"/>
    </xf>
    <xf numFmtId="173" fontId="0" fillId="0" borderId="175" xfId="0" applyBorder="1" applyAlignment="1" applyProtection="1">
      <alignment horizontal="left" vertical="center" indent="1"/>
      <protection locked="0"/>
    </xf>
    <xf numFmtId="173" fontId="184" fillId="39" borderId="511" xfId="0" applyFont="1" applyFill="1" applyBorder="1" applyAlignment="1" applyProtection="1">
      <alignment horizontal="center" vertical="center" wrapText="1"/>
      <protection hidden="1"/>
    </xf>
    <xf numFmtId="173" fontId="184" fillId="39" borderId="384" xfId="0" applyFont="1" applyFill="1" applyBorder="1" applyAlignment="1" applyProtection="1">
      <alignment horizontal="center" vertical="center" wrapText="1"/>
      <protection hidden="1"/>
    </xf>
    <xf numFmtId="173" fontId="184" fillId="39" borderId="512" xfId="0" applyFont="1" applyFill="1" applyBorder="1" applyAlignment="1" applyProtection="1">
      <alignment horizontal="center" vertical="center" wrapText="1"/>
      <protection hidden="1"/>
    </xf>
    <xf numFmtId="173" fontId="15" fillId="0" borderId="130" xfId="0" applyFont="1" applyBorder="1" applyAlignment="1" applyProtection="1">
      <alignment horizontal="left" vertical="center"/>
      <protection locked="0"/>
    </xf>
    <xf numFmtId="173" fontId="0" fillId="0" borderId="130" xfId="0" applyBorder="1" applyAlignment="1" applyProtection="1">
      <alignment horizontal="left" vertical="center"/>
      <protection locked="0"/>
    </xf>
    <xf numFmtId="173" fontId="0" fillId="0" borderId="244" xfId="0" applyBorder="1" applyAlignment="1">
      <alignment horizontal="right"/>
    </xf>
    <xf numFmtId="173" fontId="15" fillId="0" borderId="173" xfId="0" applyFont="1" applyBorder="1" applyAlignment="1" applyProtection="1">
      <alignment horizontal="left" vertical="center"/>
      <protection locked="0"/>
    </xf>
    <xf numFmtId="173" fontId="0" fillId="0" borderId="173" xfId="0" applyBorder="1" applyAlignment="1" applyProtection="1">
      <alignment horizontal="left" vertical="center"/>
      <protection locked="0"/>
    </xf>
    <xf numFmtId="173" fontId="0" fillId="0" borderId="269" xfId="0" applyBorder="1" applyAlignment="1">
      <alignment horizontal="right"/>
    </xf>
    <xf numFmtId="173" fontId="247" fillId="25" borderId="384" xfId="0" applyFont="1" applyFill="1" applyBorder="1" applyAlignment="1" applyProtection="1">
      <alignment horizontal="center" vertical="center"/>
      <protection hidden="1"/>
    </xf>
    <xf numFmtId="173" fontId="0" fillId="0" borderId="219" xfId="0" applyBorder="1" applyAlignment="1" applyProtection="1">
      <alignment horizontal="right"/>
      <protection hidden="1"/>
    </xf>
    <xf numFmtId="173" fontId="15" fillId="0" borderId="178" xfId="0" applyFont="1" applyBorder="1" applyAlignment="1" applyProtection="1">
      <alignment horizontal="left" vertical="center"/>
      <protection locked="0"/>
    </xf>
    <xf numFmtId="173" fontId="0" fillId="0" borderId="178" xfId="0" applyBorder="1" applyAlignment="1" applyProtection="1">
      <alignment horizontal="left" vertical="center"/>
      <protection locked="0"/>
    </xf>
    <xf numFmtId="173" fontId="0" fillId="0" borderId="274" xfId="0" applyBorder="1" applyAlignment="1">
      <alignment horizontal="right" vertical="center"/>
    </xf>
    <xf numFmtId="173" fontId="15" fillId="0" borderId="125" xfId="0" applyFont="1" applyBorder="1" applyAlignment="1" applyProtection="1">
      <alignment horizontal="left" vertical="center" indent="1"/>
      <protection locked="0"/>
    </xf>
    <xf numFmtId="173" fontId="0" fillId="0" borderId="126" xfId="0" applyBorder="1" applyAlignment="1" applyProtection="1">
      <alignment horizontal="left" vertical="center" indent="1"/>
      <protection locked="0"/>
    </xf>
  </cellXfs>
  <cellStyles count="58">
    <cellStyle name="20 % - Accent1" xfId="1" builtinId="30"/>
    <cellStyle name="20 % - Accent1 2" xfId="34" xr:uid="{00000000-0005-0000-0000-000001000000}"/>
    <cellStyle name="20 % - Accent2" xfId="56" builtinId="34"/>
    <cellStyle name="20 % - Accent3 2" xfId="35" xr:uid="{00000000-0005-0000-0000-000003000000}"/>
    <cellStyle name="20 % - Accent4" xfId="2" builtinId="42"/>
    <cellStyle name="20 % - Accent4 2" xfId="36" xr:uid="{00000000-0005-0000-0000-000005000000}"/>
    <cellStyle name="20 % - Accent5 2" xfId="37" xr:uid="{00000000-0005-0000-0000-000006000000}"/>
    <cellStyle name="60 % - Accent1" xfId="3" builtinId="32"/>
    <cellStyle name="60 % - Accent2" xfId="4" builtinId="36"/>
    <cellStyle name="Accent1" xfId="29" builtinId="29"/>
    <cellStyle name="Accent2" xfId="5" builtinId="33"/>
    <cellStyle name="Accent4" xfId="32" builtinId="41"/>
    <cellStyle name="Accent5" xfId="6" builtinId="45"/>
    <cellStyle name="Accent6" xfId="57" builtinId="49"/>
    <cellStyle name="Lien hypertexte" xfId="7" builtinId="8"/>
    <cellStyle name="Lien hypertexte visité" xfId="30" builtinId="9" hidden="1"/>
    <cellStyle name="Lien hypertexte visité" xfId="31" builtinId="9" hidden="1"/>
    <cellStyle name="Monétaire" xfId="8" builtinId="4"/>
    <cellStyle name="Normal" xfId="0" builtinId="0"/>
    <cellStyle name="Normal 2" xfId="33" xr:uid="{00000000-0005-0000-0000-000013000000}"/>
    <cellStyle name="Normal 3 2" xfId="9" xr:uid="{00000000-0005-0000-0000-000014000000}"/>
    <cellStyle name="Normal 3 2 2" xfId="10" xr:uid="{00000000-0005-0000-0000-000015000000}"/>
    <cellStyle name="Normal 3 2 2 2" xfId="39" xr:uid="{00000000-0005-0000-0000-000016000000}"/>
    <cellStyle name="Normal 3 2 3" xfId="38" xr:uid="{00000000-0005-0000-0000-000017000000}"/>
    <cellStyle name="Normal 3 3" xfId="11" xr:uid="{00000000-0005-0000-0000-000018000000}"/>
    <cellStyle name="Normal 3 3 2" xfId="12" xr:uid="{00000000-0005-0000-0000-000019000000}"/>
    <cellStyle name="Normal 3 3 2 2" xfId="41" xr:uid="{00000000-0005-0000-0000-00001A000000}"/>
    <cellStyle name="Normal 3 3 3" xfId="40" xr:uid="{00000000-0005-0000-0000-00001B000000}"/>
    <cellStyle name="Normal 3 4" xfId="13" xr:uid="{00000000-0005-0000-0000-00001C000000}"/>
    <cellStyle name="Normal 3 4 2" xfId="14" xr:uid="{00000000-0005-0000-0000-00001D000000}"/>
    <cellStyle name="Normal 3 4 2 2" xfId="43" xr:uid="{00000000-0005-0000-0000-00001E000000}"/>
    <cellStyle name="Normal 3 4 3" xfId="42" xr:uid="{00000000-0005-0000-0000-00001F000000}"/>
    <cellStyle name="Normal 4 2" xfId="15" xr:uid="{00000000-0005-0000-0000-000020000000}"/>
    <cellStyle name="Normal 4 2 2" xfId="16" xr:uid="{00000000-0005-0000-0000-000021000000}"/>
    <cellStyle name="Normal 4 2 2 2" xfId="45" xr:uid="{00000000-0005-0000-0000-000022000000}"/>
    <cellStyle name="Normal 4 2 3" xfId="44" xr:uid="{00000000-0005-0000-0000-000023000000}"/>
    <cellStyle name="Normal 4 3" xfId="17" xr:uid="{00000000-0005-0000-0000-000024000000}"/>
    <cellStyle name="Normal 4 3 2" xfId="18" xr:uid="{00000000-0005-0000-0000-000025000000}"/>
    <cellStyle name="Normal 4 3 2 2" xfId="47" xr:uid="{00000000-0005-0000-0000-000026000000}"/>
    <cellStyle name="Normal 4 3 3" xfId="46" xr:uid="{00000000-0005-0000-0000-000027000000}"/>
    <cellStyle name="Normal 4 4" xfId="19" xr:uid="{00000000-0005-0000-0000-000028000000}"/>
    <cellStyle name="Normal 4 4 2" xfId="20" xr:uid="{00000000-0005-0000-0000-000029000000}"/>
    <cellStyle name="Normal 4 4 2 2" xfId="49" xr:uid="{00000000-0005-0000-0000-00002A000000}"/>
    <cellStyle name="Normal 4 4 3" xfId="48" xr:uid="{00000000-0005-0000-0000-00002B000000}"/>
    <cellStyle name="Normal 5 2" xfId="21" xr:uid="{00000000-0005-0000-0000-00002C000000}"/>
    <cellStyle name="Normal 5 2 2" xfId="22" xr:uid="{00000000-0005-0000-0000-00002D000000}"/>
    <cellStyle name="Normal 5 2 2 2" xfId="51" xr:uid="{00000000-0005-0000-0000-00002E000000}"/>
    <cellStyle name="Normal 5 2 3" xfId="50" xr:uid="{00000000-0005-0000-0000-00002F000000}"/>
    <cellStyle name="Normal 5 3" xfId="23" xr:uid="{00000000-0005-0000-0000-000030000000}"/>
    <cellStyle name="Normal 5 3 2" xfId="24" xr:uid="{00000000-0005-0000-0000-000031000000}"/>
    <cellStyle name="Normal 5 3 2 2" xfId="53" xr:uid="{00000000-0005-0000-0000-000032000000}"/>
    <cellStyle name="Normal 5 3 3" xfId="52" xr:uid="{00000000-0005-0000-0000-000033000000}"/>
    <cellStyle name="Normal 6 2" xfId="25" xr:uid="{00000000-0005-0000-0000-000034000000}"/>
    <cellStyle name="Normal 6 2 2" xfId="26" xr:uid="{00000000-0005-0000-0000-000035000000}"/>
    <cellStyle name="Normal 6 2 2 2" xfId="55" xr:uid="{00000000-0005-0000-0000-000036000000}"/>
    <cellStyle name="Normal 6 2 3" xfId="54" xr:uid="{00000000-0005-0000-0000-000037000000}"/>
    <cellStyle name="Normal_Projet (2)" xfId="27" xr:uid="{00000000-0005-0000-0000-000038000000}"/>
    <cellStyle name="Pourcentage" xfId="28" builtinId="5"/>
  </cellStyles>
  <dxfs count="822">
    <dxf>
      <font>
        <color theme="0"/>
      </font>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b/>
        <i val="0"/>
        <color rgb="FFFF0000"/>
      </font>
      <fill>
        <patternFill patternType="none">
          <bgColor indexed="65"/>
        </patternFill>
      </fill>
    </dxf>
    <dxf>
      <font>
        <b/>
        <i val="0"/>
      </font>
    </dxf>
    <dxf>
      <font>
        <b/>
        <i val="0"/>
        <color rgb="FFFF0000"/>
      </font>
    </dxf>
    <dxf>
      <font>
        <b/>
        <i val="0"/>
        <color rgb="FFFF0000"/>
      </font>
      <fill>
        <patternFill patternType="none">
          <bgColor indexed="65"/>
        </patternFill>
      </fill>
    </dxf>
    <dxf>
      <font>
        <b/>
        <i val="0"/>
      </font>
    </dxf>
    <dxf>
      <font>
        <b/>
        <i val="0"/>
        <color rgb="FFFF0000"/>
      </font>
    </dxf>
    <dxf>
      <font>
        <color rgb="FFC00000"/>
      </font>
    </dxf>
    <dxf>
      <font>
        <color rgb="FFC00000"/>
      </font>
    </dxf>
    <dxf>
      <font>
        <color theme="0" tint="-4.9989318521683403E-2"/>
      </font>
    </dxf>
    <dxf>
      <font>
        <color theme="0"/>
      </font>
    </dxf>
    <dxf>
      <font>
        <color theme="0"/>
      </font>
    </dxf>
    <dxf>
      <font>
        <color theme="0" tint="-4.9989318521683403E-2"/>
      </font>
    </dxf>
    <dxf>
      <font>
        <color rgb="FFC0C0C0"/>
      </font>
      <fill>
        <patternFill>
          <bgColor rgb="FFC0C0C0"/>
        </patternFill>
      </fill>
    </dxf>
    <dxf>
      <font>
        <color rgb="FFC0C0C0"/>
      </font>
      <fill>
        <patternFill>
          <bgColor rgb="FFC0C0C0"/>
        </patternFill>
      </fill>
    </dxf>
    <dxf>
      <font>
        <color theme="0" tint="-4.9989318521683403E-2"/>
      </font>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ont>
        <color rgb="FFC0C0C0"/>
      </font>
      <fill>
        <patternFill>
          <bgColor rgb="FFC0C0C0"/>
        </patternFill>
      </fill>
    </dxf>
    <dxf>
      <font>
        <color theme="0" tint="-4.9989318521683403E-2"/>
      </font>
    </dxf>
    <dxf>
      <font>
        <color rgb="FFC0C0C0"/>
      </font>
      <fill>
        <patternFill>
          <bgColor rgb="FFC0C0C0"/>
        </patternFill>
      </fill>
    </dxf>
    <dxf>
      <font>
        <color theme="0" tint="-4.9989318521683403E-2"/>
      </font>
    </dxf>
    <dxf>
      <font>
        <color theme="0" tint="-4.9989318521683403E-2"/>
      </font>
    </dxf>
    <dxf>
      <font>
        <color rgb="FFC0C0C0"/>
      </font>
      <fill>
        <patternFill>
          <bgColor rgb="FFC0C0C0"/>
        </patternFill>
      </fill>
    </dxf>
    <dxf>
      <font>
        <color rgb="FFC0C0C0"/>
      </font>
      <fill>
        <patternFill>
          <bgColor rgb="FFC0C0C0"/>
        </patternFill>
      </fill>
    </dxf>
    <dxf>
      <font>
        <color theme="0" tint="-4.9989318521683403E-2"/>
      </font>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ill>
        <patternFill>
          <bgColor rgb="FFC0C0C0"/>
        </patternFill>
      </fill>
    </dxf>
    <dxf>
      <font>
        <b/>
        <i val="0"/>
        <color rgb="FFFF0000"/>
      </font>
      <fill>
        <patternFill patternType="none">
          <bgColor indexed="65"/>
        </patternFill>
      </fill>
    </dxf>
    <dxf>
      <font>
        <b/>
        <i val="0"/>
      </font>
    </dxf>
    <dxf>
      <font>
        <b/>
        <i val="0"/>
        <color rgb="FFFF0000"/>
      </font>
    </dxf>
    <dxf>
      <font>
        <b/>
        <i val="0"/>
        <color rgb="FFFF0000"/>
      </font>
      <fill>
        <patternFill patternType="none">
          <bgColor indexed="65"/>
        </patternFill>
      </fill>
    </dxf>
    <dxf>
      <font>
        <b/>
        <i val="0"/>
      </font>
    </dxf>
    <dxf>
      <font>
        <b/>
        <i val="0"/>
        <color rgb="FFFF0000"/>
      </font>
    </dxf>
    <dxf>
      <font>
        <color rgb="FFC0C0C0"/>
      </font>
      <fill>
        <patternFill>
          <bgColor rgb="FFC0C0C0"/>
        </patternFill>
      </fill>
    </dxf>
    <dxf>
      <font>
        <color theme="0" tint="-4.9989318521683403E-2"/>
      </font>
    </dxf>
    <dxf>
      <font>
        <color rgb="FFC0C0C0"/>
      </font>
      <fill>
        <patternFill>
          <bgColor rgb="FFC0C0C0"/>
        </patternFill>
      </fill>
    </dxf>
    <dxf>
      <font>
        <color theme="0" tint="-4.9989318521683403E-2"/>
      </font>
    </dxf>
    <dxf>
      <font>
        <color rgb="FFC0C0C0"/>
      </font>
      <fill>
        <patternFill>
          <bgColor rgb="FFC0C0C0"/>
        </patternFill>
      </fill>
    </dxf>
    <dxf>
      <font>
        <color theme="0" tint="-4.9989318521683403E-2"/>
      </font>
    </dxf>
    <dxf>
      <font>
        <color rgb="FFC0C0C0"/>
      </font>
      <fill>
        <patternFill>
          <bgColor rgb="FFC0C0C0"/>
        </patternFill>
      </fill>
    </dxf>
    <dxf>
      <font>
        <color theme="0" tint="-4.9989318521683403E-2"/>
      </font>
    </dxf>
    <dxf>
      <font>
        <color rgb="FFC0C0C0"/>
      </font>
      <fill>
        <patternFill>
          <bgColor rgb="FFC0C0C0"/>
        </patternFill>
      </fill>
    </dxf>
    <dxf>
      <font>
        <color theme="0" tint="-4.9989318521683403E-2"/>
      </font>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ont>
        <b/>
        <i val="0"/>
      </font>
    </dxf>
    <dxf>
      <font>
        <b/>
        <i val="0"/>
      </font>
    </dxf>
    <dxf>
      <font>
        <b/>
        <i val="0"/>
      </font>
    </dxf>
    <dxf>
      <font>
        <b/>
        <i val="0"/>
      </font>
    </dxf>
    <dxf>
      <font>
        <b/>
        <i val="0"/>
      </font>
    </dxf>
    <dxf>
      <font>
        <b/>
        <i val="0"/>
      </font>
    </dxf>
    <dxf>
      <font>
        <b/>
        <i val="0"/>
      </font>
    </dxf>
    <dxf>
      <font>
        <b/>
        <i val="0"/>
      </font>
    </dxf>
    <dxf>
      <font>
        <color theme="0"/>
      </font>
    </dxf>
    <dxf>
      <fill>
        <patternFill>
          <bgColor rgb="FF993366"/>
        </patternFill>
      </fill>
    </dxf>
    <dxf>
      <fill>
        <patternFill>
          <bgColor rgb="FFDA9694"/>
        </patternFill>
      </fill>
    </dxf>
    <dxf>
      <fill>
        <patternFill patternType="solid">
          <bgColor rgb="FF00B05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ont>
        <color rgb="FFC0C0C0"/>
      </font>
      <fill>
        <patternFill>
          <bgColor rgb="FFC0C0C0"/>
        </patternFill>
      </fill>
    </dxf>
    <dxf>
      <font>
        <color theme="0" tint="-4.9989318521683403E-2"/>
      </font>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b/>
        <i val="0"/>
      </font>
    </dxf>
    <dxf>
      <font>
        <b/>
        <i val="0"/>
      </font>
    </dxf>
    <dxf>
      <font>
        <color theme="0"/>
      </font>
    </dxf>
    <dxf>
      <fill>
        <patternFill>
          <bgColor rgb="FF993366"/>
        </patternFill>
      </fill>
    </dxf>
    <dxf>
      <fill>
        <patternFill>
          <bgColor rgb="FFDA9694"/>
        </patternFill>
      </fill>
    </dxf>
    <dxf>
      <fill>
        <patternFill patternType="solid">
          <bgColor rgb="FF00B050"/>
        </patternFill>
      </fill>
    </dxf>
    <dxf>
      <font>
        <color theme="0"/>
      </font>
    </dxf>
    <dxf>
      <fill>
        <patternFill>
          <bgColor rgb="FF993366"/>
        </patternFill>
      </fill>
    </dxf>
    <dxf>
      <fill>
        <patternFill>
          <bgColor rgb="FFDA9694"/>
        </patternFill>
      </fill>
    </dxf>
    <dxf>
      <fill>
        <patternFill patternType="solid">
          <bgColor rgb="FF00B050"/>
        </patternFill>
      </fill>
    </dxf>
    <dxf>
      <font>
        <color theme="0"/>
      </font>
    </dxf>
    <dxf>
      <fill>
        <patternFill>
          <bgColor rgb="FF993366"/>
        </patternFill>
      </fill>
    </dxf>
    <dxf>
      <fill>
        <patternFill>
          <bgColor rgb="FFDA9694"/>
        </patternFill>
      </fill>
    </dxf>
    <dxf>
      <fill>
        <patternFill patternType="solid">
          <bgColor rgb="FF00B050"/>
        </patternFill>
      </fill>
    </dxf>
    <dxf>
      <font>
        <color rgb="FFC0C0C0"/>
      </font>
      <fill>
        <patternFill>
          <bgColor rgb="FFC0C0C0"/>
        </patternFill>
      </fill>
    </dxf>
    <dxf>
      <font>
        <color theme="0"/>
      </font>
    </dxf>
    <dxf>
      <fill>
        <patternFill>
          <bgColor rgb="FF993366"/>
        </patternFill>
      </fill>
    </dxf>
    <dxf>
      <fill>
        <patternFill>
          <bgColor rgb="FFDA9694"/>
        </patternFill>
      </fill>
    </dxf>
    <dxf>
      <fill>
        <patternFill patternType="solid">
          <bgColor rgb="FF00B050"/>
        </patternFill>
      </fill>
    </dxf>
    <dxf>
      <font>
        <color rgb="FFC0C0C0"/>
      </font>
      <fill>
        <patternFill>
          <bgColor rgb="FFC0C0C0"/>
        </patternFill>
      </fill>
    </dxf>
    <dxf>
      <font>
        <color theme="0"/>
      </font>
    </dxf>
    <dxf>
      <fill>
        <patternFill>
          <bgColor rgb="FF993366"/>
        </patternFill>
      </fill>
    </dxf>
    <dxf>
      <fill>
        <patternFill>
          <bgColor rgb="FFDA9694"/>
        </patternFill>
      </fill>
    </dxf>
    <dxf>
      <fill>
        <patternFill patternType="solid">
          <bgColor rgb="FF00B050"/>
        </patternFill>
      </fill>
    </dxf>
    <dxf>
      <font>
        <color rgb="FFC0C0C0"/>
      </font>
      <fill>
        <patternFill>
          <bgColor rgb="FFC0C0C0"/>
        </patternFill>
      </fill>
    </dxf>
    <dxf>
      <font>
        <color theme="0"/>
      </font>
    </dxf>
    <dxf>
      <fill>
        <patternFill>
          <bgColor rgb="FF993366"/>
        </patternFill>
      </fill>
    </dxf>
    <dxf>
      <fill>
        <patternFill>
          <bgColor rgb="FFDA9694"/>
        </patternFill>
      </fill>
    </dxf>
    <dxf>
      <fill>
        <patternFill patternType="solid">
          <bgColor rgb="FF00B050"/>
        </patternFill>
      </fill>
    </dxf>
    <dxf>
      <font>
        <color rgb="FFC0C0C0"/>
      </font>
      <fill>
        <patternFill>
          <bgColor rgb="FFC0C0C0"/>
        </patternFill>
      </fill>
    </dxf>
    <dxf>
      <font>
        <b/>
        <i val="0"/>
        <color rgb="FFFF0000"/>
      </font>
      <fill>
        <patternFill patternType="none">
          <bgColor indexed="65"/>
        </patternFill>
      </fill>
    </dxf>
    <dxf>
      <font>
        <b/>
        <i val="0"/>
      </font>
    </dxf>
    <dxf>
      <font>
        <b/>
        <i val="0"/>
        <color rgb="FFFF0000"/>
      </font>
    </dxf>
    <dxf>
      <font>
        <b/>
        <i val="0"/>
        <color rgb="FFFF0000"/>
      </font>
      <fill>
        <patternFill patternType="none">
          <bgColor indexed="65"/>
        </patternFill>
      </fill>
    </dxf>
    <dxf>
      <font>
        <b/>
        <i val="0"/>
      </font>
    </dxf>
    <dxf>
      <font>
        <b/>
        <i val="0"/>
        <color rgb="FFFF0000"/>
      </font>
    </dxf>
    <dxf>
      <fill>
        <patternFill patternType="none">
          <bgColor auto="1"/>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patternType="none">
          <bgColor auto="1"/>
        </patternFill>
      </fill>
    </dxf>
    <dxf>
      <font>
        <color theme="0"/>
      </font>
    </dxf>
    <dxf>
      <fill>
        <patternFill>
          <bgColor rgb="FF993366"/>
        </patternFill>
      </fill>
    </dxf>
    <dxf>
      <fill>
        <patternFill>
          <bgColor rgb="FFDA9694"/>
        </patternFill>
      </fill>
    </dxf>
    <dxf>
      <fill>
        <patternFill patternType="solid">
          <bgColor rgb="FF00B050"/>
        </patternFill>
      </fill>
    </dxf>
    <dxf>
      <font>
        <color theme="0"/>
      </font>
    </dxf>
    <dxf>
      <fill>
        <patternFill>
          <bgColor rgb="FF993366"/>
        </patternFill>
      </fill>
    </dxf>
    <dxf>
      <fill>
        <patternFill>
          <bgColor rgb="FFDA9694"/>
        </patternFill>
      </fill>
    </dxf>
    <dxf>
      <fill>
        <patternFill patternType="solid">
          <bgColor rgb="FF00B050"/>
        </patternFill>
      </fill>
    </dxf>
    <dxf>
      <font>
        <b/>
        <i val="0"/>
        <color rgb="FFFF0000"/>
      </font>
      <fill>
        <patternFill patternType="none">
          <bgColor indexed="65"/>
        </patternFill>
      </fill>
    </dxf>
    <dxf>
      <font>
        <b/>
        <i val="0"/>
      </font>
    </dxf>
    <dxf>
      <font>
        <b/>
        <i val="0"/>
        <color rgb="FFFF0000"/>
      </font>
    </dxf>
    <dxf>
      <font>
        <color theme="0" tint="-4.9989318521683403E-2"/>
        <name val="Cambria"/>
        <scheme val="none"/>
      </font>
    </dxf>
    <dxf>
      <font>
        <b/>
        <i val="0"/>
      </font>
    </dxf>
    <dxf>
      <font>
        <b/>
        <i val="0"/>
      </font>
    </dxf>
    <dxf>
      <font>
        <b/>
        <i val="0"/>
      </font>
    </dxf>
    <dxf>
      <font>
        <b/>
        <i val="0"/>
      </font>
    </dxf>
    <dxf>
      <font>
        <b/>
        <i val="0"/>
      </font>
    </dxf>
    <dxf>
      <font>
        <b/>
        <i val="0"/>
      </font>
    </dxf>
    <dxf>
      <font>
        <b/>
        <i val="0"/>
      </font>
    </dxf>
    <dxf>
      <fill>
        <patternFill>
          <bgColor rgb="FF00CC99"/>
        </patternFill>
      </fill>
    </dxf>
    <dxf>
      <fill>
        <patternFill>
          <bgColor rgb="FFC00000"/>
        </patternFill>
      </fill>
    </dxf>
    <dxf>
      <font>
        <color theme="0"/>
      </font>
    </dxf>
    <dxf>
      <font>
        <color theme="0"/>
      </font>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bgColor rgb="FFFFFFCC"/>
        </patternFill>
      </fill>
    </dxf>
    <dxf>
      <font>
        <color theme="0"/>
      </font>
    </dxf>
    <dxf>
      <font>
        <condense val="0"/>
        <extend val="0"/>
        <color indexed="9"/>
      </font>
    </dxf>
    <dxf>
      <font>
        <b/>
        <i val="0"/>
        <condense val="0"/>
        <extend val="0"/>
        <color indexed="53"/>
      </font>
    </dxf>
    <dxf>
      <font>
        <b/>
        <i val="0"/>
        <condense val="0"/>
        <extend val="0"/>
        <color indexed="53"/>
      </font>
    </dxf>
    <dxf>
      <font>
        <color theme="5" tint="-0.24994659260841701"/>
      </font>
    </dxf>
    <dxf>
      <font>
        <color theme="0" tint="-0.499984740745262"/>
      </font>
    </dxf>
    <dxf>
      <font>
        <color theme="0" tint="-0.499984740745262"/>
      </font>
    </dxf>
    <dxf>
      <font>
        <color theme="0" tint="-0.499984740745262"/>
      </font>
    </dxf>
    <dxf>
      <font>
        <color theme="0" tint="-0.499984740745262"/>
      </font>
    </dxf>
    <dxf>
      <font>
        <color theme="5"/>
      </font>
    </dxf>
    <dxf>
      <font>
        <color theme="0" tint="-0.499984740745262"/>
      </font>
    </dxf>
    <dxf>
      <font>
        <color rgb="FFFF0000"/>
      </font>
      <fill>
        <patternFill>
          <bgColor theme="9" tint="0.79998168889431442"/>
        </patternFill>
      </fill>
    </dxf>
    <dxf>
      <font>
        <color theme="0" tint="-4.9989318521683403E-2"/>
      </font>
    </dxf>
    <dxf>
      <font>
        <color rgb="FFFF0000"/>
      </font>
      <fill>
        <patternFill>
          <bgColor theme="9" tint="0.79998168889431442"/>
        </patternFill>
      </fill>
    </dxf>
    <dxf>
      <font>
        <color theme="0" tint="-4.9989318521683403E-2"/>
      </font>
    </dxf>
    <dxf>
      <fill>
        <patternFill>
          <bgColor theme="5"/>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666699"/>
      </font>
    </dxf>
    <dxf>
      <font>
        <color theme="0"/>
      </font>
      <fill>
        <patternFill>
          <bgColor theme="5"/>
        </patternFill>
      </fill>
      <border>
        <left style="thin">
          <color theme="0"/>
        </left>
        <right style="thin">
          <color auto="1"/>
        </right>
        <top style="thin">
          <color theme="0"/>
        </top>
        <bottom style="thin">
          <color auto="1"/>
        </bottom>
      </border>
    </dxf>
    <dxf>
      <font>
        <color rgb="FF666699"/>
      </font>
    </dxf>
    <dxf>
      <font>
        <color theme="0"/>
      </font>
      <fill>
        <patternFill>
          <bgColor theme="5"/>
        </patternFill>
      </fill>
      <border>
        <left style="thin">
          <color theme="0"/>
        </left>
        <right style="thin">
          <color auto="1"/>
        </right>
        <top style="thin">
          <color theme="0"/>
        </top>
        <bottom style="thin">
          <color auto="1"/>
        </bottom>
      </border>
    </dxf>
    <dxf>
      <font>
        <b/>
        <i val="0"/>
        <condense val="0"/>
        <extend val="0"/>
        <color indexed="9"/>
      </font>
      <fill>
        <patternFill>
          <bgColor theme="5"/>
        </patternFill>
      </fill>
      <border>
        <left style="thin">
          <color indexed="64"/>
        </left>
        <right style="thin">
          <color theme="0"/>
        </right>
        <top style="thin">
          <color theme="0"/>
        </top>
        <bottom style="thin">
          <color indexed="64"/>
        </bottom>
      </border>
    </dxf>
    <dxf>
      <font>
        <b/>
        <i val="0"/>
        <condense val="0"/>
        <extend val="0"/>
        <color indexed="9"/>
      </font>
      <fill>
        <patternFill>
          <bgColor theme="5"/>
        </patternFill>
      </fill>
      <border>
        <left style="thin">
          <color indexed="64"/>
        </left>
        <right style="thin">
          <color theme="0"/>
        </right>
        <top style="thin">
          <color theme="0"/>
        </top>
        <bottom style="thin">
          <color indexed="64"/>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ill>
        <patternFill>
          <bgColor theme="5"/>
        </patternFill>
      </fill>
    </dxf>
    <dxf>
      <fill>
        <patternFill>
          <bgColor theme="5"/>
        </patternFill>
      </fill>
    </dxf>
    <dxf>
      <font>
        <b/>
        <i/>
        <condense val="0"/>
        <extend val="0"/>
        <color indexed="10"/>
      </font>
      <fill>
        <patternFill>
          <bgColor theme="9" tint="0.79998168889431442"/>
        </patternFill>
      </fill>
      <border>
        <left/>
        <right/>
        <top/>
        <bottom/>
      </border>
    </dxf>
    <dxf>
      <font>
        <b/>
        <i/>
        <condense val="0"/>
        <extend val="0"/>
        <color indexed="10"/>
      </font>
      <fill>
        <patternFill>
          <bgColor theme="9" tint="0.79998168889431442"/>
        </patternFill>
      </fill>
      <border>
        <left/>
        <right/>
        <top/>
        <bottom/>
      </border>
    </dxf>
    <dxf>
      <font>
        <color rgb="FFFFCC00"/>
        <name val="Cambria"/>
        <scheme val="none"/>
      </font>
    </dxf>
    <dxf>
      <font>
        <color rgb="FFFFCC00"/>
        <name val="Cambria"/>
        <scheme val="none"/>
      </font>
    </dxf>
    <dxf>
      <font>
        <color rgb="FFFFCC00"/>
        <name val="Cambria"/>
        <scheme val="none"/>
      </font>
    </dxf>
    <dxf>
      <font>
        <color rgb="FFFFCC00"/>
        <name val="Cambria"/>
        <scheme val="none"/>
      </font>
    </dxf>
    <dxf>
      <fill>
        <patternFill patternType="none">
          <bgColor auto="1"/>
        </patternFill>
      </fill>
    </dxf>
    <dxf>
      <fill>
        <patternFill>
          <bgColor rgb="FF993366"/>
        </patternFill>
      </fill>
    </dxf>
    <dxf>
      <fill>
        <patternFill>
          <bgColor rgb="FF993366"/>
        </patternFill>
      </fill>
    </dxf>
    <dxf>
      <fill>
        <patternFill patternType="none">
          <bgColor auto="1"/>
        </patternFill>
      </fill>
    </dxf>
    <dxf>
      <fill>
        <patternFill patternType="none">
          <bgColor auto="1"/>
        </patternFill>
      </fill>
    </dxf>
    <dxf>
      <fill>
        <patternFill patternType="none">
          <bgColor auto="1"/>
        </patternFill>
      </fill>
    </dxf>
    <dxf>
      <fill>
        <patternFill>
          <bgColor theme="5"/>
        </patternFill>
      </fill>
    </dxf>
    <dxf>
      <fill>
        <patternFill>
          <bgColor theme="5"/>
        </patternFill>
      </fill>
    </dxf>
    <dxf>
      <font>
        <b/>
        <i/>
        <condense val="0"/>
        <extend val="0"/>
        <color indexed="10"/>
      </font>
      <fill>
        <patternFill>
          <bgColor theme="9" tint="0.79998168889431442"/>
        </patternFill>
      </fill>
      <border>
        <left/>
        <right/>
        <top/>
        <bottom/>
      </border>
    </dxf>
    <dxf>
      <font>
        <b/>
        <i/>
        <condense val="0"/>
        <extend val="0"/>
        <color indexed="10"/>
      </font>
      <fill>
        <patternFill>
          <bgColor theme="9" tint="0.79998168889431442"/>
        </patternFill>
      </fill>
      <border>
        <left/>
        <right/>
        <top/>
        <bottom/>
      </border>
    </dxf>
    <dxf>
      <font>
        <color rgb="FFFFCC00"/>
        <name val="Cambria"/>
        <scheme val="none"/>
      </font>
    </dxf>
    <dxf>
      <font>
        <color rgb="FFFFCC00"/>
        <name val="Cambria"/>
        <scheme val="none"/>
      </font>
    </dxf>
    <dxf>
      <font>
        <color rgb="FFFFCC00"/>
        <name val="Cambria"/>
        <scheme val="none"/>
      </font>
    </dxf>
    <dxf>
      <font>
        <color rgb="FFFFCC00"/>
        <name val="Cambria"/>
        <scheme val="none"/>
      </font>
    </dxf>
    <dxf>
      <fill>
        <patternFill patternType="none">
          <bgColor auto="1"/>
        </patternFill>
      </fill>
    </dxf>
    <dxf>
      <fill>
        <patternFill>
          <bgColor rgb="FF993366"/>
        </patternFill>
      </fill>
    </dxf>
    <dxf>
      <fill>
        <patternFill>
          <bgColor rgb="FF993366"/>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ont>
        <b/>
        <i/>
        <condense val="0"/>
        <extend val="0"/>
        <color indexed="10"/>
      </font>
      <fill>
        <patternFill>
          <bgColor theme="9" tint="0.79998168889431442"/>
        </patternFill>
      </fill>
      <border>
        <left/>
        <right/>
        <top/>
        <bottom/>
      </border>
    </dxf>
    <dxf>
      <font>
        <b/>
        <i/>
        <condense val="0"/>
        <extend val="0"/>
        <color indexed="10"/>
      </font>
      <fill>
        <patternFill>
          <bgColor theme="9" tint="0.79998168889431442"/>
        </patternFill>
      </fill>
      <border>
        <left/>
        <right/>
        <top/>
        <bottom/>
      </border>
    </dxf>
    <dxf>
      <font>
        <color rgb="FF666699"/>
      </font>
    </dxf>
    <dxf>
      <font>
        <color theme="0"/>
      </font>
      <fill>
        <patternFill>
          <bgColor theme="5"/>
        </patternFill>
      </fill>
      <border>
        <left style="thin">
          <color theme="0"/>
        </left>
        <right style="thin">
          <color auto="1"/>
        </right>
        <top style="thin">
          <color theme="0"/>
        </top>
        <bottom style="thin">
          <color auto="1"/>
        </bottom>
      </border>
    </dxf>
    <dxf>
      <font>
        <b/>
        <i val="0"/>
        <condense val="0"/>
        <extend val="0"/>
        <color indexed="9"/>
      </font>
      <fill>
        <patternFill>
          <bgColor theme="5"/>
        </patternFill>
      </fill>
      <border>
        <left style="thin">
          <color indexed="64"/>
        </left>
        <right style="thin">
          <color theme="0"/>
        </right>
        <top style="thin">
          <color theme="0"/>
        </top>
        <bottom style="thin">
          <color indexed="64"/>
        </bottom>
      </border>
    </dxf>
    <dxf>
      <font>
        <color rgb="FFFFCC00"/>
        <name val="Cambria"/>
        <scheme val="none"/>
      </font>
    </dxf>
    <dxf>
      <font>
        <color rgb="FFFFCC00"/>
        <name val="Cambria"/>
        <scheme val="none"/>
      </font>
    </dxf>
    <dxf>
      <font>
        <color rgb="FFFFCC00"/>
        <name val="Cambria"/>
        <scheme val="none"/>
      </font>
    </dxf>
    <dxf>
      <font>
        <color rgb="FFFFCC00"/>
        <name val="Cambria"/>
        <scheme val="none"/>
      </font>
    </dxf>
    <dxf>
      <font>
        <color rgb="FFFFCC00"/>
        <name val="Cambria"/>
        <scheme val="none"/>
      </font>
    </dxf>
    <dxf>
      <fill>
        <patternFill patternType="none">
          <bgColor auto="1"/>
        </patternFill>
      </fill>
    </dxf>
    <dxf>
      <fill>
        <patternFill>
          <bgColor rgb="FF993366"/>
        </patternFill>
      </fill>
    </dxf>
    <dxf>
      <fill>
        <patternFill>
          <bgColor rgb="FF993366"/>
        </patternFill>
      </fill>
    </dxf>
    <dxf>
      <fill>
        <patternFill patternType="none">
          <bgColor auto="1"/>
        </patternFill>
      </fill>
    </dxf>
    <dxf>
      <fill>
        <patternFill patternType="none">
          <bgColor auto="1"/>
        </patternFill>
      </fill>
    </dxf>
    <dxf>
      <font>
        <color rgb="FFFF0000"/>
      </font>
      <fill>
        <patternFill>
          <bgColor theme="9" tint="0.79998168889431442"/>
        </patternFill>
      </fill>
    </dxf>
    <dxf>
      <font>
        <color theme="0" tint="-4.9989318521683403E-2"/>
      </font>
    </dxf>
    <dxf>
      <font>
        <color rgb="FFFF0000"/>
      </font>
      <fill>
        <patternFill>
          <bgColor theme="9" tint="0.79998168889431442"/>
        </patternFill>
      </fill>
    </dxf>
    <dxf>
      <fill>
        <patternFill patternType="none">
          <bgColor auto="1"/>
        </patternFill>
      </fill>
    </dxf>
    <dxf>
      <font>
        <b/>
        <i val="0"/>
        <color rgb="FFFF0000"/>
      </font>
    </dxf>
    <dxf>
      <font>
        <color rgb="FFFF0000"/>
      </font>
      <fill>
        <patternFill patternType="solid">
          <bgColor theme="9"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theme="8" tint="0.59996337778862885"/>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FFFFCC"/>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rgb="FFFF0000"/>
      </font>
      <fill>
        <patternFill patternType="solid">
          <bgColor theme="9"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theme="8" tint="0.59996337778862885"/>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FFFFCC"/>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i/>
        <condense val="0"/>
        <extend val="0"/>
        <color indexed="9"/>
      </font>
      <fill>
        <patternFill>
          <bgColor indexed="10"/>
        </patternFill>
      </fill>
    </dxf>
    <dxf>
      <font>
        <b/>
        <i/>
        <condense val="0"/>
        <extend val="0"/>
        <color indexed="9"/>
      </font>
      <fill>
        <patternFill>
          <bgColor rgb="FF993366"/>
        </patternFill>
      </fill>
    </dxf>
    <dxf>
      <font>
        <color rgb="FFFF0000"/>
      </font>
      <fill>
        <patternFill patternType="solid">
          <bgColor theme="9"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theme="8" tint="0.59996337778862885"/>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FFFFCC"/>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rgb="FFFF0000"/>
      </font>
      <fill>
        <patternFill>
          <bgColor theme="9" tint="0.79998168889431442"/>
        </patternFill>
      </fill>
    </dxf>
    <dxf>
      <font>
        <color rgb="FFFF0000"/>
      </font>
    </dxf>
    <dxf>
      <font>
        <color rgb="FF002060"/>
      </font>
      <fill>
        <patternFill>
          <bgColor theme="6" tint="0.59996337778862885"/>
        </patternFill>
      </fill>
    </dxf>
    <dxf>
      <font>
        <color rgb="FF002060"/>
      </font>
      <fill>
        <patternFill>
          <bgColor theme="6" tint="0.59996337778862885"/>
        </patternFill>
      </fill>
    </dxf>
    <dxf>
      <font>
        <color rgb="FF002060"/>
      </font>
      <fill>
        <patternFill>
          <bgColor theme="6" tint="0.59996337778862885"/>
        </patternFill>
      </fill>
    </dxf>
    <dxf>
      <fill>
        <patternFill>
          <bgColor theme="9" tint="0.79998168889431442"/>
        </patternFill>
      </fill>
      <border>
        <left/>
        <right/>
        <top style="thin">
          <color theme="9"/>
        </top>
        <bottom style="thin">
          <color theme="9"/>
        </bottom>
      </border>
    </dxf>
    <dxf>
      <fill>
        <patternFill>
          <bgColor theme="9" tint="0.79998168889431442"/>
        </patternFill>
      </fill>
      <border>
        <left/>
        <right/>
        <top style="thin">
          <color theme="9"/>
        </top>
        <bottom style="thin">
          <color theme="9"/>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FF0000"/>
      </font>
      <border>
        <left style="thin">
          <color rgb="FFFF0000"/>
        </left>
        <right style="thin">
          <color rgb="FFFF0000"/>
        </right>
        <top style="thin">
          <color rgb="FFFF0000"/>
        </top>
        <bottom style="thin">
          <color rgb="FFFF0000"/>
        </bottom>
      </border>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theme="0"/>
      </font>
    </dxf>
    <dxf>
      <font>
        <color rgb="FFFF0000"/>
      </font>
      <fill>
        <patternFill>
          <bgColor theme="9" tint="0.79998168889431442"/>
        </patternFill>
      </fill>
    </dxf>
    <dxf>
      <font>
        <color theme="0"/>
      </font>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theme="0"/>
      </font>
    </dxf>
    <dxf>
      <font>
        <color rgb="FFFF0000"/>
      </font>
      <fill>
        <patternFill>
          <bgColor theme="9" tint="0.79998168889431442"/>
        </patternFill>
      </fill>
    </dxf>
    <dxf>
      <font>
        <color theme="0"/>
      </font>
    </dxf>
    <dxf>
      <font>
        <color rgb="FFFF0000"/>
      </font>
      <fill>
        <patternFill>
          <bgColor theme="9" tint="0.79998168889431442"/>
        </patternFill>
      </fill>
    </dxf>
    <dxf>
      <font>
        <color theme="0"/>
      </font>
    </dxf>
    <dxf>
      <fill>
        <patternFill>
          <bgColor rgb="FF993366"/>
        </patternFill>
      </fill>
    </dxf>
    <dxf>
      <fill>
        <patternFill>
          <bgColor rgb="FF0070C0"/>
        </patternFill>
      </fill>
    </dxf>
    <dxf>
      <font>
        <color rgb="FFEBF9FF"/>
      </font>
    </dxf>
    <dxf>
      <font>
        <color rgb="FFEBF9FF"/>
      </font>
    </dxf>
    <dxf>
      <font>
        <color rgb="FFEBF9FF"/>
      </font>
    </dxf>
    <dxf>
      <font>
        <color rgb="FFFF0000"/>
      </font>
      <fill>
        <patternFill>
          <bgColor theme="9" tint="0.79998168889431442"/>
        </patternFill>
      </fill>
    </dxf>
    <dxf>
      <font>
        <b val="0"/>
        <i val="0"/>
        <color rgb="FF0000CC"/>
      </font>
    </dxf>
    <dxf>
      <font>
        <color rgb="FFFF0000"/>
      </font>
      <fill>
        <patternFill>
          <bgColor theme="9" tint="0.79998168889431442"/>
        </patternFill>
      </fill>
    </dxf>
    <dxf>
      <font>
        <b val="0"/>
        <i val="0"/>
        <color rgb="FF0000CC"/>
      </font>
    </dxf>
    <dxf>
      <font>
        <b/>
        <i val="0"/>
        <color theme="0"/>
      </font>
      <fill>
        <patternFill>
          <bgColor rgb="FF993366"/>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i val="0"/>
        <color theme="0"/>
      </font>
      <fill>
        <patternFill>
          <bgColor rgb="FF993366"/>
        </patternFill>
      </fill>
    </dxf>
    <dxf>
      <font>
        <b/>
        <i val="0"/>
        <color theme="0"/>
      </font>
      <fill>
        <patternFill>
          <bgColor rgb="FF993366"/>
        </patternFill>
      </fill>
    </dxf>
    <dxf>
      <fill>
        <patternFill>
          <bgColor rgb="FF993366"/>
        </patternFill>
      </fill>
    </dxf>
    <dxf>
      <fill>
        <patternFill>
          <bgColor rgb="FF993366"/>
        </patternFill>
      </fill>
    </dxf>
    <dxf>
      <fill>
        <patternFill>
          <bgColor rgb="FF0070C0"/>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i val="0"/>
        <color theme="0"/>
      </font>
      <fill>
        <patternFill>
          <bgColor rgb="FF993366"/>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ill>
        <patternFill>
          <bgColor rgb="FF993366"/>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ill>
        <patternFill>
          <bgColor rgb="FFFF0000"/>
        </patternFill>
      </fill>
    </dxf>
    <dxf>
      <fill>
        <patternFill>
          <bgColor rgb="FFFF0000"/>
        </patternFill>
      </fill>
    </dxf>
    <dxf>
      <font>
        <b/>
        <i val="0"/>
        <color rgb="FFFF0000"/>
      </font>
      <fill>
        <patternFill>
          <bgColor theme="9" tint="0.79998168889431442"/>
        </patternFill>
      </fill>
    </dxf>
    <dxf>
      <fill>
        <patternFill>
          <bgColor rgb="FF993366"/>
        </patternFill>
      </fill>
    </dxf>
    <dxf>
      <font>
        <b/>
        <i val="0"/>
        <color rgb="FFFF0000"/>
      </font>
      <fill>
        <patternFill>
          <bgColor theme="9" tint="0.79998168889431442"/>
        </patternFill>
      </fill>
    </dxf>
    <dxf>
      <fill>
        <patternFill>
          <bgColor rgb="FF00B050"/>
        </patternFill>
      </fill>
    </dxf>
    <dxf>
      <fill>
        <patternFill>
          <bgColor theme="5"/>
        </patternFill>
      </fill>
    </dxf>
    <dxf>
      <fill>
        <patternFill>
          <bgColor rgb="FF993366"/>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theme="8"/>
      </font>
    </dxf>
    <dxf>
      <fill>
        <patternFill>
          <bgColor rgb="FF993366"/>
        </patternFill>
      </fill>
    </dxf>
    <dxf>
      <fill>
        <patternFill>
          <bgColor rgb="FFFF0000"/>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i val="0"/>
        <color theme="0"/>
      </font>
      <fill>
        <patternFill>
          <bgColor rgb="FF993366"/>
        </patternFill>
      </fill>
    </dxf>
    <dxf>
      <font>
        <b/>
        <i val="0"/>
        <color theme="9" tint="-0.24994659260841701"/>
      </font>
      <fill>
        <patternFill>
          <bgColor theme="9" tint="0.79998168889431442"/>
        </patternFill>
      </fill>
    </dxf>
    <dxf>
      <font>
        <b/>
        <i val="0"/>
        <color theme="0"/>
      </font>
      <fill>
        <patternFill>
          <bgColor rgb="FF993366"/>
        </patternFill>
      </fill>
    </dxf>
    <dxf>
      <font>
        <b/>
        <i val="0"/>
        <color theme="9" tint="-0.24994659260841701"/>
      </font>
      <fill>
        <patternFill>
          <bgColor theme="9" tint="0.79998168889431442"/>
        </patternFill>
      </fill>
    </dxf>
    <dxf>
      <font>
        <b/>
        <i val="0"/>
        <color theme="0"/>
      </font>
      <fill>
        <patternFill>
          <bgColor rgb="FF993366"/>
        </patternFill>
      </fill>
    </dxf>
    <dxf>
      <font>
        <b/>
        <i val="0"/>
        <color theme="9" tint="-0.24994659260841701"/>
      </font>
      <fill>
        <patternFill>
          <bgColor theme="9" tint="0.79998168889431442"/>
        </patternFill>
      </fill>
    </dxf>
    <dxf>
      <font>
        <color theme="8"/>
      </font>
    </dxf>
    <dxf>
      <fill>
        <patternFill>
          <bgColor rgb="FF993366"/>
        </patternFill>
      </fill>
    </dxf>
    <dxf>
      <fill>
        <patternFill>
          <bgColor rgb="FFFF0000"/>
        </patternFill>
      </fill>
    </dxf>
    <dxf>
      <fill>
        <patternFill>
          <bgColor rgb="FFFF0000"/>
        </patternFill>
      </fill>
    </dxf>
    <dxf>
      <fill>
        <patternFill>
          <bgColor rgb="FF993366"/>
        </patternFill>
      </fill>
    </dxf>
    <dxf>
      <fill>
        <patternFill>
          <bgColor rgb="FFFF0000"/>
        </patternFill>
      </fill>
    </dxf>
    <dxf>
      <font>
        <b/>
        <i/>
        <condense val="0"/>
        <extend val="0"/>
        <color indexed="9"/>
      </font>
      <fill>
        <patternFill>
          <bgColor rgb="FF993366"/>
        </patternFill>
      </fill>
    </dxf>
    <dxf>
      <font>
        <b/>
        <i/>
        <color rgb="FF0000CC"/>
      </font>
      <fill>
        <patternFill patternType="none">
          <bgColor indexed="65"/>
        </patternFill>
      </fill>
    </dxf>
    <dxf>
      <font>
        <color rgb="FFFF0000"/>
      </font>
      <fill>
        <patternFill>
          <bgColor theme="9" tint="0.79998168889431442"/>
        </patternFill>
      </fill>
    </dxf>
    <dxf>
      <font>
        <b/>
        <i/>
        <condense val="0"/>
        <extend val="0"/>
        <color indexed="9"/>
      </font>
      <fill>
        <patternFill>
          <bgColor rgb="FF993366"/>
        </patternFill>
      </fill>
    </dxf>
    <dxf>
      <font>
        <b/>
        <i/>
        <color rgb="FF0000CC"/>
      </font>
      <fill>
        <patternFill patternType="none">
          <bgColor indexed="65"/>
        </patternFill>
      </fill>
    </dxf>
    <dxf>
      <font>
        <color rgb="FFFF0000"/>
      </font>
      <fill>
        <patternFill>
          <bgColor theme="9" tint="0.79998168889431442"/>
        </patternFill>
      </fill>
    </dxf>
    <dxf>
      <font>
        <b/>
        <i/>
        <condense val="0"/>
        <extend val="0"/>
        <color indexed="9"/>
      </font>
      <fill>
        <patternFill>
          <bgColor rgb="FF993366"/>
        </patternFill>
      </fill>
    </dxf>
    <dxf>
      <font>
        <b/>
        <i/>
        <color rgb="FF0000CC"/>
      </font>
      <fill>
        <patternFill patternType="none">
          <bgColor indexed="65"/>
        </patternFill>
      </fill>
    </dxf>
    <dxf>
      <font>
        <color rgb="FFFF0000"/>
      </font>
      <fill>
        <patternFill>
          <bgColor theme="9" tint="0.79998168889431442"/>
        </patternFill>
      </fill>
    </dxf>
    <dxf>
      <fill>
        <patternFill>
          <bgColor theme="5"/>
        </patternFill>
      </fill>
    </dxf>
    <dxf>
      <font>
        <color rgb="FFFF0000"/>
      </font>
    </dxf>
    <dxf>
      <font>
        <color theme="0" tint="-4.9989318521683403E-2"/>
      </font>
    </dxf>
    <dxf>
      <fill>
        <patternFill>
          <bgColor theme="5"/>
        </patternFill>
      </fill>
    </dxf>
    <dxf>
      <fill>
        <patternFill>
          <bgColor theme="5"/>
        </patternFill>
      </fill>
    </dxf>
    <dxf>
      <fill>
        <patternFill>
          <bgColor theme="5"/>
        </patternFill>
      </fill>
    </dxf>
    <dxf>
      <font>
        <color rgb="FFFF0000"/>
      </font>
    </dxf>
    <dxf>
      <font>
        <color rgb="FFFF0000"/>
      </font>
    </dxf>
    <dxf>
      <font>
        <color rgb="FFFF0000"/>
      </font>
    </dxf>
    <dxf>
      <font>
        <condense val="0"/>
        <extend val="0"/>
        <color indexed="32"/>
      </font>
      <fill>
        <patternFill>
          <bgColor theme="6" tint="0.59996337778862885"/>
        </patternFill>
      </fill>
    </dxf>
    <dxf>
      <font>
        <condense val="0"/>
        <extend val="0"/>
        <color indexed="10"/>
      </font>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rgb="FFFF0000"/>
      </font>
      <border>
        <left style="thin">
          <color rgb="FFFF0000"/>
        </left>
        <right style="thin">
          <color rgb="FFFF0000"/>
        </right>
        <top style="thin">
          <color rgb="FFFF0000"/>
        </top>
        <bottom style="thin">
          <color rgb="FFFF0000"/>
        </bottom>
      </border>
    </dxf>
    <dxf>
      <font>
        <color rgb="FFFF0000"/>
      </font>
      <fill>
        <patternFill>
          <bgColor theme="9" tint="0.79998168889431442"/>
        </patternFill>
      </fill>
    </dxf>
    <dxf>
      <font>
        <b val="0"/>
        <i val="0"/>
        <color rgb="FF0000CC"/>
      </font>
    </dxf>
    <dxf>
      <font>
        <color theme="0"/>
      </font>
    </dxf>
    <dxf>
      <font>
        <color theme="0"/>
      </font>
    </dxf>
    <dxf>
      <font>
        <color theme="0"/>
      </font>
    </dxf>
    <dxf>
      <font>
        <b/>
        <i val="0"/>
        <color theme="0"/>
      </font>
      <fill>
        <patternFill>
          <bgColor rgb="FF993366"/>
        </patternFill>
      </fill>
      <border>
        <left style="thin">
          <color auto="1"/>
        </left>
        <right style="thin">
          <color auto="1"/>
        </right>
        <top style="thin">
          <color auto="1"/>
        </top>
        <bottom style="thin">
          <color auto="1"/>
        </bottom>
      </border>
    </dxf>
    <dxf>
      <font>
        <color rgb="FFFF0000"/>
      </font>
      <fill>
        <patternFill>
          <bgColor theme="9" tint="0.79998168889431442"/>
        </patternFill>
      </fill>
    </dxf>
    <dxf>
      <font>
        <color theme="0" tint="-4.9989318521683403E-2"/>
      </font>
    </dxf>
    <dxf>
      <fill>
        <patternFill>
          <bgColor rgb="FFFFFFCC"/>
        </patternFill>
      </fill>
    </dxf>
    <dxf>
      <font>
        <color theme="0"/>
      </font>
    </dxf>
    <dxf>
      <font>
        <color rgb="FFC00000"/>
      </font>
      <fill>
        <patternFill>
          <bgColor theme="9" tint="0.79998168889431442"/>
        </patternFill>
      </fill>
    </dxf>
    <dxf>
      <font>
        <color rgb="FFEAEAEA"/>
      </font>
    </dxf>
    <dxf>
      <font>
        <color rgb="FFEAEAEA"/>
      </font>
    </dxf>
    <dxf>
      <font>
        <color rgb="FFC00000"/>
      </font>
      <fill>
        <patternFill>
          <bgColor theme="9" tint="0.79998168889431442"/>
        </patternFill>
      </fill>
    </dxf>
    <dxf>
      <font>
        <color theme="0"/>
      </font>
    </dxf>
    <dxf>
      <font>
        <color rgb="FFC00000"/>
      </font>
      <fill>
        <patternFill>
          <bgColor theme="9" tint="0.79998168889431442"/>
        </patternFill>
      </fill>
    </dxf>
    <dxf>
      <font>
        <color theme="0"/>
      </font>
      <fill>
        <patternFill>
          <bgColor rgb="FFFF0000"/>
        </patternFill>
      </fill>
    </dxf>
    <dxf>
      <font>
        <color theme="0"/>
      </font>
      <fill>
        <patternFill>
          <bgColor rgb="FFFF0000"/>
        </patternFill>
      </fill>
    </dxf>
    <dxf>
      <font>
        <color rgb="FFEAEAEA"/>
      </font>
    </dxf>
    <dxf>
      <font>
        <color rgb="FFEAEAEA"/>
      </font>
    </dxf>
    <dxf>
      <font>
        <color theme="0"/>
      </font>
    </dxf>
    <dxf>
      <font>
        <color theme="9" tint="0.79998168889431442"/>
      </font>
    </dxf>
    <dxf>
      <font>
        <color theme="9" tint="0.79998168889431442"/>
      </font>
    </dxf>
    <dxf>
      <font>
        <color rgb="FFEAEAEA"/>
      </font>
    </dxf>
    <dxf>
      <font>
        <color theme="0" tint="-4.9989318521683403E-2"/>
      </font>
    </dxf>
    <dxf>
      <font>
        <color theme="0" tint="-4.9989318521683403E-2"/>
      </font>
    </dxf>
    <dxf>
      <font>
        <color theme="0" tint="-4.9989318521683403E-2"/>
      </font>
    </dxf>
    <dxf>
      <font>
        <color theme="0"/>
      </font>
    </dxf>
    <dxf>
      <font>
        <color theme="0"/>
      </font>
      <fill>
        <patternFill>
          <bgColor rgb="FFFF0000"/>
        </patternFill>
      </fill>
    </dxf>
    <dxf>
      <font>
        <color theme="0"/>
      </font>
      <fill>
        <patternFill>
          <bgColor rgb="FFFF0000"/>
        </patternFill>
      </fill>
    </dxf>
    <dxf>
      <font>
        <color rgb="FFC00000"/>
      </font>
      <fill>
        <patternFill>
          <bgColor theme="9" tint="0.79998168889431442"/>
        </patternFill>
      </fill>
    </dxf>
    <dxf>
      <font>
        <color theme="7" tint="0.79998168889431442"/>
      </font>
    </dxf>
    <dxf>
      <font>
        <color rgb="FFDAEEF3"/>
      </font>
    </dxf>
    <dxf>
      <font>
        <b/>
        <i val="0"/>
        <condense val="0"/>
        <extend val="0"/>
        <color indexed="9"/>
      </font>
      <fill>
        <patternFill>
          <bgColor indexed="10"/>
        </patternFill>
      </fill>
      <border>
        <right style="thin">
          <color indexed="9"/>
        </right>
      </border>
    </dxf>
    <dxf>
      <font>
        <color theme="0"/>
      </font>
    </dxf>
    <dxf>
      <font>
        <color theme="0"/>
      </font>
    </dxf>
    <dxf>
      <font>
        <color theme="7" tint="0.79998168889431442"/>
      </font>
    </dxf>
    <dxf>
      <font>
        <color rgb="FFDAEEF3"/>
      </font>
    </dxf>
    <dxf>
      <font>
        <b/>
        <i val="0"/>
        <condense val="0"/>
        <extend val="0"/>
        <color indexed="9"/>
      </font>
      <fill>
        <patternFill>
          <bgColor indexed="10"/>
        </patternFill>
      </fill>
      <border>
        <right style="thin">
          <color indexed="9"/>
        </right>
      </border>
    </dxf>
    <dxf>
      <font>
        <color theme="0"/>
      </font>
    </dxf>
    <dxf>
      <font>
        <color theme="0"/>
      </font>
    </dxf>
    <dxf>
      <font>
        <color theme="0"/>
      </font>
    </dxf>
    <dxf>
      <font>
        <color theme="0"/>
      </font>
    </dxf>
    <dxf>
      <font>
        <color theme="0"/>
      </font>
    </dxf>
    <dxf>
      <font>
        <color theme="0"/>
      </font>
    </dxf>
    <dxf>
      <font>
        <color rgb="FFDAEEF3"/>
      </font>
    </dxf>
    <dxf>
      <font>
        <color theme="0"/>
      </font>
    </dxf>
    <dxf>
      <fill>
        <patternFill>
          <bgColor theme="0" tint="-4.9989318521683403E-2"/>
        </patternFill>
      </fill>
      <border>
        <left style="thin">
          <color theme="0" tint="-0.24994659260841701"/>
        </left>
        <right style="thin">
          <color theme="0" tint="-0.499984740745262"/>
        </right>
        <top style="thin">
          <color theme="0" tint="-0.499984740745262"/>
        </top>
        <bottom style="thin">
          <color theme="0" tint="-0.499984740745262"/>
        </bottom>
        <vertical/>
        <horizontal/>
      </border>
    </dxf>
    <dxf>
      <fill>
        <patternFill>
          <bgColor theme="0" tint="-4.9989318521683403E-2"/>
        </patternFill>
      </fill>
      <border>
        <left style="thin">
          <color theme="0" tint="-0.24994659260841701"/>
        </left>
        <right style="thin">
          <color theme="0" tint="-0.499984740745262"/>
        </right>
        <top style="thin">
          <color theme="0" tint="-0.499984740745262"/>
        </top>
        <bottom style="thin">
          <color theme="0" tint="-0.499984740745262"/>
        </bottom>
        <vertical/>
        <horizontal/>
      </border>
    </dxf>
    <dxf>
      <font>
        <color rgb="FF0066CC"/>
      </font>
      <border>
        <left style="thin">
          <color theme="0" tint="-0.34998626667073579"/>
        </left>
        <right style="thin">
          <color theme="0" tint="-0.499984740745262"/>
        </right>
        <top style="thin">
          <color theme="0" tint="-0.499984740745262"/>
        </top>
        <bottom style="thin">
          <color theme="0" tint="-0.499984740745262"/>
        </bottom>
      </border>
    </dxf>
    <dxf>
      <font>
        <color rgb="FF0066CC"/>
      </font>
      <border>
        <left style="thin">
          <color theme="0" tint="-0.34998626667073579"/>
        </left>
        <right style="thin">
          <color theme="0" tint="-0.34998626667073579"/>
        </right>
        <top style="thin">
          <color theme="0" tint="-0.499984740745262"/>
        </top>
        <bottom style="thin">
          <color theme="0" tint="-0.499984740745262"/>
        </bottom>
      </border>
    </dxf>
    <dxf>
      <font>
        <color rgb="FF0066CC"/>
      </font>
      <border>
        <left style="thin">
          <color theme="0" tint="-0.499984740745262"/>
        </left>
        <right style="thin">
          <color theme="0" tint="-0.499984740745262"/>
        </right>
        <top style="thin">
          <color theme="0" tint="-0.499984740745262"/>
        </top>
        <bottom style="thin">
          <color theme="0" tint="-0.499984740745262"/>
        </bottom>
      </border>
    </dxf>
    <dxf>
      <font>
        <color rgb="FF0066CC"/>
      </font>
      <border>
        <left style="thin">
          <color theme="0" tint="-0.34998626667073579"/>
        </left>
        <right style="thin">
          <color theme="0" tint="-0.499984740745262"/>
        </right>
        <top style="thin">
          <color theme="0" tint="-0.499984740745262"/>
        </top>
        <bottom style="thin">
          <color theme="0" tint="-0.499984740745262"/>
        </bottom>
      </border>
    </dxf>
    <dxf>
      <font>
        <color rgb="FF0066CC"/>
      </font>
      <border>
        <left style="thin">
          <color theme="0" tint="-0.34998626667073579"/>
        </left>
        <right style="thin">
          <color theme="0" tint="-0.34998626667073579"/>
        </right>
        <top style="thin">
          <color theme="0" tint="-0.499984740745262"/>
        </top>
        <bottom style="thin">
          <color theme="0" tint="-0.499984740745262"/>
        </bottom>
      </border>
    </dxf>
    <dxf>
      <font>
        <color rgb="FF0066CC"/>
      </font>
      <border>
        <left style="thin">
          <color theme="0" tint="-0.499984740745262"/>
        </left>
        <right style="thin">
          <color theme="0" tint="-0.499984740745262"/>
        </right>
        <top style="thin">
          <color theme="0" tint="-0.499984740745262"/>
        </top>
        <bottom style="thin">
          <color theme="0" tint="-0.499984740745262"/>
        </bottom>
      </border>
    </dxf>
    <dxf>
      <font>
        <color rgb="FF0066CC"/>
      </font>
      <border>
        <left style="thin">
          <color theme="0" tint="-0.34998626667073579"/>
        </left>
        <right style="thin">
          <color theme="0" tint="-0.34998626667073579"/>
        </right>
        <top style="thin">
          <color theme="0" tint="-0.499984740745262"/>
        </top>
        <bottom style="thin">
          <color theme="0" tint="-0.499984740745262"/>
        </bottom>
      </border>
    </dxf>
    <dxf>
      <font>
        <color theme="0"/>
      </font>
    </dxf>
    <dxf>
      <font>
        <b/>
        <i val="0"/>
        <condense val="0"/>
        <extend val="0"/>
        <color indexed="53"/>
      </font>
    </dxf>
    <dxf>
      <font>
        <color theme="0"/>
      </font>
    </dxf>
    <dxf>
      <font>
        <b/>
        <i val="0"/>
        <condense val="0"/>
        <extend val="0"/>
        <color indexed="53"/>
      </font>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theme="0"/>
      </font>
      <fill>
        <patternFill>
          <bgColor rgb="FFFF0000"/>
        </patternFill>
      </fill>
      <border>
        <left style="thin">
          <color theme="0" tint="-0.499984740745262"/>
        </left>
        <right style="thin">
          <color theme="0"/>
        </right>
        <top/>
        <bottom style="thin">
          <color theme="0" tint="-0.499984740745262"/>
        </bottom>
        <vertical/>
        <horizontal/>
      </border>
    </dxf>
    <dxf>
      <font>
        <b/>
        <i/>
        <color indexed="9"/>
      </font>
      <fill>
        <patternFill>
          <bgColor indexed="10"/>
        </patternFill>
      </fill>
      <border>
        <left style="thin">
          <color theme="0" tint="-0.499984740745262"/>
        </left>
        <right style="thin">
          <color theme="0"/>
        </right>
        <top style="thin">
          <color theme="0" tint="-0.34998626667073579"/>
        </top>
        <bottom/>
      </border>
    </dxf>
    <dxf>
      <font>
        <color theme="0"/>
      </font>
      <fill>
        <patternFill>
          <bgColor rgb="FFFF0000"/>
        </patternFill>
      </fill>
      <border>
        <left style="thin">
          <color theme="0"/>
        </left>
        <right style="thin">
          <color theme="0"/>
        </right>
        <top/>
        <bottom style="thin">
          <color theme="0" tint="-0.499984740745262"/>
        </bottom>
        <vertical/>
        <horizontal/>
      </border>
    </dxf>
    <dxf>
      <font>
        <color theme="0"/>
      </font>
      <fill>
        <patternFill patternType="solid">
          <bgColor rgb="FFFF0000"/>
        </patternFill>
      </fill>
      <border>
        <left style="thin">
          <color theme="0"/>
        </left>
        <right style="thin">
          <color theme="0" tint="-0.499984740745262"/>
        </right>
        <top/>
        <bottom style="thin">
          <color theme="0" tint="-0.499984740745262"/>
        </bottom>
      </border>
    </dxf>
    <dxf>
      <font>
        <color rgb="FF0066CC"/>
      </font>
      <border>
        <left style="thin">
          <color theme="0" tint="-0.499984740745262"/>
        </left>
        <right style="thin">
          <color theme="0" tint="-0.499984740745262"/>
        </right>
        <top style="thin">
          <color theme="0" tint="-0.499984740745262"/>
        </top>
        <bottom style="thin">
          <color theme="0" tint="-0.499984740745262"/>
        </bottom>
      </border>
    </dxf>
    <dxf>
      <fill>
        <patternFill patternType="solid">
          <bgColor theme="9" tint="0.79998168889431442"/>
        </patternFill>
      </fill>
      <border>
        <left style="thin">
          <color rgb="FFFF0000"/>
        </left>
        <right style="thin">
          <color rgb="FFFF0000"/>
        </right>
        <top style="thin">
          <color rgb="FFFF0000"/>
        </top>
        <bottom style="thin">
          <color rgb="FFFF0000"/>
        </bottom>
      </border>
    </dxf>
    <dxf>
      <font>
        <color theme="0"/>
      </font>
    </dxf>
    <dxf>
      <font>
        <b/>
        <i/>
        <condense val="0"/>
        <extend val="0"/>
        <color indexed="10"/>
      </font>
      <fill>
        <patternFill>
          <bgColor theme="9" tint="0.79998168889431442"/>
        </patternFill>
      </fill>
      <border>
        <left/>
        <right/>
        <top/>
        <bottom/>
      </border>
    </dxf>
    <dxf>
      <fill>
        <patternFill patternType="none">
          <bgColor auto="1"/>
        </patternFill>
      </fill>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9"/>
      </font>
      <fill>
        <patternFill>
          <bgColor indexed="16"/>
        </patternFill>
      </fill>
      <border>
        <left style="thin">
          <color theme="0"/>
        </left>
      </border>
    </dxf>
    <dxf>
      <font>
        <b/>
        <i/>
        <condense val="0"/>
        <extend val="0"/>
        <color indexed="9"/>
      </font>
      <fill>
        <patternFill patternType="solid">
          <bgColor indexed="24"/>
        </patternFill>
      </fill>
      <border>
        <left/>
        <right/>
        <top/>
        <bottom/>
      </border>
    </dxf>
    <dxf>
      <font>
        <b/>
        <i/>
        <condense val="0"/>
        <extend val="0"/>
        <color indexed="9"/>
      </font>
      <fill>
        <patternFill>
          <bgColor indexed="16"/>
        </patternFill>
      </fill>
      <border>
        <left style="thin">
          <color theme="0"/>
        </left>
        <right style="thin">
          <color theme="0"/>
        </right>
      </border>
    </dxf>
    <dxf>
      <font>
        <b/>
        <i/>
        <condense val="0"/>
        <extend val="0"/>
        <color indexed="9"/>
      </font>
      <fill>
        <patternFill patternType="solid">
          <bgColor indexed="24"/>
        </patternFill>
      </fill>
      <border>
        <left style="thin">
          <color theme="0"/>
        </left>
        <right style="thin">
          <color theme="0"/>
        </right>
        <top/>
        <bottom/>
      </border>
    </dxf>
    <dxf>
      <font>
        <color theme="8"/>
      </font>
    </dxf>
    <dxf>
      <font>
        <color theme="7" tint="0.79998168889431442"/>
      </font>
    </dxf>
    <dxf>
      <font>
        <color theme="8" tint="0.79998168889431442"/>
      </font>
    </dxf>
    <dxf>
      <font>
        <color theme="0"/>
      </font>
    </dxf>
    <dxf>
      <font>
        <color theme="0"/>
      </font>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theme="0"/>
      </font>
    </dxf>
    <dxf>
      <fill>
        <patternFill>
          <bgColor theme="5"/>
        </patternFill>
      </fill>
    </dxf>
    <dxf>
      <fill>
        <patternFill>
          <bgColor theme="5"/>
        </patternFill>
      </fill>
    </dxf>
    <dxf>
      <font>
        <b/>
        <i val="0"/>
        <condense val="0"/>
        <extend val="0"/>
        <color indexed="9"/>
      </font>
      <fill>
        <patternFill>
          <bgColor theme="5"/>
        </patternFill>
      </fill>
      <border>
        <left style="thin">
          <color theme="0"/>
        </left>
        <right style="thin">
          <color theme="0" tint="-0.499984740745262"/>
        </right>
        <top style="thin">
          <color theme="0" tint="-0.499984740745262"/>
        </top>
        <bottom style="thin">
          <color theme="0" tint="-0.499984740745262"/>
        </bottom>
      </border>
    </dxf>
    <dxf>
      <font>
        <b/>
        <i val="0"/>
        <condense val="0"/>
        <extend val="0"/>
        <color indexed="9"/>
      </font>
      <fill>
        <patternFill>
          <bgColor theme="5"/>
        </patternFill>
      </fill>
      <border>
        <left style="thin">
          <color theme="0"/>
        </left>
        <right style="thin">
          <color theme="0"/>
        </right>
        <top style="thin">
          <color theme="0" tint="-0.499984740745262"/>
        </top>
        <bottom style="thin">
          <color theme="0" tint="-0.499984740745262"/>
        </bottom>
      </border>
    </dxf>
    <dxf>
      <fill>
        <patternFill>
          <bgColor theme="0" tint="-4.9989318521683403E-2"/>
        </patternFill>
      </fill>
      <border>
        <left style="thin">
          <color theme="0" tint="-0.24994659260841701"/>
        </left>
        <right style="thin">
          <color theme="0" tint="-0.499984740745262"/>
        </right>
        <top style="thin">
          <color theme="0" tint="-0.499984740745262"/>
        </top>
        <bottom style="thin">
          <color theme="0" tint="-0.499984740745262"/>
        </bottom>
        <vertical/>
        <horizontal/>
      </border>
    </dxf>
    <dxf>
      <font>
        <b/>
        <i/>
        <color indexed="9"/>
      </font>
      <fill>
        <patternFill>
          <bgColor indexed="10"/>
        </patternFill>
      </fill>
      <border>
        <left style="thin">
          <color theme="0"/>
        </left>
        <right style="thin">
          <color theme="0" tint="-0.499984740745262"/>
        </right>
        <top style="thin">
          <color theme="0" tint="-0.34998626667073579"/>
        </top>
        <bottom/>
      </border>
    </dxf>
    <dxf>
      <font>
        <b/>
        <i/>
        <color indexed="9"/>
      </font>
      <fill>
        <patternFill>
          <bgColor indexed="10"/>
        </patternFill>
      </fill>
      <border>
        <left style="thin">
          <color theme="0"/>
        </left>
        <right style="thin">
          <color theme="0"/>
        </right>
        <top style="thin">
          <color theme="0" tint="-0.34998626667073579"/>
        </top>
        <bottom/>
      </border>
    </dxf>
    <dxf>
      <font>
        <color rgb="FF0066CC"/>
      </font>
      <border>
        <left style="thin">
          <color theme="0" tint="-0.499984740745262"/>
        </left>
        <right style="thin">
          <color theme="0" tint="-0.24994659260841701"/>
        </right>
        <top style="thin">
          <color theme="0" tint="-0.499984740745262"/>
        </top>
        <bottom style="thin">
          <color theme="0" tint="-0.499984740745262"/>
        </bottom>
      </border>
    </dxf>
    <dxf>
      <font>
        <b/>
        <i val="0"/>
        <condense val="0"/>
        <extend val="0"/>
        <color indexed="9"/>
      </font>
      <fill>
        <patternFill>
          <bgColor theme="5"/>
        </patternFill>
      </fill>
      <border>
        <left style="thin">
          <color theme="0" tint="-0.499984740745262"/>
        </left>
        <right style="thin">
          <color theme="0"/>
        </right>
        <top style="thin">
          <color theme="0" tint="-0.499984740745262"/>
        </top>
        <bottom style="thin">
          <color theme="0" tint="-0.499984740745262"/>
        </bottom>
      </border>
    </dxf>
    <dxf>
      <font>
        <b/>
        <i/>
        <condense val="0"/>
        <extend val="0"/>
        <color indexed="9"/>
      </font>
      <fill>
        <patternFill>
          <bgColor indexed="16"/>
        </patternFill>
      </fill>
    </dxf>
    <dxf>
      <font>
        <b/>
        <i/>
        <condense val="0"/>
        <extend val="0"/>
        <color indexed="9"/>
      </font>
      <fill>
        <patternFill patternType="solid">
          <bgColor indexed="24"/>
        </patternFill>
      </fill>
      <border>
        <left/>
        <right/>
        <top/>
        <bottom/>
      </border>
    </dxf>
    <dxf>
      <fill>
        <patternFill>
          <bgColor rgb="FFFF0000"/>
        </patternFill>
      </fill>
    </dxf>
    <dxf>
      <fill>
        <patternFill>
          <bgColor rgb="FF9999FF"/>
        </patternFill>
      </fill>
    </dxf>
    <dxf>
      <fill>
        <patternFill patternType="none">
          <bgColor auto="1"/>
        </patternFill>
      </fill>
    </dxf>
    <dxf>
      <font>
        <b/>
        <i val="0"/>
        <condense val="0"/>
        <extend val="0"/>
        <color indexed="9"/>
      </font>
      <fill>
        <patternFill>
          <bgColor indexed="10"/>
        </patternFill>
      </fill>
      <border>
        <right style="thin">
          <color indexed="9"/>
        </right>
      </border>
    </dxf>
    <dxf>
      <font>
        <b/>
        <i val="0"/>
        <color theme="0"/>
      </font>
      <fill>
        <patternFill>
          <bgColor rgb="FFFF0000"/>
        </patternFill>
      </fill>
    </dxf>
    <dxf>
      <fill>
        <patternFill>
          <bgColor rgb="FFFF0000"/>
        </patternFill>
      </fill>
    </dxf>
    <dxf>
      <fill>
        <patternFill>
          <bgColor rgb="FFFF0000"/>
        </patternFill>
      </fill>
    </dxf>
    <dxf>
      <font>
        <color theme="8" tint="0.79998168889431442"/>
      </font>
    </dxf>
    <dxf>
      <font>
        <b/>
        <i/>
        <condense val="0"/>
        <extend val="0"/>
        <color indexed="60"/>
      </font>
    </dxf>
    <dxf>
      <font>
        <b/>
        <i/>
        <condense val="0"/>
        <extend val="0"/>
        <color indexed="12"/>
      </font>
      <fill>
        <patternFill patternType="none">
          <bgColor indexed="65"/>
        </patternFill>
      </fill>
      <border>
        <left/>
        <right/>
        <top/>
        <bottom/>
      </border>
    </dxf>
    <dxf>
      <font>
        <color indexed="60"/>
      </font>
      <fill>
        <patternFill patternType="none">
          <bgColor indexed="65"/>
        </patternFill>
      </fill>
    </dxf>
    <dxf>
      <font>
        <color rgb="FFEBF9FF"/>
      </font>
    </dxf>
    <dxf>
      <font>
        <b/>
        <i/>
        <condense val="0"/>
        <extend val="0"/>
        <color indexed="9"/>
      </font>
      <fill>
        <patternFill>
          <bgColor indexed="10"/>
        </patternFill>
      </fill>
      <border>
        <left style="thin">
          <color theme="4" tint="0.39994506668294322"/>
        </left>
      </border>
    </dxf>
    <dxf>
      <font>
        <b/>
        <i val="0"/>
        <condense val="0"/>
        <extend val="0"/>
        <color indexed="10"/>
      </font>
      <fill>
        <patternFill>
          <bgColor indexed="42"/>
        </patternFill>
      </fill>
    </dxf>
    <dxf>
      <font>
        <b/>
        <i val="0"/>
        <condense val="0"/>
        <extend val="0"/>
        <color indexed="53"/>
      </font>
    </dxf>
    <dxf>
      <font>
        <b/>
        <i val="0"/>
        <condense val="0"/>
        <extend val="0"/>
        <color indexed="53"/>
      </font>
    </dxf>
    <dxf>
      <font>
        <b/>
        <i/>
        <condense val="0"/>
        <extend val="0"/>
        <color indexed="60"/>
      </font>
    </dxf>
    <dxf>
      <font>
        <b/>
        <i/>
        <condense val="0"/>
        <extend val="0"/>
        <color indexed="12"/>
      </font>
      <fill>
        <patternFill patternType="none">
          <bgColor indexed="65"/>
        </patternFill>
      </fill>
      <border>
        <left/>
        <right/>
        <top/>
        <bottom/>
      </border>
    </dxf>
    <dxf>
      <fill>
        <patternFill>
          <bgColor theme="9" tint="0.79998168889431442"/>
        </patternFill>
      </fill>
    </dxf>
    <dxf>
      <fill>
        <patternFill>
          <bgColor theme="9" tint="0.79998168889431442"/>
        </patternFill>
      </fill>
    </dxf>
    <dxf>
      <fill>
        <patternFill patternType="none">
          <bgColor auto="1"/>
        </patternFill>
      </fill>
    </dxf>
    <dxf>
      <fill>
        <patternFill patternType="none">
          <bgColor auto="1"/>
        </patternFill>
      </fill>
    </dxf>
    <dxf>
      <font>
        <color theme="0" tint="-4.9989318521683403E-2"/>
      </font>
    </dxf>
    <dxf>
      <font>
        <color theme="0" tint="-4.9989318521683403E-2"/>
      </font>
    </dxf>
    <dxf>
      <font>
        <color theme="0" tint="-4.9989318521683403E-2"/>
      </font>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ont>
        <color theme="0" tint="-4.9989318521683403E-2"/>
      </font>
    </dxf>
    <dxf>
      <font>
        <color theme="2"/>
      </font>
    </dxf>
    <dxf>
      <fill>
        <patternFill>
          <bgColor rgb="FFFF0000"/>
        </patternFill>
      </fill>
      <border>
        <top/>
      </border>
    </dxf>
    <dxf>
      <fill>
        <patternFill>
          <bgColor rgb="FFFF0000"/>
        </patternFill>
      </fill>
      <border>
        <top/>
      </border>
    </dxf>
    <dxf>
      <fill>
        <patternFill>
          <bgColor rgb="FFFF0000"/>
        </patternFill>
      </fill>
      <border>
        <top/>
      </border>
    </dxf>
    <dxf>
      <fill>
        <patternFill>
          <bgColor rgb="FFFF0000"/>
        </patternFill>
      </fill>
      <border>
        <top/>
      </border>
    </dxf>
    <dxf>
      <fill>
        <patternFill>
          <bgColor rgb="FFFF0000"/>
        </patternFill>
      </fill>
      <border>
        <top/>
      </border>
    </dxf>
    <dxf>
      <fill>
        <patternFill>
          <bgColor rgb="FFFF0000"/>
        </patternFill>
      </fill>
      <border>
        <top/>
      </border>
    </dxf>
    <dxf>
      <fill>
        <patternFill>
          <bgColor rgb="FFFF0000"/>
        </patternFill>
      </fill>
      <border>
        <top style="thin">
          <color theme="0"/>
        </top>
      </border>
    </dxf>
    <dxf>
      <fill>
        <patternFill>
          <bgColor rgb="FFFF0000"/>
        </patternFill>
      </fill>
      <border>
        <top style="thin">
          <color theme="0"/>
        </top>
      </border>
    </dxf>
    <dxf>
      <fill>
        <patternFill>
          <bgColor rgb="FFFF0000"/>
        </patternFill>
      </fill>
      <border>
        <top style="thin">
          <color theme="0"/>
        </top>
      </border>
    </dxf>
    <dxf>
      <fill>
        <patternFill patternType="none">
          <bgColor auto="1"/>
        </patternFill>
      </fill>
    </dxf>
    <dxf>
      <fill>
        <patternFill patternType="none">
          <bgColor auto="1"/>
        </patternFill>
      </fill>
    </dxf>
    <dxf>
      <font>
        <color theme="2"/>
      </font>
    </dxf>
    <dxf>
      <font>
        <color rgb="FFEBF9FF"/>
      </font>
    </dxf>
    <dxf>
      <font>
        <color theme="0" tint="-4.9989318521683403E-2"/>
      </font>
    </dxf>
    <dxf>
      <font>
        <color theme="0" tint="-0.499984740745262"/>
      </font>
    </dxf>
    <dxf>
      <font>
        <color theme="0" tint="-0.14996795556505021"/>
      </font>
    </dxf>
    <dxf>
      <font>
        <b/>
        <i/>
        <condense val="0"/>
        <extend val="0"/>
        <color indexed="10"/>
      </font>
      <fill>
        <patternFill>
          <bgColor theme="9" tint="0.79998168889431442"/>
        </patternFill>
      </fill>
    </dxf>
    <dxf>
      <font>
        <condense val="0"/>
        <extend val="0"/>
        <color indexed="24"/>
      </font>
    </dxf>
    <dxf>
      <font>
        <b/>
        <i val="0"/>
        <condense val="0"/>
        <extend val="0"/>
        <color indexed="9"/>
      </font>
      <fill>
        <patternFill>
          <bgColor indexed="24"/>
        </patternFill>
      </fill>
      <border>
        <left style="thin">
          <color indexed="12"/>
        </left>
        <right style="thin">
          <color indexed="9"/>
        </right>
        <top style="thin">
          <color indexed="12"/>
        </top>
        <bottom style="thin">
          <color indexed="12"/>
        </bottom>
      </border>
    </dxf>
    <dxf>
      <font>
        <color theme="5"/>
      </font>
    </dxf>
    <dxf>
      <fill>
        <patternFill>
          <bgColor rgb="FFFFFF00"/>
        </patternFill>
      </fill>
    </dxf>
    <dxf>
      <font>
        <color rgb="FF002060"/>
      </font>
      <fill>
        <patternFill>
          <bgColor theme="6" tint="0.79998168889431442"/>
        </patternFill>
      </fill>
    </dxf>
    <dxf>
      <font>
        <color rgb="FF002060"/>
      </font>
      <fill>
        <patternFill>
          <bgColor theme="6" tint="0.79998168889431442"/>
        </patternFill>
      </fill>
    </dxf>
    <dxf>
      <font>
        <color rgb="FF002060"/>
      </font>
      <fill>
        <patternFill>
          <bgColor theme="6" tint="0.79998168889431442"/>
        </patternFill>
      </fill>
    </dxf>
    <dxf>
      <fill>
        <patternFill patternType="none">
          <bgColor auto="1"/>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theme="9" tint="0.79998168889431442"/>
        </patternFill>
      </fill>
    </dxf>
    <dxf>
      <fill>
        <patternFill>
          <bgColor rgb="FFFF0000"/>
        </patternFill>
      </fill>
    </dxf>
    <dxf>
      <fill>
        <patternFill>
          <bgColor rgb="FFFF0000"/>
        </patternFill>
      </fill>
    </dxf>
    <dxf>
      <fill>
        <patternFill>
          <bgColor rgb="FFFF0000"/>
        </patternFill>
      </fill>
    </dxf>
    <dxf>
      <fill>
        <patternFill>
          <bgColor rgb="FF993366"/>
        </patternFill>
      </fill>
    </dxf>
    <dxf>
      <fill>
        <patternFill>
          <bgColor rgb="FF993366"/>
        </patternFill>
      </fill>
    </dxf>
    <dxf>
      <fill>
        <patternFill>
          <bgColor rgb="FF993366"/>
        </patternFill>
      </fill>
    </dxf>
    <dxf>
      <fill>
        <patternFill>
          <bgColor rgb="FF993366"/>
        </patternFill>
      </fill>
    </dxf>
    <dxf>
      <fill>
        <patternFill>
          <bgColor rgb="FF993366"/>
        </patternFill>
      </fill>
    </dxf>
    <dxf>
      <fill>
        <patternFill>
          <bgColor rgb="FF99336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93366"/>
        </patternFill>
      </fill>
    </dxf>
    <dxf>
      <fill>
        <patternFill>
          <bgColor rgb="FF993366"/>
        </patternFill>
      </fill>
    </dxf>
    <dxf>
      <fill>
        <patternFill>
          <bgColor rgb="FF993366"/>
        </patternFill>
      </fill>
    </dxf>
    <dxf>
      <fill>
        <patternFill>
          <bgColor rgb="FF993366"/>
        </patternFill>
      </fill>
    </dxf>
    <dxf>
      <fill>
        <patternFill>
          <bgColor rgb="FF993366"/>
        </patternFill>
      </fill>
    </dxf>
    <dxf>
      <fill>
        <patternFill>
          <bgColor rgb="FF993366"/>
        </patternFill>
      </fill>
    </dxf>
    <dxf>
      <font>
        <condense val="0"/>
        <extend val="0"/>
        <color indexed="12"/>
      </font>
    </dxf>
    <dxf>
      <font>
        <condense val="0"/>
        <extend val="0"/>
        <color indexed="12"/>
      </font>
    </dxf>
    <dxf>
      <font>
        <condense val="0"/>
        <extend val="0"/>
        <color indexed="12"/>
      </font>
    </dxf>
    <dxf>
      <font>
        <color theme="0"/>
      </font>
    </dxf>
    <dxf>
      <font>
        <b/>
        <i val="0"/>
        <condense val="0"/>
        <extend val="0"/>
        <color indexed="53"/>
      </font>
    </dxf>
    <dxf>
      <font>
        <b/>
        <i val="0"/>
        <condense val="0"/>
        <extend val="0"/>
        <color indexed="53"/>
      </font>
    </dxf>
    <dxf>
      <font>
        <color theme="0" tint="-4.9989318521683403E-2"/>
      </font>
    </dxf>
    <dxf>
      <font>
        <color rgb="FFFFCC00"/>
        <name val="Cambria"/>
        <scheme val="none"/>
      </font>
    </dxf>
    <dxf>
      <font>
        <b/>
        <i val="0"/>
        <condense val="0"/>
        <extend val="0"/>
        <color indexed="10"/>
      </font>
      <fill>
        <patternFill>
          <bgColor indexed="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ill>
        <patternFill>
          <bgColor theme="0" tint="-4.9989318521683403E-2"/>
        </patternFill>
      </fill>
    </dxf>
    <dxf>
      <font>
        <b/>
        <i val="0"/>
        <condense val="0"/>
        <extend val="0"/>
        <color indexed="10"/>
      </font>
    </dxf>
    <dxf>
      <font>
        <b/>
        <i val="0"/>
        <condense val="0"/>
        <extend val="0"/>
        <color indexed="10"/>
      </font>
    </dxf>
    <dxf>
      <fill>
        <patternFill>
          <bgColor theme="0" tint="-4.9989318521683403E-2"/>
        </patternFill>
      </fill>
    </dxf>
    <dxf>
      <font>
        <color theme="0"/>
      </font>
    </dxf>
    <dxf>
      <font>
        <color theme="0"/>
      </font>
    </dxf>
    <dxf>
      <font>
        <color theme="0"/>
      </font>
    </dxf>
    <dxf>
      <font>
        <color theme="0"/>
      </font>
    </dxf>
    <dxf>
      <font>
        <color theme="0"/>
      </font>
    </dxf>
    <dxf>
      <font>
        <color theme="0"/>
      </font>
    </dxf>
    <dxf>
      <font>
        <color theme="0"/>
      </font>
    </dxf>
    <dxf>
      <numFmt numFmtId="216" formatCode="0&quot;er mois&quot;"/>
    </dxf>
    <dxf>
      <numFmt numFmtId="217" formatCode="0&quot;ème mois&quot;"/>
    </dxf>
    <dxf>
      <font>
        <color theme="0"/>
      </font>
    </dxf>
    <dxf>
      <numFmt numFmtId="216" formatCode="0&quot;er mois&quot;"/>
    </dxf>
    <dxf>
      <numFmt numFmtId="217" formatCode="0&quot;ème mois&quot;"/>
    </dxf>
    <dxf>
      <font>
        <b/>
        <i val="0"/>
        <condense val="0"/>
        <extend val="0"/>
        <color indexed="53"/>
      </font>
    </dxf>
    <dxf>
      <font>
        <b/>
        <i val="0"/>
        <condense val="0"/>
        <extend val="0"/>
        <color indexed="10"/>
      </font>
    </dxf>
    <dxf>
      <font>
        <b/>
        <i val="0"/>
        <condense val="0"/>
        <extend val="0"/>
        <color indexed="53"/>
      </font>
    </dxf>
    <dxf>
      <font>
        <b/>
        <i val="0"/>
        <condense val="0"/>
        <extend val="0"/>
        <color indexed="10"/>
      </font>
    </dxf>
    <dxf>
      <font>
        <b/>
        <i val="0"/>
        <condense val="0"/>
        <extend val="0"/>
        <color indexed="53"/>
      </font>
    </dxf>
    <dxf>
      <font>
        <b/>
        <i val="0"/>
        <condense val="0"/>
        <extend val="0"/>
        <color indexed="10"/>
      </font>
    </dxf>
    <dxf>
      <font>
        <b/>
        <i val="0"/>
        <condense val="0"/>
        <extend val="0"/>
        <color indexed="53"/>
      </font>
    </dxf>
    <dxf>
      <font>
        <b/>
        <i val="0"/>
        <condense val="0"/>
        <extend val="0"/>
        <color indexed="10"/>
      </font>
    </dxf>
    <dxf>
      <font>
        <b/>
        <i val="0"/>
        <condense val="0"/>
        <extend val="0"/>
        <color indexed="53"/>
      </font>
    </dxf>
    <dxf>
      <font>
        <b/>
        <i val="0"/>
        <condense val="0"/>
        <extend val="0"/>
        <color indexed="10"/>
      </font>
    </dxf>
    <dxf>
      <font>
        <b/>
        <i val="0"/>
        <condense val="0"/>
        <extend val="0"/>
        <color indexed="53"/>
      </font>
    </dxf>
    <dxf>
      <font>
        <b/>
        <i val="0"/>
        <condense val="0"/>
        <extend val="0"/>
        <color indexed="10"/>
      </font>
    </dxf>
    <dxf>
      <font>
        <b/>
        <i val="0"/>
        <condense val="0"/>
        <extend val="0"/>
        <color indexed="53"/>
      </font>
    </dxf>
    <dxf>
      <font>
        <b/>
        <i val="0"/>
        <condense val="0"/>
        <extend val="0"/>
        <color indexed="10"/>
      </font>
    </dxf>
    <dxf>
      <font>
        <color theme="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lor theme="0"/>
      </font>
    </dxf>
    <dxf>
      <numFmt numFmtId="216" formatCode="0&quot;er mois&quot;"/>
    </dxf>
    <dxf>
      <numFmt numFmtId="217" formatCode="0&quot;ème mois&quot;"/>
    </dxf>
    <dxf>
      <numFmt numFmtId="216" formatCode="0&quot;er mois&quot;"/>
    </dxf>
    <dxf>
      <numFmt numFmtId="217" formatCode="0&quot;ème mois&quot;"/>
    </dxf>
    <dxf>
      <font>
        <color theme="0"/>
      </font>
      <fill>
        <patternFill>
          <bgColor rgb="FFFF0000"/>
        </patternFill>
      </fill>
    </dxf>
    <dxf>
      <font>
        <color theme="0"/>
      </font>
      <fill>
        <patternFill>
          <bgColor rgb="FFFF0000"/>
        </patternFill>
      </fill>
      <border>
        <right style="thin">
          <color theme="0"/>
        </right>
      </border>
    </dxf>
    <dxf>
      <font>
        <color theme="0"/>
      </font>
      <fill>
        <patternFill>
          <bgColor rgb="FFFF0000"/>
        </patternFill>
      </fill>
    </dxf>
    <dxf>
      <font>
        <color theme="0"/>
      </font>
      <fill>
        <patternFill>
          <bgColor rgb="FFFF0000"/>
        </patternFill>
      </fill>
      <border>
        <right style="thin">
          <color theme="0"/>
        </right>
      </border>
    </dxf>
    <dxf>
      <font>
        <b/>
        <i/>
        <condense val="0"/>
        <extend val="0"/>
        <color indexed="9"/>
      </font>
      <fill>
        <patternFill patternType="solid">
          <bgColor indexed="10"/>
        </patternFill>
      </fill>
    </dxf>
    <dxf>
      <font>
        <b/>
        <i val="0"/>
        <condense val="0"/>
        <extend val="0"/>
        <color indexed="10"/>
      </font>
    </dxf>
    <dxf>
      <fill>
        <patternFill>
          <bgColor rgb="FFFF0000"/>
        </patternFill>
      </fill>
    </dxf>
    <dxf>
      <fill>
        <patternFill patternType="none">
          <bgColor auto="1"/>
        </patternFill>
      </fill>
    </dxf>
    <dxf>
      <fill>
        <patternFill>
          <bgColor rgb="FFFF0000"/>
        </patternFill>
      </fill>
      <border>
        <right style="thin">
          <color theme="0"/>
        </right>
      </border>
    </dxf>
    <dxf>
      <fill>
        <patternFill patternType="none">
          <bgColor auto="1"/>
        </patternFill>
      </fill>
    </dxf>
    <dxf>
      <fill>
        <patternFill>
          <bgColor rgb="FFFF0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tint="-4.9989318521683403E-2"/>
      </font>
    </dxf>
    <dxf>
      <font>
        <b/>
        <i val="0"/>
        <condense val="0"/>
        <extend val="0"/>
        <color indexed="53"/>
      </font>
    </dxf>
    <dxf>
      <font>
        <b/>
        <i val="0"/>
        <condense val="0"/>
        <extend val="0"/>
        <color indexed="1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FFCC"/>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002060"/>
      </font>
      <fill>
        <patternFill>
          <bgColor theme="6" tint="0.79998168889431442"/>
        </patternFill>
      </fill>
    </dxf>
    <dxf>
      <font>
        <color theme="0" tint="-0.14996795556505021"/>
      </font>
    </dxf>
    <dxf>
      <font>
        <color theme="0" tint="-0.14996795556505021"/>
      </font>
    </dxf>
    <dxf>
      <font>
        <color theme="0"/>
      </font>
    </dxf>
    <dxf>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border>
        <left style="thin">
          <color rgb="FFFF0000"/>
        </left>
        <right style="thin">
          <color rgb="FFFF0000"/>
        </right>
        <top style="thin">
          <color rgb="FFFF0000"/>
        </top>
        <bottom style="thin">
          <color rgb="FFFF0000"/>
        </bottom>
      </border>
    </dxf>
    <dxf>
      <font>
        <color rgb="FFFF0000"/>
      </font>
      <fill>
        <patternFill>
          <bgColor theme="9" tint="0.79998168889431442"/>
        </patternFill>
      </fill>
      <border>
        <left style="thin">
          <color rgb="FFFF0000"/>
        </left>
        <right style="thin">
          <color rgb="FFFF0000"/>
        </right>
        <top style="thin">
          <color rgb="FFFF0000"/>
        </top>
        <bottom style="thin">
          <color rgb="FFFF0000"/>
        </bottom>
      </border>
    </dxf>
    <dxf>
      <font>
        <color theme="0"/>
      </font>
    </dxf>
  </dxfs>
  <tableStyles count="0" defaultTableStyle="TableStyleMedium9" defaultPivotStyle="PivotStyleLight16"/>
  <colors>
    <mruColors>
      <color rgb="FFEBF9FF"/>
      <color rgb="FFEAEAEA"/>
      <color rgb="FF0000FF"/>
      <color rgb="FF000099"/>
      <color rgb="FFDDDDDD"/>
      <color rgb="FFC0C0C0"/>
      <color rgb="FF0000CC"/>
      <color rgb="FFFFFFCC"/>
      <color rgb="FFDAEEF3"/>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FR" sz="1200" baseline="0">
                <a:latin typeface="+mn-lt"/>
              </a:rPr>
              <a:t>Evolution mensuelle de chiffre d'affaires</a:t>
            </a:r>
          </a:p>
        </c:rich>
      </c:tx>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plotArea>
      <c:layout>
        <c:manualLayout>
          <c:layoutTarget val="inner"/>
          <c:xMode val="edge"/>
          <c:yMode val="edge"/>
          <c:x val="3.1705253609393198E-2"/>
          <c:y val="0.18428233052361501"/>
          <c:w val="0.93672309033660095"/>
          <c:h val="0.62059784838099297"/>
        </c:manualLayout>
      </c:layout>
      <c:lineChart>
        <c:grouping val="standard"/>
        <c:varyColors val="0"/>
        <c:ser>
          <c:idx val="0"/>
          <c:order val="0"/>
          <c:tx>
            <c:v>1° exercice</c:v>
          </c:tx>
          <c:spPr>
            <a:ln w="34925" cap="rnd">
              <a:solidFill>
                <a:srgbClr val="00B050"/>
              </a:solidFill>
              <a:round/>
            </a:ln>
            <a:effectLst>
              <a:outerShdw blurRad="40000" dist="23000" dir="5400000" rotWithShape="0">
                <a:srgbClr val="000000">
                  <a:alpha val="35000"/>
                </a:srgbClr>
              </a:outerShdw>
            </a:effectLst>
          </c:spPr>
          <c:marker>
            <c:symbol val="none"/>
          </c:marker>
          <c:val>
            <c:numRef>
              <c:f>('Chiffre d''affaires'!$C$24,'Chiffre d''affaires'!$E$24,'Chiffre d''affaires'!$F$24,'Chiffre d''affaires'!$H$24,'Chiffre d''affaires'!$I$24,'Chiffre d''affaires'!$J$24,'Chiffre d''affaires'!$K$24,'Chiffre d''affaires'!$L$24,'Chiffre d''affaires'!$M$24,'Chiffre d''affaires'!$N$24,'Chiffre d''affaires'!$O$24,'Chiffre d''affaires'!$P$24,'Chiffre d''affaires'!$C$32,'Chiffre d''affaires'!$E$32,'Chiffre d''affaires'!$F$32,'Chiffre d''affaires'!$H$32,'Chiffre d''affaires'!$I$32,'Chiffre d''affaires'!$J$32,'Chiffre d''affaires'!$K$32,'Chiffre d''affaires'!$L$32,'Chiffre d''affaires'!$M$32,'Chiffre d''affaires'!$N$32,'Chiffre d''affaires'!$O$32)</c:f>
              <c:numCache>
                <c:formatCode>#\ ##0" "</c:formatCode>
                <c:ptCount val="23"/>
              </c:numCache>
            </c:numRef>
          </c:val>
          <c:smooth val="0"/>
          <c:extLst>
            <c:ext xmlns:c16="http://schemas.microsoft.com/office/drawing/2014/chart" uri="{C3380CC4-5D6E-409C-BE32-E72D297353CC}">
              <c16:uniqueId val="{00000000-B2E1-437E-BB37-E26F19B2344E}"/>
            </c:ext>
          </c:extLst>
        </c:ser>
        <c:ser>
          <c:idx val="1"/>
          <c:order val="1"/>
          <c:tx>
            <c:v>2° exercice</c:v>
          </c:tx>
          <c:spPr>
            <a:ln w="25400" cap="rnd">
              <a:solidFill>
                <a:srgbClr val="0000CC"/>
              </a:solidFill>
              <a:round/>
            </a:ln>
            <a:effectLst>
              <a:outerShdw blurRad="40000" dist="23000" dir="5400000" rotWithShape="0">
                <a:srgbClr val="000000">
                  <a:alpha val="35000"/>
                </a:srgbClr>
              </a:outerShdw>
            </a:effectLst>
          </c:spPr>
          <c:marker>
            <c:symbol val="none"/>
          </c:marker>
          <c:val>
            <c:numRef>
              <c:f>('Chiffre d''affaires'!$C$41,'Chiffre d''affaires'!$E$41,'Chiffre d''affaires'!$F$41,'Chiffre d''affaires'!$H$41,'Chiffre d''affaires'!$I$41,'Chiffre d''affaires'!$J$41,'Chiffre d''affaires'!$K$41,'Chiffre d''affaires'!$L$41,'Chiffre d''affaires'!$M$41,'Chiffre d''affaires'!$N$41,'Chiffre d''affaires'!$O$41,'Chiffre d''affaires'!$P$41)</c:f>
              <c:numCache>
                <c:formatCode>#\ ##0" "</c:formatCode>
                <c:ptCount val="12"/>
              </c:numCache>
            </c:numRef>
          </c:val>
          <c:smooth val="0"/>
          <c:extLst>
            <c:ext xmlns:c16="http://schemas.microsoft.com/office/drawing/2014/chart" uri="{C3380CC4-5D6E-409C-BE32-E72D297353CC}">
              <c16:uniqueId val="{00000001-B2E1-437E-BB37-E26F19B2344E}"/>
            </c:ext>
          </c:extLst>
        </c:ser>
        <c:ser>
          <c:idx val="2"/>
          <c:order val="2"/>
          <c:tx>
            <c:v>3° exercice</c:v>
          </c:tx>
          <c:spPr>
            <a:ln w="34925" cap="rnd">
              <a:solidFill>
                <a:srgbClr val="FFFF00"/>
              </a:solidFill>
              <a:round/>
            </a:ln>
            <a:effectLst>
              <a:outerShdw blurRad="40000" dist="23000" dir="5400000" rotWithShape="0">
                <a:srgbClr val="000000">
                  <a:alpha val="35000"/>
                </a:srgbClr>
              </a:outerShdw>
            </a:effectLst>
          </c:spPr>
          <c:marker>
            <c:symbol val="none"/>
          </c:marker>
          <c:val>
            <c:numRef>
              <c:f>('Chiffre d''affaires'!$C$50,'Chiffre d''affaires'!$E$50,'Chiffre d''affaires'!$F$50,'Chiffre d''affaires'!$H$50,'Chiffre d''affaires'!$I$50,'Chiffre d''affaires'!$J$50,'Chiffre d''affaires'!$K$50,'Chiffre d''affaires'!$L$50,'Chiffre d''affaires'!$M$50,'Chiffre d''affaires'!$N$50,'Chiffre d''affaires'!$O$50,'Chiffre d''affaires'!$P$50)</c:f>
              <c:numCache>
                <c:formatCode>#\ ##0" "</c:formatCode>
                <c:ptCount val="12"/>
              </c:numCache>
            </c:numRef>
          </c:val>
          <c:smooth val="0"/>
          <c:extLst>
            <c:ext xmlns:c16="http://schemas.microsoft.com/office/drawing/2014/chart" uri="{C3380CC4-5D6E-409C-BE32-E72D297353CC}">
              <c16:uniqueId val="{00000002-B2E1-437E-BB37-E26F19B2344E}"/>
            </c:ext>
          </c:extLst>
        </c:ser>
        <c:dLbls>
          <c:showLegendKey val="0"/>
          <c:showVal val="0"/>
          <c:showCatName val="0"/>
          <c:showSerName val="0"/>
          <c:showPercent val="0"/>
          <c:showBubbleSize val="0"/>
        </c:dLbls>
        <c:smooth val="0"/>
        <c:axId val="172754696"/>
        <c:axId val="172755088"/>
      </c:lineChart>
      <c:catAx>
        <c:axId val="172754696"/>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0" spcFirstLastPara="1" vertOverflow="ellipsis" wrap="square" anchor="ctr" anchorCtr="1"/>
          <a:lstStyle/>
          <a:p>
            <a:pPr>
              <a:defRPr sz="1000" b="1" i="0" u="none" strike="noStrike" kern="1200" baseline="0">
                <a:solidFill>
                  <a:schemeClr val="lt1">
                    <a:lumMod val="85000"/>
                  </a:schemeClr>
                </a:solidFill>
                <a:latin typeface="+mn-lt"/>
                <a:ea typeface="+mn-ea"/>
                <a:cs typeface="+mn-cs"/>
              </a:defRPr>
            </a:pPr>
            <a:endParaRPr lang="fr-FR"/>
          </a:p>
        </c:txPr>
        <c:crossAx val="172755088"/>
        <c:crosses val="autoZero"/>
        <c:auto val="1"/>
        <c:lblAlgn val="ctr"/>
        <c:lblOffset val="100"/>
        <c:noMultiLvlLbl val="0"/>
      </c:catAx>
      <c:valAx>
        <c:axId val="172755088"/>
        <c:scaling>
          <c:orientation val="minMax"/>
        </c:scaling>
        <c:delete val="1"/>
        <c:axPos val="l"/>
        <c:majorGridlines>
          <c:spPr>
            <a:ln w="9525" cap="flat" cmpd="sng" algn="ctr">
              <a:solidFill>
                <a:schemeClr val="bg1"/>
              </a:solidFill>
              <a:round/>
            </a:ln>
            <a:effectLst/>
          </c:spPr>
        </c:majorGridlines>
        <c:numFmt formatCode="#\ ##0&quot; &quot;" sourceLinked="1"/>
        <c:majorTickMark val="none"/>
        <c:minorTickMark val="none"/>
        <c:tickLblPos val="nextTo"/>
        <c:crossAx val="172754696"/>
        <c:crosses val="autoZero"/>
        <c:crossBetween val="between"/>
      </c:valAx>
      <c:spPr>
        <a:noFill/>
        <a:ln>
          <a:noFill/>
        </a:ln>
        <a:effectLst/>
      </c:spPr>
    </c:plotArea>
    <c:legend>
      <c:legendPos val="b"/>
      <c:layout>
        <c:manualLayout>
          <c:xMode val="edge"/>
          <c:yMode val="edge"/>
          <c:x val="0.10880368824574219"/>
          <c:y val="0.85835203242081781"/>
          <c:w val="0.7523819104603876"/>
          <c:h val="0.12092257897814587"/>
        </c:manualLayout>
      </c:layout>
      <c:overlay val="0"/>
      <c:spPr>
        <a:noFill/>
        <a:ln>
          <a:noFill/>
        </a:ln>
        <a:effectLst/>
      </c:spPr>
      <c:txPr>
        <a:bodyPr rot="0" spcFirstLastPara="1" vertOverflow="ellipsis" vert="horz" wrap="square" anchor="ctr" anchorCtr="1"/>
        <a:lstStyle/>
        <a:p>
          <a:pPr>
            <a:defRPr sz="1300" b="1"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solidFill>
      <a:schemeClr val="bg1">
        <a:lumMod val="65000"/>
      </a:schemeClr>
    </a:solidFill>
    <a:ln>
      <a:noFill/>
    </a:ln>
    <a:effectLst/>
  </c:spPr>
  <c:txPr>
    <a:bodyPr/>
    <a:lstStyle/>
    <a:p>
      <a:pPr>
        <a:defRPr/>
      </a:pPr>
      <a:endParaRPr lang="fr-FR"/>
    </a:p>
  </c:txPr>
  <c:printSettings>
    <c:headerFooter alignWithMargins="0"/>
    <c:pageMargins b="0.984251969" l="0.78740157499999996" r="0.78740157499999996" t="0.984251969" header="0.492125984500002" footer="0.49212598450000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bg1"/>
                </a:solidFill>
                <a:latin typeface="+mn-lt"/>
                <a:ea typeface="+mn-ea"/>
                <a:cs typeface="+mn-cs"/>
              </a:defRPr>
            </a:pPr>
            <a:r>
              <a:rPr lang="en-US" sz="1050" b="1" baseline="0">
                <a:solidFill>
                  <a:schemeClr val="bg1"/>
                </a:solidFill>
              </a:rPr>
              <a:t>Chiffre d'affaires -</a:t>
            </a:r>
            <a:r>
              <a:rPr lang="en-US" sz="1050" b="1">
                <a:solidFill>
                  <a:schemeClr val="bg1"/>
                </a:solidFill>
              </a:rPr>
              <a:t> </a:t>
            </a:r>
            <a:r>
              <a:rPr lang="en-US" sz="1050" b="1" baseline="0">
                <a:solidFill>
                  <a:schemeClr val="bg1"/>
                </a:solidFill>
              </a:rPr>
              <a:t>Point mort</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bg1"/>
              </a:solidFill>
              <a:latin typeface="+mn-lt"/>
              <a:ea typeface="+mn-ea"/>
              <a:cs typeface="+mn-cs"/>
            </a:defRPr>
          </a:pPr>
          <a:endParaRPr lang="fr-FR"/>
        </a:p>
      </c:txPr>
    </c:title>
    <c:autoTitleDeleted val="0"/>
    <c:plotArea>
      <c:layout/>
      <c:barChart>
        <c:barDir val="col"/>
        <c:grouping val="clustered"/>
        <c:varyColors val="0"/>
        <c:ser>
          <c:idx val="0"/>
          <c:order val="0"/>
          <c:tx>
            <c:v>CA</c:v>
          </c:tx>
          <c:spPr>
            <a:solidFill>
              <a:schemeClr val="accent5">
                <a:lumMod val="75000"/>
              </a:schemeClr>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Synthèse!$Q$2:$S$2</c:f>
              <c:strCache>
                <c:ptCount val="3"/>
                <c:pt idx="0">
                  <c:v>An 1</c:v>
                </c:pt>
                <c:pt idx="1">
                  <c:v>An 2</c:v>
                </c:pt>
                <c:pt idx="2">
                  <c:v>An 3</c:v>
                </c:pt>
              </c:strCache>
            </c:strRef>
          </c:cat>
          <c:val>
            <c:numRef>
              <c:f>Synthèse!$Q$4:$S$4</c:f>
              <c:numCache>
                <c:formatCode>#\ ##0" K€"</c:formatCode>
                <c:ptCount val="3"/>
                <c:pt idx="0">
                  <c:v>0</c:v>
                </c:pt>
                <c:pt idx="1">
                  <c:v>0</c:v>
                </c:pt>
                <c:pt idx="2">
                  <c:v>0</c:v>
                </c:pt>
              </c:numCache>
            </c:numRef>
          </c:val>
          <c:extLst>
            <c:ext xmlns:c16="http://schemas.microsoft.com/office/drawing/2014/chart" uri="{C3380CC4-5D6E-409C-BE32-E72D297353CC}">
              <c16:uniqueId val="{00000000-CE1B-40D6-9136-4D74EEC9C134}"/>
            </c:ext>
          </c:extLst>
        </c:ser>
        <c:ser>
          <c:idx val="1"/>
          <c:order val="1"/>
          <c:tx>
            <c:v>PM</c:v>
          </c:tx>
          <c:spPr>
            <a:solidFill>
              <a:srgbClr val="FFCC00"/>
            </a:solidFill>
            <a:ln>
              <a:solidFill>
                <a:schemeClr val="accent6">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6">
                        <a:lumMod val="50000"/>
                      </a:schemeClr>
                    </a:solidFill>
                    <a:latin typeface="+mn-lt"/>
                    <a:ea typeface="+mn-ea"/>
                    <a:cs typeface="+mn-cs"/>
                  </a:defRPr>
                </a:pPr>
                <a:endParaRPr lang="fr-FR"/>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Synthèse!$Q$2:$S$2</c:f>
              <c:strCache>
                <c:ptCount val="3"/>
                <c:pt idx="0">
                  <c:v>An 1</c:v>
                </c:pt>
                <c:pt idx="1">
                  <c:v>An 2</c:v>
                </c:pt>
                <c:pt idx="2">
                  <c:v>An 3</c:v>
                </c:pt>
              </c:strCache>
            </c:strRef>
          </c:cat>
          <c:val>
            <c:numRef>
              <c:f>Synthèse!$Q$5:$S$5</c:f>
              <c:numCache>
                <c:formatCode>#\ ##0" K€"</c:formatCode>
                <c:ptCount val="3"/>
                <c:pt idx="0">
                  <c:v>0</c:v>
                </c:pt>
                <c:pt idx="1">
                  <c:v>0</c:v>
                </c:pt>
                <c:pt idx="2">
                  <c:v>0</c:v>
                </c:pt>
              </c:numCache>
            </c:numRef>
          </c:val>
          <c:extLst>
            <c:ext xmlns:c16="http://schemas.microsoft.com/office/drawing/2014/chart" uri="{C3380CC4-5D6E-409C-BE32-E72D297353CC}">
              <c16:uniqueId val="{00000001-CE1B-40D6-9136-4D74EEC9C134}"/>
            </c:ext>
          </c:extLst>
        </c:ser>
        <c:dLbls>
          <c:showLegendKey val="0"/>
          <c:showVal val="0"/>
          <c:showCatName val="0"/>
          <c:showSerName val="0"/>
          <c:showPercent val="0"/>
          <c:showBubbleSize val="0"/>
        </c:dLbls>
        <c:gapWidth val="15"/>
        <c:overlap val="-5"/>
        <c:axId val="391290368"/>
        <c:axId val="391290760"/>
      </c:barChart>
      <c:catAx>
        <c:axId val="39129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fr-FR"/>
          </a:p>
        </c:txPr>
        <c:crossAx val="391290760"/>
        <c:crosses val="autoZero"/>
        <c:auto val="1"/>
        <c:lblAlgn val="ctr"/>
        <c:lblOffset val="100"/>
        <c:noMultiLvlLbl val="0"/>
      </c:catAx>
      <c:valAx>
        <c:axId val="391290760"/>
        <c:scaling>
          <c:orientation val="minMax"/>
        </c:scaling>
        <c:delete val="1"/>
        <c:axPos val="l"/>
        <c:majorGridlines>
          <c:spPr>
            <a:ln w="9525" cap="flat" cmpd="sng" algn="ctr">
              <a:solidFill>
                <a:schemeClr val="tx1">
                  <a:lumMod val="15000"/>
                  <a:lumOff val="85000"/>
                </a:schemeClr>
              </a:solidFill>
              <a:round/>
            </a:ln>
            <a:effectLst/>
          </c:spPr>
        </c:majorGridlines>
        <c:numFmt formatCode="#\ ##0&quot; K€&quot;" sourceLinked="1"/>
        <c:majorTickMark val="none"/>
        <c:minorTickMark val="none"/>
        <c:tickLblPos val="nextTo"/>
        <c:crossAx val="391290368"/>
        <c:crosses val="autoZero"/>
        <c:crossBetween val="between"/>
      </c:valAx>
      <c:spPr>
        <a:noFill/>
        <a:ln>
          <a:noFill/>
        </a:ln>
        <a:effectLst/>
      </c:spPr>
    </c:plotArea>
    <c:plotVisOnly val="1"/>
    <c:dispBlanksAs val="gap"/>
    <c:showDLblsOverMax val="0"/>
  </c:chart>
  <c:spPr>
    <a:solidFill>
      <a:schemeClr val="bg1">
        <a:lumMod val="6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cap="none" spc="20" baseline="0">
                <a:solidFill>
                  <a:schemeClr val="bg1"/>
                </a:solidFill>
                <a:latin typeface="+mn-lt"/>
                <a:ea typeface="+mn-ea"/>
                <a:cs typeface="+mn-cs"/>
              </a:defRPr>
            </a:pPr>
            <a:r>
              <a:rPr lang="en-US" sz="1050" b="1">
                <a:solidFill>
                  <a:schemeClr val="bg1"/>
                </a:solidFill>
              </a:rPr>
              <a:t>Charges de personnel/VA</a:t>
            </a:r>
          </a:p>
        </c:rich>
      </c:tx>
      <c:overlay val="0"/>
      <c:spPr>
        <a:noFill/>
        <a:ln>
          <a:noFill/>
        </a:ln>
        <a:effectLst/>
      </c:spPr>
      <c:txPr>
        <a:bodyPr rot="0" spcFirstLastPara="1" vertOverflow="ellipsis" vert="horz" wrap="square" anchor="ctr" anchorCtr="1"/>
        <a:lstStyle/>
        <a:p>
          <a:pPr>
            <a:defRPr sz="1050" b="1" i="0" u="none" strike="noStrike" kern="1200" cap="none" spc="20" baseline="0">
              <a:solidFill>
                <a:schemeClr val="bg1"/>
              </a:solidFill>
              <a:latin typeface="+mn-lt"/>
              <a:ea typeface="+mn-ea"/>
              <a:cs typeface="+mn-cs"/>
            </a:defRPr>
          </a:pPr>
          <a:endParaRPr lang="fr-FR"/>
        </a:p>
      </c:txPr>
    </c:title>
    <c:autoTitleDeleted val="0"/>
    <c:plotArea>
      <c:layout/>
      <c:lineChart>
        <c:grouping val="standard"/>
        <c:varyColors val="0"/>
        <c:ser>
          <c:idx val="0"/>
          <c:order val="0"/>
          <c:spPr>
            <a:ln w="38100" cap="rnd" cmpd="sng" algn="ctr">
              <a:solidFill>
                <a:srgbClr val="0000CC"/>
              </a:solidFill>
              <a:round/>
            </a:ln>
            <a:effectLst/>
          </c:spPr>
          <c:marker>
            <c:symbol val="none"/>
          </c:marker>
          <c:dLbls>
            <c:spPr>
              <a:solidFill>
                <a:schemeClr val="accent3">
                  <a:lumMod val="40000"/>
                  <a:lumOff val="60000"/>
                </a:schemeClr>
              </a:solidFill>
              <a:ln>
                <a:solidFill>
                  <a:srgbClr val="0000CC"/>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00CC"/>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Synthèse!$Q$2:$S$2</c:f>
              <c:strCache>
                <c:ptCount val="3"/>
                <c:pt idx="0">
                  <c:v>An 1</c:v>
                </c:pt>
                <c:pt idx="1">
                  <c:v>An 2</c:v>
                </c:pt>
                <c:pt idx="2">
                  <c:v>An 3</c:v>
                </c:pt>
              </c:strCache>
            </c:strRef>
          </c:cat>
          <c:val>
            <c:numRef>
              <c:f>(Synthèse!$F$24,Synthèse!$H$24,Synthèse!$J$24)</c:f>
              <c:numCache>
                <c:formatCode>0.0%</c:formatCode>
                <c:ptCount val="3"/>
                <c:pt idx="0">
                  <c:v>0</c:v>
                </c:pt>
                <c:pt idx="1">
                  <c:v>0</c:v>
                </c:pt>
                <c:pt idx="2">
                  <c:v>0</c:v>
                </c:pt>
              </c:numCache>
            </c:numRef>
          </c:val>
          <c:smooth val="0"/>
          <c:extLst>
            <c:ext xmlns:c16="http://schemas.microsoft.com/office/drawing/2014/chart" uri="{C3380CC4-5D6E-409C-BE32-E72D297353CC}">
              <c16:uniqueId val="{00000000-C517-4C5F-BB7A-FA54C2275E50}"/>
            </c:ext>
          </c:extLst>
        </c:ser>
        <c:ser>
          <c:idx val="1"/>
          <c:order val="1"/>
          <c:tx>
            <c:v>Maxi</c:v>
          </c:tx>
          <c:spPr>
            <a:ln w="38100" cap="rnd" cmpd="sng" algn="ctr">
              <a:solidFill>
                <a:srgbClr val="FF0000"/>
              </a:solidFill>
              <a:round/>
            </a:ln>
            <a:effectLst/>
          </c:spPr>
          <c:marker>
            <c:symbol val="none"/>
          </c:marker>
          <c:dLbls>
            <c:dLbl>
              <c:idx val="0"/>
              <c:layout>
                <c:manualLayout>
                  <c:x val="-0.15143511181546046"/>
                  <c:y val="4.7619047619047181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517-4C5F-BB7A-FA54C2275E50}"/>
                </c:ext>
              </c:extLst>
            </c:dLbl>
            <c:dLbl>
              <c:idx val="1"/>
              <c:delete val="1"/>
              <c:extLst>
                <c:ext xmlns:c15="http://schemas.microsoft.com/office/drawing/2012/chart" uri="{CE6537A1-D6FC-4f65-9D91-7224C49458BB}"/>
                <c:ext xmlns:c16="http://schemas.microsoft.com/office/drawing/2014/chart" uri="{C3380CC4-5D6E-409C-BE32-E72D297353CC}">
                  <c16:uniqueId val="{00000002-C517-4C5F-BB7A-FA54C2275E50}"/>
                </c:ext>
              </c:extLst>
            </c:dLbl>
            <c:dLbl>
              <c:idx val="2"/>
              <c:delete val="1"/>
              <c:extLst>
                <c:ext xmlns:c15="http://schemas.microsoft.com/office/drawing/2012/chart" uri="{CE6537A1-D6FC-4f65-9D91-7224C49458BB}"/>
                <c:ext xmlns:c16="http://schemas.microsoft.com/office/drawing/2014/chart" uri="{C3380CC4-5D6E-409C-BE32-E72D297353CC}">
                  <c16:uniqueId val="{00000000-8176-479D-918A-7D7BB83D2691}"/>
                </c:ext>
              </c:extLst>
            </c:dLbl>
            <c:numFmt formatCode="0%" sourceLinked="0"/>
            <c:spPr>
              <a:solidFill>
                <a:srgbClr val="FF0000"/>
              </a:solidFill>
              <a:ln>
                <a:solidFill>
                  <a:schemeClr val="bg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(Synthèse!$F$23,Synthèse!$H$23,Synthèse!$J$23)</c:f>
              <c:numCache>
                <c:formatCode>0.0%</c:formatCode>
                <c:ptCount val="3"/>
                <c:pt idx="0">
                  <c:v>0.8</c:v>
                </c:pt>
                <c:pt idx="1">
                  <c:v>0.8</c:v>
                </c:pt>
                <c:pt idx="2">
                  <c:v>0.8</c:v>
                </c:pt>
              </c:numCache>
            </c:numRef>
          </c:val>
          <c:smooth val="0"/>
          <c:extLst>
            <c:ext xmlns:c16="http://schemas.microsoft.com/office/drawing/2014/chart" uri="{C3380CC4-5D6E-409C-BE32-E72D297353CC}">
              <c16:uniqueId val="{00000003-C517-4C5F-BB7A-FA54C2275E50}"/>
            </c:ext>
          </c:extLst>
        </c:ser>
        <c:dLbls>
          <c:showLegendKey val="0"/>
          <c:showVal val="0"/>
          <c:showCatName val="0"/>
          <c:showSerName val="0"/>
          <c:showPercent val="0"/>
          <c:showBubbleSize val="0"/>
        </c:dLbls>
        <c:dropLines>
          <c:spPr>
            <a:ln w="12700" cap="flat" cmpd="sng" algn="ctr">
              <a:solidFill>
                <a:schemeClr val="dk1">
                  <a:lumMod val="35000"/>
                  <a:lumOff val="65000"/>
                  <a:alpha val="33000"/>
                </a:schemeClr>
              </a:solidFill>
              <a:round/>
            </a:ln>
            <a:effectLst/>
          </c:spPr>
        </c:dropLines>
        <c:smooth val="0"/>
        <c:axId val="410833280"/>
        <c:axId val="410833672"/>
      </c:lineChart>
      <c:catAx>
        <c:axId val="41083328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1" i="0" u="none" strike="noStrike" kern="1200" spc="20" baseline="0">
                <a:solidFill>
                  <a:schemeClr val="bg1"/>
                </a:solidFill>
                <a:latin typeface="+mn-lt"/>
                <a:ea typeface="+mn-ea"/>
                <a:cs typeface="+mn-cs"/>
              </a:defRPr>
            </a:pPr>
            <a:endParaRPr lang="fr-FR"/>
          </a:p>
        </c:txPr>
        <c:crossAx val="410833672"/>
        <c:crosses val="autoZero"/>
        <c:auto val="1"/>
        <c:lblAlgn val="ctr"/>
        <c:lblOffset val="100"/>
        <c:noMultiLvlLbl val="0"/>
      </c:catAx>
      <c:valAx>
        <c:axId val="410833672"/>
        <c:scaling>
          <c:orientation val="minMax"/>
        </c:scaling>
        <c:delete val="1"/>
        <c:axPos val="l"/>
        <c:numFmt formatCode="0.0%" sourceLinked="1"/>
        <c:majorTickMark val="none"/>
        <c:minorTickMark val="none"/>
        <c:tickLblPos val="nextTo"/>
        <c:crossAx val="410833280"/>
        <c:crosses val="autoZero"/>
        <c:crossBetween val="between"/>
      </c:valAx>
      <c:spPr>
        <a:solidFill>
          <a:schemeClr val="accent3">
            <a:lumMod val="40000"/>
            <a:lumOff val="60000"/>
          </a:schemeClr>
        </a:solidFill>
        <a:ln>
          <a:noFill/>
        </a:ln>
        <a:effectLst/>
      </c:spPr>
    </c:plotArea>
    <c:plotVisOnly val="1"/>
    <c:dispBlanksAs val="gap"/>
    <c:showDLblsOverMax val="0"/>
  </c:chart>
  <c:spPr>
    <a:solidFill>
      <a:schemeClr val="bg1">
        <a:lumMod val="65000"/>
      </a:schemeClr>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cap="none" spc="20" baseline="0">
                <a:solidFill>
                  <a:schemeClr val="bg1"/>
                </a:solidFill>
                <a:latin typeface="+mn-lt"/>
                <a:ea typeface="+mn-ea"/>
                <a:cs typeface="+mn-cs"/>
              </a:defRPr>
            </a:pPr>
            <a:r>
              <a:rPr lang="en-US" sz="1050" b="1">
                <a:solidFill>
                  <a:schemeClr val="bg1"/>
                </a:solidFill>
              </a:rPr>
              <a:t>Taux de couverture du BFR par le FR</a:t>
            </a:r>
          </a:p>
        </c:rich>
      </c:tx>
      <c:overlay val="0"/>
      <c:spPr>
        <a:noFill/>
        <a:ln>
          <a:noFill/>
        </a:ln>
        <a:effectLst/>
      </c:spPr>
      <c:txPr>
        <a:bodyPr rot="0" spcFirstLastPara="1" vertOverflow="ellipsis" vert="horz" wrap="square" anchor="ctr" anchorCtr="1"/>
        <a:lstStyle/>
        <a:p>
          <a:pPr>
            <a:defRPr sz="1050" b="1" i="0" u="none" strike="noStrike" kern="1200" cap="none" spc="20" baseline="0">
              <a:solidFill>
                <a:schemeClr val="bg1"/>
              </a:solidFill>
              <a:latin typeface="+mn-lt"/>
              <a:ea typeface="+mn-ea"/>
              <a:cs typeface="+mn-cs"/>
            </a:defRPr>
          </a:pPr>
          <a:endParaRPr lang="fr-FR"/>
        </a:p>
      </c:txPr>
    </c:title>
    <c:autoTitleDeleted val="0"/>
    <c:plotArea>
      <c:layout/>
      <c:lineChart>
        <c:grouping val="standard"/>
        <c:varyColors val="0"/>
        <c:ser>
          <c:idx val="0"/>
          <c:order val="0"/>
          <c:spPr>
            <a:ln w="38100" cap="rnd" cmpd="sng" algn="ctr">
              <a:solidFill>
                <a:srgbClr val="0000CC"/>
              </a:solidFill>
              <a:round/>
            </a:ln>
            <a:effectLst/>
          </c:spPr>
          <c:marker>
            <c:symbol val="none"/>
          </c:marker>
          <c:dLbls>
            <c:spPr>
              <a:solidFill>
                <a:schemeClr val="accent3">
                  <a:lumMod val="40000"/>
                  <a:lumOff val="60000"/>
                </a:schemeClr>
              </a:solidFill>
              <a:ln>
                <a:solidFill>
                  <a:srgbClr val="0000CC"/>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00CC"/>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Synthèse!$Q$2:$S$2</c:f>
              <c:strCache>
                <c:ptCount val="3"/>
                <c:pt idx="0">
                  <c:v>An 1</c:v>
                </c:pt>
                <c:pt idx="1">
                  <c:v>An 2</c:v>
                </c:pt>
                <c:pt idx="2">
                  <c:v>An 3</c:v>
                </c:pt>
              </c:strCache>
            </c:strRef>
          </c:cat>
          <c:val>
            <c:numRef>
              <c:f>(Synthèse!$F$53,Synthèse!$H$53,Synthèse!$J$53)</c:f>
              <c:numCache>
                <c:formatCode>0.0%</c:formatCode>
                <c:ptCount val="3"/>
                <c:pt idx="0">
                  <c:v>0</c:v>
                </c:pt>
                <c:pt idx="1">
                  <c:v>0</c:v>
                </c:pt>
                <c:pt idx="2">
                  <c:v>0</c:v>
                </c:pt>
              </c:numCache>
            </c:numRef>
          </c:val>
          <c:smooth val="0"/>
          <c:extLst>
            <c:ext xmlns:c16="http://schemas.microsoft.com/office/drawing/2014/chart" uri="{C3380CC4-5D6E-409C-BE32-E72D297353CC}">
              <c16:uniqueId val="{00000000-F2A1-4C4B-96F7-2F94FE38D93E}"/>
            </c:ext>
          </c:extLst>
        </c:ser>
        <c:ser>
          <c:idx val="1"/>
          <c:order val="1"/>
          <c:tx>
            <c:v>Mini</c:v>
          </c:tx>
          <c:spPr>
            <a:ln w="38100" cap="rnd" cmpd="sng" algn="ctr">
              <a:solidFill>
                <a:srgbClr val="FF0000"/>
              </a:solidFill>
              <a:round/>
            </a:ln>
            <a:effectLst/>
          </c:spPr>
          <c:marker>
            <c:symbol val="none"/>
          </c:marker>
          <c:dLbls>
            <c:dLbl>
              <c:idx val="0"/>
              <c:layout>
                <c:manualLayout>
                  <c:x val="-0.15143511181546046"/>
                  <c:y val="4.7619047619047181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2A1-4C4B-96F7-2F94FE38D93E}"/>
                </c:ext>
              </c:extLst>
            </c:dLbl>
            <c:dLbl>
              <c:idx val="1"/>
              <c:delete val="1"/>
              <c:extLst>
                <c:ext xmlns:c15="http://schemas.microsoft.com/office/drawing/2012/chart" uri="{CE6537A1-D6FC-4f65-9D91-7224C49458BB}"/>
                <c:ext xmlns:c16="http://schemas.microsoft.com/office/drawing/2014/chart" uri="{C3380CC4-5D6E-409C-BE32-E72D297353CC}">
                  <c16:uniqueId val="{00000002-F2A1-4C4B-96F7-2F94FE38D93E}"/>
                </c:ext>
              </c:extLst>
            </c:dLbl>
            <c:dLbl>
              <c:idx val="2"/>
              <c:delete val="1"/>
              <c:extLst>
                <c:ext xmlns:c15="http://schemas.microsoft.com/office/drawing/2012/chart" uri="{CE6537A1-D6FC-4f65-9D91-7224C49458BB}"/>
                <c:ext xmlns:c16="http://schemas.microsoft.com/office/drawing/2014/chart" uri="{C3380CC4-5D6E-409C-BE32-E72D297353CC}">
                  <c16:uniqueId val="{00000000-E9F2-42F2-897D-0FAD390ED593}"/>
                </c:ext>
              </c:extLst>
            </c:dLbl>
            <c:numFmt formatCode="0%" sourceLinked="0"/>
            <c:spPr>
              <a:solidFill>
                <a:srgbClr val="FF0000"/>
              </a:solidFill>
              <a:ln>
                <a:solidFill>
                  <a:schemeClr val="bg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(Synthèse!$F$52,Synthèse!$H$52,Synthèse!$J$52)</c:f>
              <c:numCache>
                <c:formatCode>0.0%</c:formatCode>
                <c:ptCount val="3"/>
                <c:pt idx="0">
                  <c:v>0.5</c:v>
                </c:pt>
                <c:pt idx="1">
                  <c:v>0.5</c:v>
                </c:pt>
                <c:pt idx="2">
                  <c:v>0.5</c:v>
                </c:pt>
              </c:numCache>
            </c:numRef>
          </c:val>
          <c:smooth val="0"/>
          <c:extLst>
            <c:ext xmlns:c16="http://schemas.microsoft.com/office/drawing/2014/chart" uri="{C3380CC4-5D6E-409C-BE32-E72D297353CC}">
              <c16:uniqueId val="{00000003-F2A1-4C4B-96F7-2F94FE38D93E}"/>
            </c:ext>
          </c:extLst>
        </c:ser>
        <c:dLbls>
          <c:showLegendKey val="0"/>
          <c:showVal val="0"/>
          <c:showCatName val="0"/>
          <c:showSerName val="0"/>
          <c:showPercent val="0"/>
          <c:showBubbleSize val="0"/>
        </c:dLbls>
        <c:dropLines>
          <c:spPr>
            <a:ln w="12700" cap="flat" cmpd="sng" algn="ctr">
              <a:solidFill>
                <a:schemeClr val="dk1">
                  <a:lumMod val="35000"/>
                  <a:lumOff val="65000"/>
                  <a:alpha val="33000"/>
                </a:schemeClr>
              </a:solidFill>
              <a:round/>
            </a:ln>
            <a:effectLst/>
          </c:spPr>
        </c:dropLines>
        <c:smooth val="0"/>
        <c:axId val="410833280"/>
        <c:axId val="410833672"/>
      </c:lineChart>
      <c:catAx>
        <c:axId val="41083328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1" i="0" u="none" strike="noStrike" kern="1200" spc="20" baseline="0">
                <a:solidFill>
                  <a:schemeClr val="bg1"/>
                </a:solidFill>
                <a:latin typeface="+mn-lt"/>
                <a:ea typeface="+mn-ea"/>
                <a:cs typeface="+mn-cs"/>
              </a:defRPr>
            </a:pPr>
            <a:endParaRPr lang="fr-FR"/>
          </a:p>
        </c:txPr>
        <c:crossAx val="410833672"/>
        <c:crosses val="autoZero"/>
        <c:auto val="1"/>
        <c:lblAlgn val="ctr"/>
        <c:lblOffset val="100"/>
        <c:noMultiLvlLbl val="0"/>
      </c:catAx>
      <c:valAx>
        <c:axId val="410833672"/>
        <c:scaling>
          <c:orientation val="minMax"/>
        </c:scaling>
        <c:delete val="1"/>
        <c:axPos val="l"/>
        <c:numFmt formatCode="0.0%" sourceLinked="1"/>
        <c:majorTickMark val="none"/>
        <c:minorTickMark val="none"/>
        <c:tickLblPos val="nextTo"/>
        <c:crossAx val="410833280"/>
        <c:crosses val="autoZero"/>
        <c:crossBetween val="between"/>
      </c:valAx>
      <c:spPr>
        <a:solidFill>
          <a:schemeClr val="accent3">
            <a:lumMod val="40000"/>
            <a:lumOff val="60000"/>
          </a:schemeClr>
        </a:solidFill>
        <a:ln>
          <a:noFill/>
        </a:ln>
        <a:effectLst/>
      </c:spPr>
    </c:plotArea>
    <c:plotVisOnly val="1"/>
    <c:dispBlanksAs val="gap"/>
    <c:showDLblsOverMax val="0"/>
  </c:chart>
  <c:spPr>
    <a:solidFill>
      <a:schemeClr val="bg1">
        <a:lumMod val="65000"/>
      </a:schemeClr>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cap="none" spc="20" baseline="0">
                <a:solidFill>
                  <a:schemeClr val="bg1"/>
                </a:solidFill>
                <a:latin typeface="+mn-lt"/>
                <a:ea typeface="+mn-ea"/>
                <a:cs typeface="+mn-cs"/>
              </a:defRPr>
            </a:pPr>
            <a:r>
              <a:rPr lang="en-US" sz="1050" b="1">
                <a:solidFill>
                  <a:schemeClr val="bg1"/>
                </a:solidFill>
              </a:rPr>
              <a:t>Vulnérabilité financière </a:t>
            </a:r>
            <a:r>
              <a:rPr lang="en-US" sz="1000" b="1">
                <a:solidFill>
                  <a:schemeClr val="bg1"/>
                </a:solidFill>
              </a:rPr>
              <a:t>(frais financiers/EBE)</a:t>
            </a:r>
            <a:endParaRPr lang="en-US" sz="1050" b="1">
              <a:solidFill>
                <a:schemeClr val="bg1"/>
              </a:solidFill>
            </a:endParaRPr>
          </a:p>
        </c:rich>
      </c:tx>
      <c:overlay val="0"/>
      <c:spPr>
        <a:noFill/>
        <a:ln>
          <a:noFill/>
        </a:ln>
        <a:effectLst/>
      </c:spPr>
      <c:txPr>
        <a:bodyPr rot="0" spcFirstLastPara="1" vertOverflow="ellipsis" vert="horz" wrap="square" anchor="ctr" anchorCtr="1"/>
        <a:lstStyle/>
        <a:p>
          <a:pPr>
            <a:defRPr sz="1050" b="1" i="0" u="none" strike="noStrike" kern="1200" cap="none" spc="20" baseline="0">
              <a:solidFill>
                <a:schemeClr val="bg1"/>
              </a:solidFill>
              <a:latin typeface="+mn-lt"/>
              <a:ea typeface="+mn-ea"/>
              <a:cs typeface="+mn-cs"/>
            </a:defRPr>
          </a:pPr>
          <a:endParaRPr lang="fr-FR"/>
        </a:p>
      </c:txPr>
    </c:title>
    <c:autoTitleDeleted val="0"/>
    <c:plotArea>
      <c:layout/>
      <c:lineChart>
        <c:grouping val="standard"/>
        <c:varyColors val="0"/>
        <c:ser>
          <c:idx val="0"/>
          <c:order val="0"/>
          <c:spPr>
            <a:ln w="38100" cap="rnd" cmpd="sng" algn="ctr">
              <a:solidFill>
                <a:srgbClr val="0000CC"/>
              </a:solidFill>
              <a:round/>
            </a:ln>
            <a:effectLst/>
          </c:spPr>
          <c:marker>
            <c:symbol val="none"/>
          </c:marker>
          <c:dLbls>
            <c:spPr>
              <a:solidFill>
                <a:schemeClr val="accent3">
                  <a:lumMod val="40000"/>
                  <a:lumOff val="60000"/>
                </a:schemeClr>
              </a:solidFill>
              <a:ln>
                <a:solidFill>
                  <a:srgbClr val="0000CC"/>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00CC"/>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Synthèse!$Q$2:$S$2</c:f>
              <c:strCache>
                <c:ptCount val="3"/>
                <c:pt idx="0">
                  <c:v>An 1</c:v>
                </c:pt>
                <c:pt idx="1">
                  <c:v>An 2</c:v>
                </c:pt>
                <c:pt idx="2">
                  <c:v>An 3</c:v>
                </c:pt>
              </c:strCache>
            </c:strRef>
          </c:cat>
          <c:val>
            <c:numRef>
              <c:f>(Synthèse!$F$47,Synthèse!$H$47,Synthèse!$J$47)</c:f>
              <c:numCache>
                <c:formatCode>0%</c:formatCode>
                <c:ptCount val="3"/>
                <c:pt idx="0">
                  <c:v>0</c:v>
                </c:pt>
                <c:pt idx="1">
                  <c:v>0</c:v>
                </c:pt>
                <c:pt idx="2">
                  <c:v>0</c:v>
                </c:pt>
              </c:numCache>
            </c:numRef>
          </c:val>
          <c:smooth val="0"/>
          <c:extLst>
            <c:ext xmlns:c16="http://schemas.microsoft.com/office/drawing/2014/chart" uri="{C3380CC4-5D6E-409C-BE32-E72D297353CC}">
              <c16:uniqueId val="{00000000-6ABF-480D-9A78-2F269E3A2DA8}"/>
            </c:ext>
          </c:extLst>
        </c:ser>
        <c:ser>
          <c:idx val="1"/>
          <c:order val="1"/>
          <c:tx>
            <c:v>Maxi</c:v>
          </c:tx>
          <c:spPr>
            <a:ln w="38100" cap="rnd" cmpd="sng" algn="ctr">
              <a:solidFill>
                <a:srgbClr val="FF0000"/>
              </a:solidFill>
              <a:round/>
            </a:ln>
            <a:effectLst/>
          </c:spPr>
          <c:marker>
            <c:symbol val="none"/>
          </c:marker>
          <c:dLbls>
            <c:dLbl>
              <c:idx val="0"/>
              <c:layout>
                <c:manualLayout>
                  <c:x val="-0.15143511181546046"/>
                  <c:y val="4.7619047619047181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6ABF-480D-9A78-2F269E3A2DA8}"/>
                </c:ext>
              </c:extLst>
            </c:dLbl>
            <c:dLbl>
              <c:idx val="1"/>
              <c:delete val="1"/>
              <c:extLst>
                <c:ext xmlns:c15="http://schemas.microsoft.com/office/drawing/2012/chart" uri="{CE6537A1-D6FC-4f65-9D91-7224C49458BB}"/>
                <c:ext xmlns:c16="http://schemas.microsoft.com/office/drawing/2014/chart" uri="{C3380CC4-5D6E-409C-BE32-E72D297353CC}">
                  <c16:uniqueId val="{00000002-6ABF-480D-9A78-2F269E3A2DA8}"/>
                </c:ext>
              </c:extLst>
            </c:dLbl>
            <c:dLbl>
              <c:idx val="2"/>
              <c:delete val="1"/>
              <c:extLst>
                <c:ext xmlns:c15="http://schemas.microsoft.com/office/drawing/2012/chart" uri="{CE6537A1-D6FC-4f65-9D91-7224C49458BB}"/>
                <c:ext xmlns:c16="http://schemas.microsoft.com/office/drawing/2014/chart" uri="{C3380CC4-5D6E-409C-BE32-E72D297353CC}">
                  <c16:uniqueId val="{00000000-C876-4B1E-8CE3-E1241E10808D}"/>
                </c:ext>
              </c:extLst>
            </c:dLbl>
            <c:numFmt formatCode="0%" sourceLinked="0"/>
            <c:spPr>
              <a:solidFill>
                <a:srgbClr val="FF0000"/>
              </a:solidFill>
              <a:ln>
                <a:solidFill>
                  <a:schemeClr val="bg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(Synthèse!$F$46,Synthèse!$H$46,Synthèse!$J$46)</c:f>
              <c:numCache>
                <c:formatCode>0%</c:formatCode>
                <c:ptCount val="3"/>
                <c:pt idx="0">
                  <c:v>0.33333333333333331</c:v>
                </c:pt>
                <c:pt idx="1">
                  <c:v>0.33333333333333331</c:v>
                </c:pt>
                <c:pt idx="2">
                  <c:v>0.33333333333333331</c:v>
                </c:pt>
              </c:numCache>
            </c:numRef>
          </c:val>
          <c:smooth val="0"/>
          <c:extLst>
            <c:ext xmlns:c16="http://schemas.microsoft.com/office/drawing/2014/chart" uri="{C3380CC4-5D6E-409C-BE32-E72D297353CC}">
              <c16:uniqueId val="{00000003-6ABF-480D-9A78-2F269E3A2DA8}"/>
            </c:ext>
          </c:extLst>
        </c:ser>
        <c:dLbls>
          <c:showLegendKey val="0"/>
          <c:showVal val="0"/>
          <c:showCatName val="0"/>
          <c:showSerName val="0"/>
          <c:showPercent val="0"/>
          <c:showBubbleSize val="0"/>
        </c:dLbls>
        <c:dropLines>
          <c:spPr>
            <a:ln w="12700" cap="flat" cmpd="sng" algn="ctr">
              <a:solidFill>
                <a:schemeClr val="dk1">
                  <a:lumMod val="35000"/>
                  <a:lumOff val="65000"/>
                  <a:alpha val="33000"/>
                </a:schemeClr>
              </a:solidFill>
              <a:round/>
            </a:ln>
            <a:effectLst/>
          </c:spPr>
        </c:dropLines>
        <c:smooth val="0"/>
        <c:axId val="410833280"/>
        <c:axId val="410833672"/>
      </c:lineChart>
      <c:catAx>
        <c:axId val="41083328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1" i="0" u="none" strike="noStrike" kern="1200" spc="20" baseline="0">
                <a:solidFill>
                  <a:schemeClr val="bg1"/>
                </a:solidFill>
                <a:latin typeface="+mn-lt"/>
                <a:ea typeface="+mn-ea"/>
                <a:cs typeface="+mn-cs"/>
              </a:defRPr>
            </a:pPr>
            <a:endParaRPr lang="fr-FR"/>
          </a:p>
        </c:txPr>
        <c:crossAx val="410833672"/>
        <c:crosses val="autoZero"/>
        <c:auto val="1"/>
        <c:lblAlgn val="ctr"/>
        <c:lblOffset val="100"/>
        <c:noMultiLvlLbl val="0"/>
      </c:catAx>
      <c:valAx>
        <c:axId val="410833672"/>
        <c:scaling>
          <c:orientation val="minMax"/>
        </c:scaling>
        <c:delete val="1"/>
        <c:axPos val="l"/>
        <c:numFmt formatCode="0%" sourceLinked="1"/>
        <c:majorTickMark val="none"/>
        <c:minorTickMark val="none"/>
        <c:tickLblPos val="nextTo"/>
        <c:crossAx val="410833280"/>
        <c:crosses val="autoZero"/>
        <c:crossBetween val="between"/>
      </c:valAx>
      <c:spPr>
        <a:solidFill>
          <a:schemeClr val="accent3">
            <a:lumMod val="40000"/>
            <a:lumOff val="60000"/>
          </a:schemeClr>
        </a:solidFill>
        <a:ln>
          <a:noFill/>
        </a:ln>
        <a:effectLst/>
      </c:spPr>
    </c:plotArea>
    <c:plotVisOnly val="1"/>
    <c:dispBlanksAs val="gap"/>
    <c:showDLblsOverMax val="0"/>
  </c:chart>
  <c:spPr>
    <a:solidFill>
      <a:schemeClr val="bg1">
        <a:lumMod val="65000"/>
      </a:schemeClr>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bg1"/>
                </a:solidFill>
                <a:latin typeface="+mn-lt"/>
                <a:ea typeface="+mn-ea"/>
                <a:cs typeface="+mn-cs"/>
              </a:defRPr>
            </a:pPr>
            <a:r>
              <a:rPr lang="en-US" sz="1200" b="1" i="0" spc="100" baseline="0"/>
              <a:t>Montée en charge - 12 premiers mois</a:t>
            </a:r>
          </a:p>
        </c:rich>
      </c:tx>
      <c:overlay val="0"/>
      <c:spPr>
        <a:noFill/>
        <a:ln>
          <a:noFill/>
        </a:ln>
        <a:effectLst/>
      </c:spPr>
      <c:txPr>
        <a:bodyPr rot="0" spcFirstLastPara="1" vertOverflow="ellipsis" vert="horz" wrap="square" anchor="ctr" anchorCtr="1"/>
        <a:lstStyle/>
        <a:p>
          <a:pPr>
            <a:defRPr sz="1200" b="1" i="0" u="none" strike="noStrike" kern="1200" spc="100" baseline="0">
              <a:solidFill>
                <a:schemeClr val="bg1"/>
              </a:solidFill>
              <a:latin typeface="+mn-lt"/>
              <a:ea typeface="+mn-ea"/>
              <a:cs typeface="+mn-cs"/>
            </a:defRPr>
          </a:pPr>
          <a:endParaRPr lang="fr-FR"/>
        </a:p>
      </c:txPr>
    </c:title>
    <c:autoTitleDeleted val="0"/>
    <c:plotArea>
      <c:layout/>
      <c:barChart>
        <c:barDir val="col"/>
        <c:grouping val="clustered"/>
        <c:varyColors val="0"/>
        <c:ser>
          <c:idx val="0"/>
          <c:order val="0"/>
          <c:spPr>
            <a:solidFill>
              <a:srgbClr val="339966"/>
            </a:solidFill>
            <a:ln>
              <a:solidFill>
                <a:schemeClr val="bg1"/>
              </a:solidFill>
            </a:ln>
            <a:effectLst/>
          </c:spPr>
          <c:invertIfNegative val="0"/>
          <c:trendline>
            <c:spPr>
              <a:ln w="63500" cap="rnd">
                <a:solidFill>
                  <a:srgbClr val="FFC000"/>
                </a:solidFill>
                <a:prstDash val="sysDot"/>
              </a:ln>
              <a:effectLst/>
            </c:spPr>
            <c:trendlineType val="movingAvg"/>
            <c:period val="2"/>
            <c:dispRSqr val="0"/>
            <c:dispEq val="0"/>
          </c:trendline>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Ref>
              <c:f>('Chiffre d''affaires'!$C$21,'Chiffre d''affaires'!$E$21,'Chiffre d''affaires'!$F$21,'Chiffre d''affaires'!$H$21,'Chiffre d''affaires'!$I$21,'Chiffre d''affaires'!$J$21,'Chiffre d''affaires'!$K$21,'Chiffre d''affaires'!$L$21,'Chiffre d''affaires'!$M$21,'Chiffre d''affaires'!$N$21,'Chiffre d''affaires'!$O$21,'Chiffre d''affaires'!$P$21)</c:f>
              <c:numCache>
                <c:formatCode>#\ ##0"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BC6-4AD5-BD7D-F8B53B9FE7DC}"/>
            </c:ext>
          </c:extLst>
        </c:ser>
        <c:dLbls>
          <c:showLegendKey val="0"/>
          <c:showVal val="0"/>
          <c:showCatName val="0"/>
          <c:showSerName val="0"/>
          <c:showPercent val="0"/>
          <c:showBubbleSize val="0"/>
        </c:dLbls>
        <c:gapWidth val="15"/>
        <c:overlap val="-5"/>
        <c:axId val="228601736"/>
        <c:axId val="228600952"/>
      </c:barChart>
      <c:catAx>
        <c:axId val="22860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fr-FR"/>
          </a:p>
        </c:txPr>
        <c:crossAx val="228600952"/>
        <c:crosses val="autoZero"/>
        <c:auto val="1"/>
        <c:lblAlgn val="ctr"/>
        <c:lblOffset val="100"/>
        <c:noMultiLvlLbl val="0"/>
      </c:catAx>
      <c:valAx>
        <c:axId val="228600952"/>
        <c:scaling>
          <c:orientation val="minMax"/>
        </c:scaling>
        <c:delete val="1"/>
        <c:axPos val="l"/>
        <c:majorGridlines>
          <c:spPr>
            <a:ln w="9525" cap="flat" cmpd="sng" algn="ctr">
              <a:solidFill>
                <a:schemeClr val="tx1">
                  <a:lumMod val="15000"/>
                  <a:lumOff val="85000"/>
                </a:schemeClr>
              </a:solidFill>
              <a:round/>
            </a:ln>
            <a:effectLst/>
          </c:spPr>
        </c:majorGridlines>
        <c:numFmt formatCode="#\ ##0&quot; &quot;" sourceLinked="1"/>
        <c:majorTickMark val="none"/>
        <c:minorTickMark val="none"/>
        <c:tickLblPos val="nextTo"/>
        <c:crossAx val="228601736"/>
        <c:crosses val="autoZero"/>
        <c:crossBetween val="between"/>
      </c:valAx>
      <c:spPr>
        <a:noFill/>
        <a:ln>
          <a:noFill/>
        </a:ln>
        <a:effectLst/>
      </c:spPr>
    </c:plotArea>
    <c:plotVisOnly val="1"/>
    <c:dispBlanksAs val="gap"/>
    <c:showDLblsOverMax val="0"/>
  </c:chart>
  <c:spPr>
    <a:solidFill>
      <a:schemeClr val="bg1">
        <a:lumMod val="65000"/>
      </a:schemeClr>
    </a:solidFill>
    <a:ln w="9525" cap="flat" cmpd="sng" algn="ctr">
      <a:solidFill>
        <a:schemeClr val="tx1">
          <a:lumMod val="15000"/>
          <a:lumOff val="85000"/>
        </a:schemeClr>
      </a:solidFill>
      <a:round/>
    </a:ln>
    <a:effectLst/>
  </c:spPr>
  <c:txPr>
    <a:bodyPr/>
    <a:lstStyle/>
    <a:p>
      <a:pPr>
        <a:defRPr sz="1200">
          <a:solidFill>
            <a:schemeClr val="bg1"/>
          </a:solidFill>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view3D>
    <c:floor>
      <c:thickness val="0"/>
    </c:floor>
    <c:sideWall>
      <c:thickness val="0"/>
      <c:spPr>
        <a:solidFill>
          <a:schemeClr val="bg1">
            <a:lumMod val="85000"/>
          </a:schemeClr>
        </a:solidFill>
      </c:spPr>
    </c:sideWall>
    <c:backWall>
      <c:thickness val="0"/>
      <c:spPr>
        <a:solidFill>
          <a:schemeClr val="bg1">
            <a:lumMod val="85000"/>
          </a:schemeClr>
        </a:solidFill>
      </c:spPr>
    </c:backWall>
    <c:plotArea>
      <c:layout/>
      <c:bar3DChart>
        <c:barDir val="col"/>
        <c:grouping val="clustered"/>
        <c:varyColors val="0"/>
        <c:ser>
          <c:idx val="0"/>
          <c:order val="0"/>
          <c:tx>
            <c:v>1° exercice</c:v>
          </c:tx>
          <c:invertIfNegative val="0"/>
          <c:dPt>
            <c:idx val="0"/>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2700000" scaled="1"/>
                <a:tileRect/>
              </a:gradFill>
            </c:spPr>
            <c:extLst>
              <c:ext xmlns:c16="http://schemas.microsoft.com/office/drawing/2014/chart" uri="{C3380CC4-5D6E-409C-BE32-E72D297353CC}">
                <c16:uniqueId val="{00000000-20F0-4225-9462-61DE1E23E0B6}"/>
              </c:ext>
            </c:extLst>
          </c:dPt>
          <c:cat>
            <c:strLit>
              <c:ptCount val="1"/>
              <c:pt idx="0">
                <c:v>Durée des exercices</c:v>
              </c:pt>
            </c:strLit>
          </c:cat>
          <c:val>
            <c:numRef>
              <c:f>'Chiffre d''affaires'!$B$8</c:f>
              <c:numCache>
                <c:formatCode>0" mois"</c:formatCode>
                <c:ptCount val="1"/>
              </c:numCache>
            </c:numRef>
          </c:val>
          <c:extLst>
            <c:ext xmlns:c16="http://schemas.microsoft.com/office/drawing/2014/chart" uri="{C3380CC4-5D6E-409C-BE32-E72D297353CC}">
              <c16:uniqueId val="{00000001-20F0-4225-9462-61DE1E23E0B6}"/>
            </c:ext>
          </c:extLst>
        </c:ser>
        <c:ser>
          <c:idx val="1"/>
          <c:order val="1"/>
          <c:tx>
            <c:v>2° exercice</c:v>
          </c:tx>
          <c:spPr>
            <a:gradFill flip="none" rotWithShape="1">
              <a:gsLst>
                <a:gs pos="0">
                  <a:srgbClr val="800000">
                    <a:shade val="30000"/>
                    <a:satMod val="115000"/>
                  </a:srgbClr>
                </a:gs>
                <a:gs pos="50000">
                  <a:srgbClr val="800000">
                    <a:shade val="67500"/>
                    <a:satMod val="115000"/>
                  </a:srgbClr>
                </a:gs>
                <a:gs pos="100000">
                  <a:srgbClr val="800000">
                    <a:shade val="100000"/>
                    <a:satMod val="115000"/>
                  </a:srgbClr>
                </a:gs>
              </a:gsLst>
              <a:lin ang="0" scaled="1"/>
              <a:tileRect/>
            </a:gradFill>
          </c:spPr>
          <c:invertIfNegative val="0"/>
          <c:dPt>
            <c:idx val="0"/>
            <c:invertIfNegative val="0"/>
            <c:bubble3D val="0"/>
            <c:extLst>
              <c:ext xmlns:c16="http://schemas.microsoft.com/office/drawing/2014/chart" uri="{C3380CC4-5D6E-409C-BE32-E72D297353CC}">
                <c16:uniqueId val="{00000002-20F0-4225-9462-61DE1E23E0B6}"/>
              </c:ext>
            </c:extLst>
          </c:dPt>
          <c:cat>
            <c:strLit>
              <c:ptCount val="1"/>
              <c:pt idx="0">
                <c:v>Durée des exercices</c:v>
              </c:pt>
            </c:strLit>
          </c:cat>
          <c:val>
            <c:numRef>
              <c:f>'Chiffre d''affaires'!$E$8</c:f>
              <c:numCache>
                <c:formatCode>0" mois"</c:formatCode>
                <c:ptCount val="1"/>
              </c:numCache>
            </c:numRef>
          </c:val>
          <c:extLst>
            <c:ext xmlns:c16="http://schemas.microsoft.com/office/drawing/2014/chart" uri="{C3380CC4-5D6E-409C-BE32-E72D297353CC}">
              <c16:uniqueId val="{00000003-20F0-4225-9462-61DE1E23E0B6}"/>
            </c:ext>
          </c:extLst>
        </c:ser>
        <c:ser>
          <c:idx val="2"/>
          <c:order val="2"/>
          <c:tx>
            <c:v>3° exercice</c:v>
          </c:tx>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l="100000" b="100000"/>
              </a:path>
              <a:tileRect t="-100000" r="-100000"/>
            </a:gradFill>
          </c:spPr>
          <c:invertIfNegative val="0"/>
          <c:cat>
            <c:strLit>
              <c:ptCount val="1"/>
              <c:pt idx="0">
                <c:v>Durée des exercices</c:v>
              </c:pt>
            </c:strLit>
          </c:cat>
          <c:val>
            <c:numRef>
              <c:f>'Chiffre d''affaires'!$H$8</c:f>
              <c:numCache>
                <c:formatCode>0" mois"</c:formatCode>
                <c:ptCount val="1"/>
              </c:numCache>
            </c:numRef>
          </c:val>
          <c:extLst>
            <c:ext xmlns:c16="http://schemas.microsoft.com/office/drawing/2014/chart" uri="{C3380CC4-5D6E-409C-BE32-E72D297353CC}">
              <c16:uniqueId val="{00000005-20F0-4225-9462-61DE1E23E0B6}"/>
            </c:ext>
          </c:extLst>
        </c:ser>
        <c:dLbls>
          <c:showLegendKey val="0"/>
          <c:showVal val="0"/>
          <c:showCatName val="0"/>
          <c:showSerName val="0"/>
          <c:showPercent val="0"/>
          <c:showBubbleSize val="0"/>
        </c:dLbls>
        <c:gapWidth val="150"/>
        <c:shape val="box"/>
        <c:axId val="171265760"/>
        <c:axId val="390411144"/>
        <c:axId val="0"/>
      </c:bar3DChart>
      <c:catAx>
        <c:axId val="171265760"/>
        <c:scaling>
          <c:orientation val="minMax"/>
        </c:scaling>
        <c:delete val="1"/>
        <c:axPos val="b"/>
        <c:numFmt formatCode="mmm" sourceLinked="0"/>
        <c:majorTickMark val="out"/>
        <c:minorTickMark val="none"/>
        <c:tickLblPos val="nextTo"/>
        <c:crossAx val="390411144"/>
        <c:crosses val="autoZero"/>
        <c:auto val="1"/>
        <c:lblAlgn val="ctr"/>
        <c:lblOffset val="100"/>
        <c:noMultiLvlLbl val="0"/>
      </c:catAx>
      <c:valAx>
        <c:axId val="390411144"/>
        <c:scaling>
          <c:orientation val="minMax"/>
        </c:scaling>
        <c:delete val="1"/>
        <c:axPos val="l"/>
        <c:majorGridlines/>
        <c:numFmt formatCode="0&quot; mois&quot;" sourceLinked="1"/>
        <c:majorTickMark val="out"/>
        <c:minorTickMark val="none"/>
        <c:tickLblPos val="nextTo"/>
        <c:crossAx val="171265760"/>
        <c:crosses val="autoZero"/>
        <c:crossBetween val="between"/>
      </c:valAx>
      <c:dTable>
        <c:showHorzBorder val="1"/>
        <c:showVertBorder val="1"/>
        <c:showOutline val="1"/>
        <c:showKeys val="1"/>
        <c:spPr>
          <a:solidFill>
            <a:schemeClr val="bg1">
              <a:lumMod val="65000"/>
            </a:schemeClr>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txPr>
          <a:bodyPr/>
          <a:lstStyle/>
          <a:p>
            <a:pPr rtl="0">
              <a:defRPr sz="1000" b="1" i="1"/>
            </a:pPr>
            <a:endParaRPr lang="fr-FR"/>
          </a:p>
        </c:txPr>
      </c:dTable>
    </c:plotArea>
    <c:plotVisOnly val="1"/>
    <c:dispBlanksAs val="gap"/>
    <c:showDLblsOverMax val="0"/>
  </c:chart>
  <c:spPr>
    <a:solidFill>
      <a:schemeClr val="bg1">
        <a:lumMod val="65000"/>
      </a:schemeClr>
    </a:solidFill>
  </c:spPr>
  <c:txPr>
    <a:bodyPr/>
    <a:lstStyle/>
    <a:p>
      <a:pPr>
        <a:defRPr>
          <a:solidFill>
            <a:schemeClr val="bg1"/>
          </a:solidFill>
        </a:defRPr>
      </a:pPr>
      <a:endParaRPr lang="fr-F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solidFill>
          <a:schemeClr val="bg1">
            <a:lumMod val="65000"/>
          </a:schemeClr>
        </a:solidFill>
        <a:ln>
          <a:noFill/>
        </a:ln>
        <a:effectLst/>
        <a:sp3d/>
      </c:spPr>
    </c:sideWall>
    <c:backWall>
      <c:thickness val="0"/>
      <c:spPr>
        <a:solidFill>
          <a:schemeClr val="bg1">
            <a:lumMod val="65000"/>
          </a:schemeClr>
        </a:solidFill>
        <a:ln>
          <a:noFill/>
        </a:ln>
        <a:effectLst/>
        <a:sp3d/>
      </c:spPr>
    </c:backWall>
    <c:plotArea>
      <c:layout/>
      <c:bar3DChart>
        <c:barDir val="col"/>
        <c:grouping val="clustered"/>
        <c:varyColors val="0"/>
        <c:ser>
          <c:idx val="0"/>
          <c:order val="0"/>
          <c:tx>
            <c:v>Exercice 1</c:v>
          </c:tx>
          <c:spPr>
            <a:solidFill>
              <a:schemeClr val="accent1"/>
            </a:solidFill>
            <a:ln>
              <a:noFill/>
            </a:ln>
            <a:effectLst/>
            <a:sp3d/>
          </c:spPr>
          <c:invertIfNegative val="0"/>
          <c:dPt>
            <c:idx val="1"/>
            <c:invertIfNegative val="0"/>
            <c:bubble3D val="0"/>
            <c:spPr>
              <a:solidFill>
                <a:srgbClr val="800000"/>
              </a:solidFill>
              <a:ln>
                <a:noFill/>
              </a:ln>
              <a:effectLst/>
              <a:sp3d/>
            </c:spPr>
            <c:extLst>
              <c:ext xmlns:c16="http://schemas.microsoft.com/office/drawing/2014/chart" uri="{C3380CC4-5D6E-409C-BE32-E72D297353CC}">
                <c16:uniqueId val="{00000001-D010-4250-A845-93A75DBA5160}"/>
              </c:ext>
            </c:extLst>
          </c:dPt>
          <c:dPt>
            <c:idx val="2"/>
            <c:invertIfNegative val="0"/>
            <c:bubble3D val="0"/>
            <c:spPr>
              <a:solidFill>
                <a:srgbClr val="339966"/>
              </a:solidFill>
              <a:ln>
                <a:noFill/>
              </a:ln>
              <a:effectLst/>
              <a:sp3d/>
            </c:spPr>
            <c:extLst>
              <c:ext xmlns:c16="http://schemas.microsoft.com/office/drawing/2014/chart" uri="{C3380CC4-5D6E-409C-BE32-E72D297353CC}">
                <c16:uniqueId val="{00000003-D010-4250-A845-93A75DBA5160}"/>
              </c:ext>
            </c:extLst>
          </c:dPt>
          <c:dLbls>
            <c:dLbl>
              <c:idx val="0"/>
              <c:layout>
                <c:manualLayout>
                  <c:x val="2.7777777777777779E-3"/>
                  <c:y val="0.15277777777777779"/>
                </c:manualLayout>
              </c:layout>
              <c:numFmt formatCode="#\ ##0&quot; K€&quot;" sourceLinked="0"/>
              <c:spPr>
                <a:noFill/>
                <a:ln>
                  <a:noFill/>
                </a:ln>
                <a:effectLst/>
              </c:spPr>
              <c:txPr>
                <a:bodyPr rot="0" spcFirstLastPara="1" vertOverflow="clip" horzOverflow="clip" vert="horz" wrap="square" lIns="38100" tIns="19050" rIns="38100" bIns="19050" anchor="b"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D010-4250-A845-93A75DBA5160}"/>
                </c:ext>
              </c:extLst>
            </c:dLbl>
            <c:numFmt formatCode="#\ ##0&quot; K€&quot;" sourceLinked="0"/>
            <c:spPr>
              <a:noFill/>
              <a:ln>
                <a:noFill/>
              </a:ln>
              <a:effectLst/>
            </c:spPr>
            <c:txPr>
              <a:bodyPr rot="0" spcFirstLastPara="1" vertOverflow="clip" horzOverflow="clip" vert="horz" wrap="square" lIns="38100" tIns="19050" rIns="38100" bIns="19050" anchor="t" anchorCtr="0">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'Chiffre d''affaires'!$C$9</c:f>
              <c:numCache>
                <c:formatCode>#\ ##0" "</c:formatCode>
                <c:ptCount val="1"/>
                <c:pt idx="0">
                  <c:v>0</c:v>
                </c:pt>
              </c:numCache>
            </c:numRef>
          </c:val>
          <c:shape val="cylinder"/>
          <c:extLst>
            <c:ext xmlns:c16="http://schemas.microsoft.com/office/drawing/2014/chart" uri="{C3380CC4-5D6E-409C-BE32-E72D297353CC}">
              <c16:uniqueId val="{00000005-D010-4250-A845-93A75DBA5160}"/>
            </c:ext>
          </c:extLst>
        </c:ser>
        <c:ser>
          <c:idx val="1"/>
          <c:order val="1"/>
          <c:tx>
            <c:v>Exercice 2</c:v>
          </c:tx>
          <c:spPr>
            <a:solidFill>
              <a:srgbClr val="800000"/>
            </a:solidFill>
            <a:ln>
              <a:noFill/>
            </a:ln>
            <a:effectLst/>
            <a:sp3d/>
          </c:spPr>
          <c:invertIfNegative val="0"/>
          <c:dLbls>
            <c:dLbl>
              <c:idx val="0"/>
              <c:layout>
                <c:manualLayout>
                  <c:x val="-5.0925337632079971E-17"/>
                  <c:y val="0.1388888888888889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D010-4250-A845-93A75DBA5160}"/>
                </c:ext>
              </c:extLst>
            </c:dLbl>
            <c:numFmt formatCode="#\ ##0&quot; K€&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'Chiffre d''affaires'!$F$9</c:f>
              <c:numCache>
                <c:formatCode>#\ ##0" "</c:formatCode>
                <c:ptCount val="1"/>
                <c:pt idx="0">
                  <c:v>0</c:v>
                </c:pt>
              </c:numCache>
            </c:numRef>
          </c:val>
          <c:shape val="cylinder"/>
          <c:extLst>
            <c:ext xmlns:c16="http://schemas.microsoft.com/office/drawing/2014/chart" uri="{C3380CC4-5D6E-409C-BE32-E72D297353CC}">
              <c16:uniqueId val="{00000007-D010-4250-A845-93A75DBA5160}"/>
            </c:ext>
          </c:extLst>
        </c:ser>
        <c:ser>
          <c:idx val="2"/>
          <c:order val="2"/>
          <c:tx>
            <c:v>Exercice 3</c:v>
          </c:tx>
          <c:spPr>
            <a:solidFill>
              <a:srgbClr val="00B050"/>
            </a:solidFill>
            <a:ln>
              <a:noFill/>
            </a:ln>
            <a:effectLst/>
            <a:sp3d/>
          </c:spPr>
          <c:invertIfNegative val="0"/>
          <c:dPt>
            <c:idx val="0"/>
            <c:invertIfNegative val="0"/>
            <c:bubble3D val="0"/>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l="100000" b="100000"/>
                </a:path>
                <a:tileRect t="-100000" r="-100000"/>
              </a:gradFill>
              <a:ln>
                <a:noFill/>
              </a:ln>
              <a:effectLst/>
              <a:sp3d/>
            </c:spPr>
            <c:extLst>
              <c:ext xmlns:c16="http://schemas.microsoft.com/office/drawing/2014/chart" uri="{C3380CC4-5D6E-409C-BE32-E72D297353CC}">
                <c16:uniqueId val="{00000008-D010-4250-A845-93A75DBA5160}"/>
              </c:ext>
            </c:extLst>
          </c:dPt>
          <c:dLbls>
            <c:dLbl>
              <c:idx val="0"/>
              <c:layout>
                <c:manualLayout>
                  <c:x val="-1.0185067526415994E-16"/>
                  <c:y val="0.15277777777777779"/>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D010-4250-A845-93A75DBA5160}"/>
                </c:ext>
              </c:extLst>
            </c:dLbl>
            <c:numFmt formatCode="#\ ##0&quot; K€&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'Chiffre d''affaires'!$I$9</c:f>
              <c:numCache>
                <c:formatCode>#\ ##0" "</c:formatCode>
                <c:ptCount val="1"/>
                <c:pt idx="0">
                  <c:v>0</c:v>
                </c:pt>
              </c:numCache>
            </c:numRef>
          </c:val>
          <c:shape val="cylinder"/>
          <c:extLst>
            <c:ext xmlns:c16="http://schemas.microsoft.com/office/drawing/2014/chart" uri="{C3380CC4-5D6E-409C-BE32-E72D297353CC}">
              <c16:uniqueId val="{00000009-D010-4250-A845-93A75DBA5160}"/>
            </c:ext>
          </c:extLst>
        </c:ser>
        <c:dLbls>
          <c:showLegendKey val="0"/>
          <c:showVal val="0"/>
          <c:showCatName val="0"/>
          <c:showSerName val="0"/>
          <c:showPercent val="0"/>
          <c:showBubbleSize val="0"/>
        </c:dLbls>
        <c:gapWidth val="150"/>
        <c:shape val="box"/>
        <c:axId val="390412320"/>
        <c:axId val="390412712"/>
        <c:axId val="0"/>
      </c:bar3DChart>
      <c:catAx>
        <c:axId val="390412320"/>
        <c:scaling>
          <c:orientation val="minMax"/>
        </c:scaling>
        <c:delete val="1"/>
        <c:axPos val="b"/>
        <c:numFmt formatCode="0&quot; mois&quot;" sourceLinked="1"/>
        <c:majorTickMark val="none"/>
        <c:minorTickMark val="none"/>
        <c:tickLblPos val="nextTo"/>
        <c:crossAx val="390412712"/>
        <c:crosses val="autoZero"/>
        <c:auto val="1"/>
        <c:lblAlgn val="ctr"/>
        <c:lblOffset val="100"/>
        <c:noMultiLvlLbl val="0"/>
      </c:catAx>
      <c:valAx>
        <c:axId val="390412712"/>
        <c:scaling>
          <c:orientation val="minMax"/>
        </c:scaling>
        <c:delete val="1"/>
        <c:axPos val="l"/>
        <c:majorGridlines>
          <c:spPr>
            <a:ln w="9525" cap="flat" cmpd="sng" algn="ctr">
              <a:solidFill>
                <a:schemeClr val="tx1">
                  <a:lumMod val="15000"/>
                  <a:lumOff val="85000"/>
                </a:schemeClr>
              </a:solidFill>
              <a:round/>
            </a:ln>
            <a:effectLst/>
          </c:spPr>
        </c:majorGridlines>
        <c:numFmt formatCode="#\ ##0&quot; &quot;" sourceLinked="1"/>
        <c:majorTickMark val="none"/>
        <c:minorTickMark val="none"/>
        <c:tickLblPos val="nextTo"/>
        <c:crossAx val="390412320"/>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fr-FR"/>
          </a:p>
        </c:txPr>
      </c:legendEntry>
      <c:legendEntry>
        <c:idx val="1"/>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fr-FR"/>
          </a:p>
        </c:txPr>
      </c:legendEntry>
      <c:legendEntry>
        <c:idx val="2"/>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fr-FR"/>
          </a:p>
        </c:txPr>
      </c:legendEntry>
      <c:overlay val="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fr-FR"/>
        </a:p>
      </c:txPr>
    </c:legend>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800080"/>
                </a:solidFill>
                <a:latin typeface="Calibri"/>
                <a:ea typeface="Calibri"/>
                <a:cs typeface="Calibri"/>
              </a:defRPr>
            </a:pPr>
            <a:r>
              <a:rPr lang="fr-FR"/>
              <a:t>Répartition de l'effectif de départ</a:t>
            </a:r>
          </a:p>
        </c:rich>
      </c:tx>
      <c:layout>
        <c:manualLayout>
          <c:xMode val="edge"/>
          <c:yMode val="edge"/>
          <c:x val="0.31460746204192802"/>
          <c:y val="3.5502958579881699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8675657300658"/>
          <c:y val="0.30769230769230799"/>
          <c:w val="0.600993863334503"/>
          <c:h val="0.42603550295858"/>
        </c:manualLayout>
      </c:layout>
      <c:pie3DChart>
        <c:varyColors val="1"/>
        <c:ser>
          <c:idx val="0"/>
          <c:order val="0"/>
          <c:spPr>
            <a:solidFill>
              <a:srgbClr val="9999FF"/>
            </a:solidFill>
            <a:ln w="12700">
              <a:solidFill>
                <a:srgbClr val="000000"/>
              </a:solidFill>
              <a:prstDash val="solid"/>
            </a:ln>
          </c:spPr>
          <c:dPt>
            <c:idx val="0"/>
            <c:bubble3D val="0"/>
            <c:spPr>
              <a:solidFill>
                <a:srgbClr val="0000FF"/>
              </a:solidFill>
              <a:ln w="12700">
                <a:solidFill>
                  <a:srgbClr val="000000"/>
                </a:solidFill>
                <a:prstDash val="solid"/>
              </a:ln>
            </c:spPr>
            <c:extLst>
              <c:ext xmlns:c16="http://schemas.microsoft.com/office/drawing/2014/chart" uri="{C3380CC4-5D6E-409C-BE32-E72D297353CC}">
                <c16:uniqueId val="{00000001-7444-448F-8648-9FB85BDF005E}"/>
              </c:ext>
            </c:extLst>
          </c:dPt>
          <c:dPt>
            <c:idx val="1"/>
            <c:bubble3D val="0"/>
            <c:spPr>
              <a:solidFill>
                <a:srgbClr val="FFC000"/>
              </a:solidFill>
              <a:ln w="12700">
                <a:solidFill>
                  <a:srgbClr val="000000"/>
                </a:solidFill>
                <a:prstDash val="solid"/>
              </a:ln>
            </c:spPr>
            <c:extLst>
              <c:ext xmlns:c16="http://schemas.microsoft.com/office/drawing/2014/chart" uri="{C3380CC4-5D6E-409C-BE32-E72D297353CC}">
                <c16:uniqueId val="{00000003-7444-448F-8648-9FB85BDF005E}"/>
              </c:ext>
            </c:extLst>
          </c:dPt>
          <c:dPt>
            <c:idx val="2"/>
            <c:bubble3D val="0"/>
            <c:spPr>
              <a:solidFill>
                <a:srgbClr val="FFFF99"/>
              </a:solidFill>
              <a:ln w="12700">
                <a:solidFill>
                  <a:srgbClr val="000000"/>
                </a:solidFill>
                <a:prstDash val="solid"/>
              </a:ln>
            </c:spPr>
            <c:extLst>
              <c:ext xmlns:c16="http://schemas.microsoft.com/office/drawing/2014/chart" uri="{C3380CC4-5D6E-409C-BE32-E72D297353CC}">
                <c16:uniqueId val="{00000005-7444-448F-8648-9FB85BDF005E}"/>
              </c:ext>
            </c:extLst>
          </c:dPt>
          <c:dPt>
            <c:idx val="3"/>
            <c:bubble3D val="0"/>
            <c:spPr>
              <a:solidFill>
                <a:srgbClr val="993366"/>
              </a:solidFill>
              <a:ln w="12700">
                <a:solidFill>
                  <a:srgbClr val="000000"/>
                </a:solidFill>
                <a:prstDash val="solid"/>
              </a:ln>
            </c:spPr>
            <c:extLst>
              <c:ext xmlns:c16="http://schemas.microsoft.com/office/drawing/2014/chart" uri="{C3380CC4-5D6E-409C-BE32-E72D297353CC}">
                <c16:uniqueId val="{00000007-7444-448F-8648-9FB85BDF005E}"/>
              </c:ext>
            </c:extLst>
          </c:dPt>
          <c:dPt>
            <c:idx val="4"/>
            <c:bubble3D val="0"/>
            <c:spPr>
              <a:solidFill>
                <a:srgbClr val="008080"/>
              </a:solidFill>
              <a:ln w="12700">
                <a:solidFill>
                  <a:srgbClr val="000000"/>
                </a:solidFill>
                <a:prstDash val="solid"/>
              </a:ln>
            </c:spPr>
            <c:extLst>
              <c:ext xmlns:c16="http://schemas.microsoft.com/office/drawing/2014/chart" uri="{C3380CC4-5D6E-409C-BE32-E72D297353CC}">
                <c16:uniqueId val="{00000009-7444-448F-8648-9FB85BDF005E}"/>
              </c:ext>
            </c:extLst>
          </c:dPt>
          <c:dPt>
            <c:idx val="5"/>
            <c:bubble3D val="0"/>
            <c:spPr>
              <a:solidFill>
                <a:srgbClr val="666699"/>
              </a:solidFill>
              <a:ln w="12700">
                <a:solidFill>
                  <a:srgbClr val="000000"/>
                </a:solidFill>
                <a:prstDash val="solid"/>
              </a:ln>
            </c:spPr>
            <c:extLst>
              <c:ext xmlns:c16="http://schemas.microsoft.com/office/drawing/2014/chart" uri="{C3380CC4-5D6E-409C-BE32-E72D297353CC}">
                <c16:uniqueId val="{0000000B-7444-448F-8648-9FB85BDF005E}"/>
              </c:ext>
            </c:extLst>
          </c:dPt>
          <c:dPt>
            <c:idx val="6"/>
            <c:bubble3D val="0"/>
            <c:spPr>
              <a:solidFill>
                <a:schemeClr val="accent3">
                  <a:lumMod val="50000"/>
                </a:schemeClr>
              </a:solidFill>
              <a:ln w="12700">
                <a:solidFill>
                  <a:srgbClr val="000000"/>
                </a:solidFill>
                <a:prstDash val="solid"/>
              </a:ln>
            </c:spPr>
            <c:extLst>
              <c:ext xmlns:c16="http://schemas.microsoft.com/office/drawing/2014/chart" uri="{C3380CC4-5D6E-409C-BE32-E72D297353CC}">
                <c16:uniqueId val="{0000000D-7444-448F-8648-9FB85BDF005E}"/>
              </c:ext>
            </c:extLst>
          </c:dPt>
          <c:dLbls>
            <c:dLbl>
              <c:idx val="0"/>
              <c:numFmt formatCode="0%" sourceLinked="0"/>
              <c:spPr>
                <a:solidFill>
                  <a:srgbClr val="0000FF"/>
                </a:solidFill>
                <a:ln w="3175">
                  <a:solidFill>
                    <a:srgbClr val="000000"/>
                  </a:solidFill>
                  <a:prstDash val="solid"/>
                </a:ln>
                <a:effectLst>
                  <a:outerShdw dist="35921" dir="2700000" algn="br">
                    <a:srgbClr val="000000"/>
                  </a:outerShdw>
                </a:effectLst>
              </c:spPr>
              <c:txPr>
                <a:bodyPr/>
                <a:lstStyle/>
                <a:p>
                  <a:pPr>
                    <a:defRPr sz="925" b="1" i="0" u="none" strike="noStrike" baseline="0">
                      <a:solidFill>
                        <a:srgbClr val="FFFFFF"/>
                      </a:solidFill>
                      <a:latin typeface="Calibri"/>
                      <a:ea typeface="Calibri"/>
                      <a:cs typeface="Calibri"/>
                    </a:defRPr>
                  </a:pPr>
                  <a:endParaRPr lang="fr-FR"/>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444-448F-8648-9FB85BDF005E}"/>
                </c:ext>
              </c:extLst>
            </c:dLbl>
            <c:dLbl>
              <c:idx val="1"/>
              <c:numFmt formatCode="0%" sourceLinked="0"/>
              <c:spPr>
                <a:solidFill>
                  <a:srgbClr val="FFC000"/>
                </a:solidFill>
                <a:ln w="3175">
                  <a:solidFill>
                    <a:srgbClr val="000000"/>
                  </a:solidFill>
                  <a:prstDash val="solid"/>
                </a:ln>
                <a:effectLst>
                  <a:outerShdw dist="35921" dir="2700000" algn="br">
                    <a:srgbClr val="000000"/>
                  </a:outerShdw>
                </a:effectLst>
              </c:spPr>
              <c:txPr>
                <a:bodyPr/>
                <a:lstStyle/>
                <a:p>
                  <a:pPr>
                    <a:defRPr sz="925" b="1" i="0" u="none" strike="noStrike" baseline="0">
                      <a:solidFill>
                        <a:srgbClr val="000080"/>
                      </a:solidFill>
                      <a:latin typeface="Calibri"/>
                      <a:ea typeface="Calibri"/>
                      <a:cs typeface="Calibri"/>
                    </a:defRPr>
                  </a:pPr>
                  <a:endParaRPr lang="fr-FR"/>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444-448F-8648-9FB85BDF005E}"/>
                </c:ext>
              </c:extLst>
            </c:dLbl>
            <c:dLbl>
              <c:idx val="2"/>
              <c:numFmt formatCode="0%" sourceLinked="0"/>
              <c:spPr>
                <a:solidFill>
                  <a:srgbClr val="FFFF99"/>
                </a:solidFill>
                <a:ln w="3175">
                  <a:solidFill>
                    <a:srgbClr val="000000"/>
                  </a:solidFill>
                  <a:prstDash val="solid"/>
                </a:ln>
                <a:effectLst>
                  <a:outerShdw dist="35921" dir="2700000" algn="br">
                    <a:srgbClr val="000000"/>
                  </a:outerShdw>
                </a:effectLst>
              </c:spPr>
              <c:txPr>
                <a:bodyPr/>
                <a:lstStyle/>
                <a:p>
                  <a:pPr>
                    <a:defRPr sz="925" b="1" i="0" u="none" strike="noStrike" baseline="0">
                      <a:solidFill>
                        <a:srgbClr val="000080"/>
                      </a:solidFill>
                      <a:latin typeface="Calibri"/>
                      <a:ea typeface="Calibri"/>
                      <a:cs typeface="Calibri"/>
                    </a:defRPr>
                  </a:pPr>
                  <a:endParaRPr lang="fr-FR"/>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444-448F-8648-9FB85BDF005E}"/>
                </c:ext>
              </c:extLst>
            </c:dLbl>
            <c:dLbl>
              <c:idx val="3"/>
              <c:numFmt formatCode="0%" sourceLinked="0"/>
              <c:spPr>
                <a:solidFill>
                  <a:srgbClr val="993366"/>
                </a:solidFill>
                <a:ln w="3175">
                  <a:solidFill>
                    <a:srgbClr val="000000"/>
                  </a:solidFill>
                  <a:prstDash val="solid"/>
                </a:ln>
                <a:effectLst>
                  <a:outerShdw dist="35921" dir="2700000" algn="br">
                    <a:srgbClr val="000000"/>
                  </a:outerShdw>
                </a:effectLst>
              </c:spPr>
              <c:txPr>
                <a:bodyPr/>
                <a:lstStyle/>
                <a:p>
                  <a:pPr>
                    <a:defRPr sz="925" b="1" i="0" u="none" strike="noStrike" baseline="0">
                      <a:solidFill>
                        <a:srgbClr val="FFFFFF"/>
                      </a:solidFill>
                      <a:latin typeface="Calibri"/>
                      <a:ea typeface="Calibri"/>
                      <a:cs typeface="Calibri"/>
                    </a:defRPr>
                  </a:pPr>
                  <a:endParaRPr lang="fr-FR"/>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7444-448F-8648-9FB85BDF005E}"/>
                </c:ext>
              </c:extLst>
            </c:dLbl>
            <c:dLbl>
              <c:idx val="4"/>
              <c:numFmt formatCode="0%" sourceLinked="0"/>
              <c:spPr>
                <a:solidFill>
                  <a:srgbClr val="008080"/>
                </a:solidFill>
                <a:ln w="3175">
                  <a:solidFill>
                    <a:srgbClr val="000000"/>
                  </a:solidFill>
                  <a:prstDash val="solid"/>
                </a:ln>
                <a:effectLst>
                  <a:outerShdw dist="35921" dir="2700000" algn="br">
                    <a:srgbClr val="000000"/>
                  </a:outerShdw>
                </a:effectLst>
              </c:spPr>
              <c:txPr>
                <a:bodyPr/>
                <a:lstStyle/>
                <a:p>
                  <a:pPr>
                    <a:defRPr sz="925" b="1" i="0" u="none" strike="noStrike" baseline="0">
                      <a:solidFill>
                        <a:srgbClr val="FFFFFF"/>
                      </a:solidFill>
                      <a:latin typeface="Calibri"/>
                      <a:ea typeface="Calibri"/>
                      <a:cs typeface="Calibri"/>
                    </a:defRPr>
                  </a:pPr>
                  <a:endParaRPr lang="fr-FR"/>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7444-448F-8648-9FB85BDF005E}"/>
                </c:ext>
              </c:extLst>
            </c:dLbl>
            <c:dLbl>
              <c:idx val="5"/>
              <c:numFmt formatCode="0%" sourceLinked="0"/>
              <c:spPr>
                <a:solidFill>
                  <a:srgbClr val="666699"/>
                </a:solidFill>
                <a:ln w="3175">
                  <a:solidFill>
                    <a:srgbClr val="000000"/>
                  </a:solidFill>
                  <a:prstDash val="solid"/>
                </a:ln>
                <a:effectLst>
                  <a:outerShdw dist="35921" dir="2700000" algn="br">
                    <a:srgbClr val="000000"/>
                  </a:outerShdw>
                </a:effectLst>
              </c:spPr>
              <c:txPr>
                <a:bodyPr/>
                <a:lstStyle/>
                <a:p>
                  <a:pPr>
                    <a:defRPr sz="925" b="1" i="0" u="none" strike="noStrike" baseline="0">
                      <a:solidFill>
                        <a:schemeClr val="bg1"/>
                      </a:solidFill>
                      <a:latin typeface="Calibri"/>
                      <a:ea typeface="Calibri"/>
                      <a:cs typeface="Calibri"/>
                    </a:defRPr>
                  </a:pPr>
                  <a:endParaRPr lang="fr-FR"/>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444-448F-8648-9FB85BDF005E}"/>
                </c:ext>
              </c:extLst>
            </c:dLbl>
            <c:dLbl>
              <c:idx val="6"/>
              <c:numFmt formatCode="0%" sourceLinked="0"/>
              <c:spPr>
                <a:solidFill>
                  <a:schemeClr val="accent3">
                    <a:lumMod val="50000"/>
                  </a:schemeClr>
                </a:solidFill>
                <a:ln w="3175">
                  <a:solidFill>
                    <a:srgbClr val="000000"/>
                  </a:solidFill>
                  <a:prstDash val="solid"/>
                </a:ln>
                <a:effectLst>
                  <a:outerShdw dist="35921" dir="2700000" algn="br">
                    <a:srgbClr val="000000"/>
                  </a:outerShdw>
                </a:effectLst>
              </c:spPr>
              <c:txPr>
                <a:bodyPr/>
                <a:lstStyle/>
                <a:p>
                  <a:pPr>
                    <a:defRPr sz="925" b="1" i="0" u="none" strike="noStrike" baseline="0">
                      <a:solidFill>
                        <a:schemeClr val="bg1"/>
                      </a:solidFill>
                      <a:latin typeface="Calibri"/>
                      <a:ea typeface="Calibri"/>
                      <a:cs typeface="Calibri"/>
                    </a:defRPr>
                  </a:pPr>
                  <a:endParaRPr lang="fr-FR"/>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444-448F-8648-9FB85BDF005E}"/>
                </c:ext>
              </c:extLst>
            </c:dLbl>
            <c:numFmt formatCode="0%" sourceLinked="0"/>
            <c:spPr>
              <a:solidFill>
                <a:srgbClr val="666699"/>
              </a:solidFill>
              <a:ln w="3175">
                <a:solidFill>
                  <a:srgbClr val="000000"/>
                </a:solidFill>
                <a:prstDash val="solid"/>
              </a:ln>
              <a:effectLst>
                <a:outerShdw dist="35921" dir="2700000" algn="br">
                  <a:srgbClr val="000000"/>
                </a:outerShdw>
              </a:effectLst>
            </c:spPr>
            <c:txPr>
              <a:bodyPr/>
              <a:lstStyle/>
              <a:p>
                <a:pPr>
                  <a:defRPr sz="925" b="1" i="0" u="none" strike="noStrike" baseline="0">
                    <a:solidFill>
                      <a:srgbClr val="000080"/>
                    </a:solidFill>
                    <a:latin typeface="Calibri"/>
                    <a:ea typeface="Calibri"/>
                    <a:cs typeface="Calibri"/>
                  </a:defRPr>
                </a:pPr>
                <a:endParaRPr lang="fr-FR"/>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'Moyens d''exploitation'!$B$84:$B$90</c:f>
              <c:strCache>
                <c:ptCount val="7"/>
                <c:pt idx="0">
                  <c:v> Direction  </c:v>
                </c:pt>
                <c:pt idx="1">
                  <c:v> Commercial  </c:v>
                </c:pt>
                <c:pt idx="2">
                  <c:v> Marketing</c:v>
                </c:pt>
                <c:pt idx="3">
                  <c:v> R &amp; D</c:v>
                </c:pt>
                <c:pt idx="4">
                  <c:v> Administratif  </c:v>
                </c:pt>
                <c:pt idx="5">
                  <c:v> Production  </c:v>
                </c:pt>
                <c:pt idx="6">
                  <c:v> Autres  </c:v>
                </c:pt>
              </c:strCache>
            </c:strRef>
          </c:cat>
          <c:val>
            <c:numRef>
              <c:f>'Moyens d''exploitation'!$P$84:$P$90</c:f>
              <c:numCache>
                <c:formatCode>#\ ##0"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7444-448F-8648-9FB85BDF005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lumMod val="85000"/>
      </a:schemeClr>
    </a:solidFill>
    <a:ln w="9525">
      <a:solidFill>
        <a:srgbClr val="000000"/>
      </a:solid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00002" footer="0.49212598450000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800080"/>
                </a:solidFill>
                <a:latin typeface="Calibri"/>
                <a:ea typeface="Calibri"/>
                <a:cs typeface="Calibri"/>
              </a:defRPr>
            </a:pPr>
            <a:r>
              <a:rPr lang="fr-FR"/>
              <a:t>Evolution des effectifs</a:t>
            </a:r>
          </a:p>
        </c:rich>
      </c:tx>
      <c:layout>
        <c:manualLayout>
          <c:xMode val="edge"/>
          <c:yMode val="edge"/>
          <c:x val="0.36654163079060398"/>
          <c:y val="3.7800659532943003E-2"/>
        </c:manualLayout>
      </c:layout>
      <c:overlay val="0"/>
      <c:spPr>
        <a:noFill/>
        <a:ln w="25400">
          <a:noFill/>
        </a:ln>
      </c:spPr>
    </c:title>
    <c:autoTitleDeleted val="0"/>
    <c:plotArea>
      <c:layout>
        <c:manualLayout>
          <c:layoutTarget val="inner"/>
          <c:xMode val="edge"/>
          <c:yMode val="edge"/>
          <c:x val="8.1123552216523398E-2"/>
          <c:y val="0.19226229785792906"/>
          <c:w val="0.88723195097421603"/>
          <c:h val="0.71795071545226596"/>
        </c:manualLayout>
      </c:layout>
      <c:barChart>
        <c:barDir val="col"/>
        <c:grouping val="clustered"/>
        <c:varyColors val="0"/>
        <c:ser>
          <c:idx val="0"/>
          <c:order val="0"/>
          <c:tx>
            <c:strRef>
              <c:f>'Moyens d''exploitation'!$L$94</c:f>
              <c:strCache>
                <c:ptCount val="1"/>
                <c:pt idx="0">
                  <c:v>Début</c:v>
                </c:pt>
              </c:strCache>
            </c:strRef>
          </c:tx>
          <c:spPr>
            <a:solidFill>
              <a:srgbClr val="0000FF"/>
            </a:solidFill>
            <a:ln w="25400">
              <a:noFill/>
            </a:ln>
          </c:spPr>
          <c:invertIfNegative val="0"/>
          <c:dLbls>
            <c:spPr>
              <a:noFill/>
              <a:ln w="25400">
                <a:noFill/>
              </a:ln>
            </c:spPr>
            <c:txPr>
              <a:bodyPr/>
              <a:lstStyle/>
              <a:p>
                <a:pPr>
                  <a:defRPr sz="1100" b="1" i="0" u="none" strike="noStrike" baseline="0">
                    <a:solidFill>
                      <a:srgbClr val="FFFFFF"/>
                    </a:solidFill>
                    <a:latin typeface="Calibri"/>
                    <a:ea typeface="Calibri"/>
                    <a:cs typeface="Calibri"/>
                  </a:defRPr>
                </a:pPr>
                <a:endParaRPr lang="fr-FR"/>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'Moyens d''exploitation'!$L$95:$M$95</c:f>
              <c:numCache>
                <c:formatCode>#\ ##0" "</c:formatCode>
                <c:ptCount val="2"/>
                <c:pt idx="0">
                  <c:v>0</c:v>
                </c:pt>
              </c:numCache>
            </c:numRef>
          </c:val>
          <c:extLst>
            <c:ext xmlns:c16="http://schemas.microsoft.com/office/drawing/2014/chart" uri="{C3380CC4-5D6E-409C-BE32-E72D297353CC}">
              <c16:uniqueId val="{00000000-D5FB-4F4F-8EB8-935F34B142E7}"/>
            </c:ext>
          </c:extLst>
        </c:ser>
        <c:ser>
          <c:idx val="1"/>
          <c:order val="1"/>
          <c:tx>
            <c:strRef>
              <c:f>'Moyens d''exploitation'!$O$94</c:f>
              <c:strCache>
                <c:ptCount val="1"/>
                <c:pt idx="0">
                  <c:v>An 1</c:v>
                </c:pt>
              </c:strCache>
            </c:strRef>
          </c:tx>
          <c:spPr>
            <a:solidFill>
              <a:srgbClr val="00B0F0"/>
            </a:solidFill>
            <a:ln w="25400">
              <a:noFill/>
            </a:ln>
          </c:spPr>
          <c:invertIfNegative val="0"/>
          <c:dLbls>
            <c:spPr>
              <a:noFill/>
              <a:ln w="25400">
                <a:noFill/>
              </a:ln>
            </c:spPr>
            <c:txPr>
              <a:bodyPr/>
              <a:lstStyle/>
              <a:p>
                <a:pPr>
                  <a:defRPr sz="1100" b="1" i="0" u="none" strike="noStrike" baseline="0">
                    <a:solidFill>
                      <a:schemeClr val="bg1"/>
                    </a:solidFill>
                    <a:latin typeface="Calibri"/>
                    <a:ea typeface="Calibri"/>
                    <a:cs typeface="Calibri"/>
                  </a:defRPr>
                </a:pPr>
                <a:endParaRPr lang="fr-FR"/>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'Moyens d''exploitation'!$N$95:$O$95</c:f>
              <c:numCache>
                <c:formatCode>#\ ##0" "</c:formatCode>
                <c:ptCount val="2"/>
                <c:pt idx="0">
                  <c:v>0</c:v>
                </c:pt>
              </c:numCache>
            </c:numRef>
          </c:val>
          <c:extLst>
            <c:ext xmlns:c16="http://schemas.microsoft.com/office/drawing/2014/chart" uri="{C3380CC4-5D6E-409C-BE32-E72D297353CC}">
              <c16:uniqueId val="{00000001-D5FB-4F4F-8EB8-935F34B142E7}"/>
            </c:ext>
          </c:extLst>
        </c:ser>
        <c:ser>
          <c:idx val="2"/>
          <c:order val="2"/>
          <c:tx>
            <c:strRef>
              <c:f>'Moyens d''exploitation'!$R$94</c:f>
              <c:strCache>
                <c:ptCount val="1"/>
                <c:pt idx="0">
                  <c:v>An 2</c:v>
                </c:pt>
              </c:strCache>
            </c:strRef>
          </c:tx>
          <c:spPr>
            <a:solidFill>
              <a:srgbClr val="002060"/>
            </a:solidFill>
            <a:ln w="25400">
              <a:noFill/>
            </a:ln>
          </c:spPr>
          <c:invertIfNegative val="0"/>
          <c:dPt>
            <c:idx val="0"/>
            <c:invertIfNegative val="0"/>
            <c:bubble3D val="0"/>
            <c:extLst>
              <c:ext xmlns:c16="http://schemas.microsoft.com/office/drawing/2014/chart" uri="{C3380CC4-5D6E-409C-BE32-E72D297353CC}">
                <c16:uniqueId val="{00000002-D5FB-4F4F-8EB8-935F34B142E7}"/>
              </c:ext>
            </c:extLst>
          </c:dPt>
          <c:dLbls>
            <c:dLbl>
              <c:idx val="0"/>
              <c:dLblPos val="inEnd"/>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5FB-4F4F-8EB8-935F34B142E7}"/>
                </c:ext>
              </c:extLst>
            </c:dLbl>
            <c:spPr>
              <a:noFill/>
              <a:ln w="25400">
                <a:noFill/>
              </a:ln>
            </c:spPr>
            <c:txPr>
              <a:bodyPr/>
              <a:lstStyle/>
              <a:p>
                <a:pPr>
                  <a:defRPr sz="1100" b="1" i="0" u="none" strike="noStrike" baseline="0">
                    <a:solidFill>
                      <a:schemeClr val="bg1"/>
                    </a:solidFill>
                    <a:latin typeface="Calibri"/>
                    <a:ea typeface="Calibri"/>
                    <a:cs typeface="Calibri"/>
                  </a:defRPr>
                </a:pPr>
                <a:endParaRPr lang="fr-FR"/>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'Moyens d''exploitation'!$Q$95:$R$95</c:f>
              <c:numCache>
                <c:formatCode>#\ ##0" "</c:formatCode>
                <c:ptCount val="2"/>
                <c:pt idx="0">
                  <c:v>0</c:v>
                </c:pt>
              </c:numCache>
            </c:numRef>
          </c:val>
          <c:extLst>
            <c:ext xmlns:c16="http://schemas.microsoft.com/office/drawing/2014/chart" uri="{C3380CC4-5D6E-409C-BE32-E72D297353CC}">
              <c16:uniqueId val="{00000003-D5FB-4F4F-8EB8-935F34B142E7}"/>
            </c:ext>
          </c:extLst>
        </c:ser>
        <c:ser>
          <c:idx val="3"/>
          <c:order val="3"/>
          <c:tx>
            <c:strRef>
              <c:f>'Moyens d''exploitation'!$T$94</c:f>
              <c:strCache>
                <c:ptCount val="1"/>
                <c:pt idx="0">
                  <c:v>An 3</c:v>
                </c:pt>
              </c:strCache>
            </c:strRef>
          </c:tx>
          <c:spPr>
            <a:solidFill>
              <a:schemeClr val="accent1">
                <a:lumMod val="50000"/>
              </a:schemeClr>
            </a:solidFill>
            <a:ln w="25400">
              <a:noFill/>
            </a:ln>
          </c:spPr>
          <c:invertIfNegative val="0"/>
          <c:dLbls>
            <c:spPr>
              <a:noFill/>
              <a:ln w="25400">
                <a:noFill/>
              </a:ln>
            </c:spPr>
            <c:txPr>
              <a:bodyPr/>
              <a:lstStyle/>
              <a:p>
                <a:pPr>
                  <a:defRPr sz="1100" b="1" i="0" u="none" strike="noStrike" baseline="0">
                    <a:solidFill>
                      <a:srgbClr val="FFFFFF"/>
                    </a:solidFill>
                    <a:latin typeface="Calibri"/>
                    <a:ea typeface="Calibri"/>
                    <a:cs typeface="Calibri"/>
                  </a:defRPr>
                </a:pPr>
                <a:endParaRPr lang="fr-FR"/>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'Moyens d''exploitation'!$S$95:$T$95</c:f>
              <c:numCache>
                <c:formatCode>#\ ##0" "</c:formatCode>
                <c:ptCount val="2"/>
                <c:pt idx="0">
                  <c:v>0</c:v>
                </c:pt>
              </c:numCache>
            </c:numRef>
          </c:val>
          <c:extLst>
            <c:ext xmlns:c16="http://schemas.microsoft.com/office/drawing/2014/chart" uri="{C3380CC4-5D6E-409C-BE32-E72D297353CC}">
              <c16:uniqueId val="{00000004-D5FB-4F4F-8EB8-935F34B142E7}"/>
            </c:ext>
          </c:extLst>
        </c:ser>
        <c:dLbls>
          <c:showLegendKey val="0"/>
          <c:showVal val="0"/>
          <c:showCatName val="0"/>
          <c:showSerName val="0"/>
          <c:showPercent val="0"/>
          <c:showBubbleSize val="0"/>
        </c:dLbls>
        <c:gapWidth val="50"/>
        <c:axId val="390413888"/>
        <c:axId val="390414280"/>
      </c:barChart>
      <c:catAx>
        <c:axId val="390413888"/>
        <c:scaling>
          <c:orientation val="minMax"/>
        </c:scaling>
        <c:delete val="1"/>
        <c:axPos val="b"/>
        <c:majorTickMark val="out"/>
        <c:minorTickMark val="none"/>
        <c:tickLblPos val="nextTo"/>
        <c:crossAx val="390414280"/>
        <c:crosses val="autoZero"/>
        <c:auto val="1"/>
        <c:lblAlgn val="ctr"/>
        <c:lblOffset val="100"/>
        <c:noMultiLvlLbl val="0"/>
      </c:catAx>
      <c:valAx>
        <c:axId val="390414280"/>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2060"/>
                </a:solidFill>
                <a:latin typeface="Calibri"/>
                <a:ea typeface="Calibri"/>
                <a:cs typeface="Calibri"/>
              </a:defRPr>
            </a:pPr>
            <a:endParaRPr lang="fr-FR"/>
          </a:p>
        </c:txPr>
        <c:crossAx val="390413888"/>
        <c:crosses val="autoZero"/>
        <c:crossBetween val="between"/>
      </c:valAx>
      <c:spPr>
        <a:solidFill>
          <a:srgbClr val="C0C0C0"/>
        </a:solidFill>
        <a:ln w="3175">
          <a:solidFill>
            <a:srgbClr val="000000"/>
          </a:solidFill>
          <a:prstDash val="solid"/>
        </a:ln>
      </c:spPr>
    </c:plotArea>
    <c:plotVisOnly val="1"/>
    <c:dispBlanksAs val="gap"/>
    <c:showDLblsOverMax val="0"/>
  </c:chart>
  <c:spPr>
    <a:solidFill>
      <a:schemeClr val="bg1">
        <a:lumMod val="85000"/>
      </a:schemeClr>
    </a:solidFill>
    <a:ln w="3175">
      <a:solidFill>
        <a:srgbClr val="000000"/>
      </a:solidFill>
      <a:prstDash val="solid"/>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00002" footer="0.49212598450000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800080"/>
                </a:solidFill>
                <a:latin typeface="Calibri"/>
                <a:ea typeface="Calibri"/>
                <a:cs typeface="Calibri"/>
              </a:defRPr>
            </a:pPr>
            <a:r>
              <a:rPr lang="fr-FR"/>
              <a:t>Répartition de l'effectif - fin de 3ème année</a:t>
            </a:r>
          </a:p>
        </c:rich>
      </c:tx>
      <c:layout>
        <c:manualLayout>
          <c:xMode val="edge"/>
          <c:yMode val="edge"/>
          <c:x val="0.26775991209508299"/>
          <c:y val="3.4883720930232599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7081865375008101"/>
          <c:y val="0.29941860465116299"/>
          <c:w val="0.65658420035188003"/>
          <c:h val="0.42732558139535398"/>
        </c:manualLayout>
      </c:layout>
      <c:pie3DChart>
        <c:varyColors val="1"/>
        <c:ser>
          <c:idx val="0"/>
          <c:order val="0"/>
          <c:spPr>
            <a:solidFill>
              <a:srgbClr val="9999FF"/>
            </a:solidFill>
            <a:ln w="12700">
              <a:solidFill>
                <a:srgbClr val="000000"/>
              </a:solidFill>
              <a:prstDash val="solid"/>
            </a:ln>
          </c:spPr>
          <c:dPt>
            <c:idx val="0"/>
            <c:bubble3D val="0"/>
            <c:spPr>
              <a:solidFill>
                <a:srgbClr val="3366FF"/>
              </a:solidFill>
              <a:ln w="12700">
                <a:solidFill>
                  <a:srgbClr val="000000"/>
                </a:solidFill>
                <a:prstDash val="solid"/>
              </a:ln>
            </c:spPr>
            <c:extLst>
              <c:ext xmlns:c16="http://schemas.microsoft.com/office/drawing/2014/chart" uri="{C3380CC4-5D6E-409C-BE32-E72D297353CC}">
                <c16:uniqueId val="{00000001-C055-4125-93F5-CE29D16D4D9C}"/>
              </c:ext>
            </c:extLst>
          </c:dPt>
          <c:dPt>
            <c:idx val="1"/>
            <c:bubble3D val="0"/>
            <c:spPr>
              <a:solidFill>
                <a:srgbClr val="FFC000"/>
              </a:solidFill>
              <a:ln w="12700">
                <a:solidFill>
                  <a:srgbClr val="000000"/>
                </a:solidFill>
                <a:prstDash val="solid"/>
              </a:ln>
            </c:spPr>
            <c:extLst>
              <c:ext xmlns:c16="http://schemas.microsoft.com/office/drawing/2014/chart" uri="{C3380CC4-5D6E-409C-BE32-E72D297353CC}">
                <c16:uniqueId val="{00000003-C055-4125-93F5-CE29D16D4D9C}"/>
              </c:ext>
            </c:extLst>
          </c:dPt>
          <c:dPt>
            <c:idx val="2"/>
            <c:bubble3D val="0"/>
            <c:spPr>
              <a:solidFill>
                <a:srgbClr val="FFFF99"/>
              </a:solidFill>
              <a:ln w="12700">
                <a:solidFill>
                  <a:srgbClr val="000000"/>
                </a:solidFill>
                <a:prstDash val="solid"/>
              </a:ln>
            </c:spPr>
            <c:extLst>
              <c:ext xmlns:c16="http://schemas.microsoft.com/office/drawing/2014/chart" uri="{C3380CC4-5D6E-409C-BE32-E72D297353CC}">
                <c16:uniqueId val="{00000005-C055-4125-93F5-CE29D16D4D9C}"/>
              </c:ext>
            </c:extLst>
          </c:dPt>
          <c:dPt>
            <c:idx val="3"/>
            <c:bubble3D val="0"/>
            <c:spPr>
              <a:solidFill>
                <a:srgbClr val="993366"/>
              </a:solidFill>
              <a:ln w="12700">
                <a:solidFill>
                  <a:srgbClr val="000000"/>
                </a:solidFill>
                <a:prstDash val="solid"/>
              </a:ln>
            </c:spPr>
            <c:extLst>
              <c:ext xmlns:c16="http://schemas.microsoft.com/office/drawing/2014/chart" uri="{C3380CC4-5D6E-409C-BE32-E72D297353CC}">
                <c16:uniqueId val="{00000007-C055-4125-93F5-CE29D16D4D9C}"/>
              </c:ext>
            </c:extLst>
          </c:dPt>
          <c:dPt>
            <c:idx val="4"/>
            <c:bubble3D val="0"/>
            <c:spPr>
              <a:solidFill>
                <a:srgbClr val="008080"/>
              </a:solidFill>
              <a:ln w="12700">
                <a:solidFill>
                  <a:srgbClr val="000000"/>
                </a:solidFill>
                <a:prstDash val="solid"/>
              </a:ln>
            </c:spPr>
            <c:extLst>
              <c:ext xmlns:c16="http://schemas.microsoft.com/office/drawing/2014/chart" uri="{C3380CC4-5D6E-409C-BE32-E72D297353CC}">
                <c16:uniqueId val="{00000009-C055-4125-93F5-CE29D16D4D9C}"/>
              </c:ext>
            </c:extLst>
          </c:dPt>
          <c:dPt>
            <c:idx val="5"/>
            <c:bubble3D val="0"/>
            <c:spPr>
              <a:solidFill>
                <a:srgbClr val="666699"/>
              </a:solidFill>
              <a:ln w="12700">
                <a:solidFill>
                  <a:srgbClr val="000000"/>
                </a:solidFill>
                <a:prstDash val="solid"/>
              </a:ln>
            </c:spPr>
            <c:extLst>
              <c:ext xmlns:c16="http://schemas.microsoft.com/office/drawing/2014/chart" uri="{C3380CC4-5D6E-409C-BE32-E72D297353CC}">
                <c16:uniqueId val="{0000000B-C055-4125-93F5-CE29D16D4D9C}"/>
              </c:ext>
            </c:extLst>
          </c:dPt>
          <c:dPt>
            <c:idx val="6"/>
            <c:bubble3D val="0"/>
            <c:spPr>
              <a:solidFill>
                <a:schemeClr val="accent3">
                  <a:lumMod val="50000"/>
                </a:schemeClr>
              </a:solidFill>
              <a:ln w="12700">
                <a:solidFill>
                  <a:srgbClr val="000000"/>
                </a:solidFill>
                <a:prstDash val="solid"/>
              </a:ln>
            </c:spPr>
            <c:extLst>
              <c:ext xmlns:c16="http://schemas.microsoft.com/office/drawing/2014/chart" uri="{C3380CC4-5D6E-409C-BE32-E72D297353CC}">
                <c16:uniqueId val="{0000000D-C055-4125-93F5-CE29D16D4D9C}"/>
              </c:ext>
            </c:extLst>
          </c:dPt>
          <c:dLbls>
            <c:dLbl>
              <c:idx val="0"/>
              <c:tx>
                <c:rich>
                  <a:bodyPr/>
                  <a:lstStyle/>
                  <a:p>
                    <a:pPr>
                      <a:defRPr sz="930" b="1" i="0" u="none" strike="noStrike" baseline="0">
                        <a:solidFill>
                          <a:srgbClr val="FFFFFF"/>
                        </a:solidFill>
                        <a:latin typeface="Calibri"/>
                        <a:ea typeface="Calibri"/>
                        <a:cs typeface="Calibri"/>
                      </a:defRPr>
                    </a:pPr>
                    <a:fld id="{1476B245-C8CD-4DC6-9D99-FF8B29E690EE}" type="CATEGORYNAME">
                      <a:rPr lang="en-US" sz="930"/>
                      <a:pPr>
                        <a:defRPr sz="930" b="1" i="0" u="none" strike="noStrike" baseline="0">
                          <a:solidFill>
                            <a:srgbClr val="FFFFFF"/>
                          </a:solidFill>
                          <a:latin typeface="Calibri"/>
                          <a:ea typeface="Calibri"/>
                          <a:cs typeface="Calibri"/>
                        </a:defRPr>
                      </a:pPr>
                      <a:t>[NOM DE CATÉGORIE]</a:t>
                    </a:fld>
                    <a:r>
                      <a:rPr lang="en-US" sz="930" baseline="0"/>
                      <a:t>
</a:t>
                    </a:r>
                    <a:fld id="{F32F49A2-1B79-45A9-8C64-51E7E23E04B5}" type="VALUE">
                      <a:rPr lang="en-US" sz="930" baseline="0"/>
                      <a:pPr>
                        <a:defRPr sz="930" b="1" i="0" u="none" strike="noStrike" baseline="0">
                          <a:solidFill>
                            <a:srgbClr val="FFFFFF"/>
                          </a:solidFill>
                          <a:latin typeface="Calibri"/>
                          <a:ea typeface="Calibri"/>
                          <a:cs typeface="Calibri"/>
                        </a:defRPr>
                      </a:pPr>
                      <a:t>[VALEUR]</a:t>
                    </a:fld>
                    <a:r>
                      <a:rPr lang="en-US" sz="930" baseline="0"/>
                      <a:t>
</a:t>
                    </a:r>
                    <a:fld id="{D3830034-6E48-42A5-888C-C1070750CDD8}" type="PERCENTAGE">
                      <a:rPr lang="en-US" sz="930" baseline="0"/>
                      <a:pPr>
                        <a:defRPr sz="930" b="1" i="0" u="none" strike="noStrike" baseline="0">
                          <a:solidFill>
                            <a:srgbClr val="FFFFFF"/>
                          </a:solidFill>
                          <a:latin typeface="Calibri"/>
                          <a:ea typeface="Calibri"/>
                          <a:cs typeface="Calibri"/>
                        </a:defRPr>
                      </a:pPr>
                      <a:t>[POURCENTAGE]</a:t>
                    </a:fld>
                    <a:endParaRPr lang="en-US" sz="930" baseline="0"/>
                  </a:p>
                </c:rich>
              </c:tx>
              <c:numFmt formatCode="0%" sourceLinked="0"/>
              <c:spPr>
                <a:solidFill>
                  <a:srgbClr val="0000FF"/>
                </a:solidFill>
                <a:ln w="3175">
                  <a:solidFill>
                    <a:srgbClr val="000000"/>
                  </a:solidFill>
                  <a:prstDash val="solid"/>
                </a:ln>
                <a:effectLst>
                  <a:outerShdw dist="35921" dir="2700000" algn="br">
                    <a:srgbClr val="000000"/>
                  </a:outerShdw>
                </a:effectLst>
              </c:sp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C055-4125-93F5-CE29D16D4D9C}"/>
                </c:ext>
              </c:extLst>
            </c:dLbl>
            <c:dLbl>
              <c:idx val="1"/>
              <c:numFmt formatCode="0%" sourceLinked="0"/>
              <c:spPr>
                <a:solidFill>
                  <a:srgbClr val="FFC000"/>
                </a:solidFill>
                <a:ln w="3175">
                  <a:solidFill>
                    <a:srgbClr val="000000"/>
                  </a:solidFill>
                  <a:prstDash val="solid"/>
                </a:ln>
                <a:effectLst>
                  <a:outerShdw dist="35921" dir="2700000" algn="br">
                    <a:srgbClr val="000000"/>
                  </a:outerShdw>
                </a:effectLst>
              </c:spPr>
              <c:txPr>
                <a:bodyPr/>
                <a:lstStyle/>
                <a:p>
                  <a:pPr>
                    <a:defRPr sz="930" b="1" i="0" u="none" strike="noStrike" baseline="0">
                      <a:solidFill>
                        <a:srgbClr val="000080"/>
                      </a:solidFill>
                      <a:latin typeface="Calibri"/>
                      <a:ea typeface="Calibri"/>
                      <a:cs typeface="Calibri"/>
                    </a:defRPr>
                  </a:pPr>
                  <a:endParaRPr lang="fr-FR"/>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055-4125-93F5-CE29D16D4D9C}"/>
                </c:ext>
              </c:extLst>
            </c:dLbl>
            <c:dLbl>
              <c:idx val="2"/>
              <c:tx>
                <c:rich>
                  <a:bodyPr/>
                  <a:lstStyle/>
                  <a:p>
                    <a:pPr>
                      <a:defRPr sz="930" b="1" i="0" u="none" strike="noStrike" baseline="0">
                        <a:solidFill>
                          <a:srgbClr val="000080"/>
                        </a:solidFill>
                        <a:latin typeface="Calibri"/>
                        <a:ea typeface="Calibri"/>
                        <a:cs typeface="Calibri"/>
                      </a:defRPr>
                    </a:pPr>
                    <a:fld id="{632AE865-FBD2-49A8-947A-50FC3D1A0BA3}" type="CATEGORYNAME">
                      <a:rPr lang="en-US" sz="930"/>
                      <a:pPr>
                        <a:defRPr sz="930" b="1" i="0" u="none" strike="noStrike" baseline="0">
                          <a:solidFill>
                            <a:srgbClr val="000080"/>
                          </a:solidFill>
                          <a:latin typeface="Calibri"/>
                          <a:ea typeface="Calibri"/>
                          <a:cs typeface="Calibri"/>
                        </a:defRPr>
                      </a:pPr>
                      <a:t>[NOM DE CATÉGORIE]</a:t>
                    </a:fld>
                    <a:r>
                      <a:rPr lang="en-US" sz="930" baseline="0"/>
                      <a:t>
</a:t>
                    </a:r>
                    <a:fld id="{29D82242-2B23-4180-A010-D81D33F5B64A}" type="VALUE">
                      <a:rPr lang="en-US" sz="930" baseline="0"/>
                      <a:pPr>
                        <a:defRPr sz="930" b="1" i="0" u="none" strike="noStrike" baseline="0">
                          <a:solidFill>
                            <a:srgbClr val="000080"/>
                          </a:solidFill>
                          <a:latin typeface="Calibri"/>
                          <a:ea typeface="Calibri"/>
                          <a:cs typeface="Calibri"/>
                        </a:defRPr>
                      </a:pPr>
                      <a:t>[VALEUR]</a:t>
                    </a:fld>
                    <a:r>
                      <a:rPr lang="en-US" sz="930" baseline="0"/>
                      <a:t>
</a:t>
                    </a:r>
                    <a:fld id="{0A2A477D-5E7D-4955-BDA0-2C1174A6B25C}" type="PERCENTAGE">
                      <a:rPr lang="en-US" sz="930" baseline="0"/>
                      <a:pPr>
                        <a:defRPr sz="930" b="1" i="0" u="none" strike="noStrike" baseline="0">
                          <a:solidFill>
                            <a:srgbClr val="000080"/>
                          </a:solidFill>
                          <a:latin typeface="Calibri"/>
                          <a:ea typeface="Calibri"/>
                          <a:cs typeface="Calibri"/>
                        </a:defRPr>
                      </a:pPr>
                      <a:t>[POURCENTAGE]</a:t>
                    </a:fld>
                    <a:endParaRPr lang="en-US" sz="930" baseline="0"/>
                  </a:p>
                </c:rich>
              </c:tx>
              <c:numFmt formatCode="0%" sourceLinked="0"/>
              <c:spPr>
                <a:solidFill>
                  <a:srgbClr val="FFFF99"/>
                </a:solidFill>
                <a:ln w="3175">
                  <a:solidFill>
                    <a:srgbClr val="000000"/>
                  </a:solidFill>
                  <a:prstDash val="solid"/>
                </a:ln>
                <a:effectLst>
                  <a:outerShdw dist="35921" dir="2700000" algn="br">
                    <a:srgbClr val="000000"/>
                  </a:outerShdw>
                </a:effectLst>
              </c:sp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C055-4125-93F5-CE29D16D4D9C}"/>
                </c:ext>
              </c:extLst>
            </c:dLbl>
            <c:dLbl>
              <c:idx val="3"/>
              <c:numFmt formatCode="0%" sourceLinked="0"/>
              <c:spPr>
                <a:solidFill>
                  <a:srgbClr val="993366"/>
                </a:solidFill>
                <a:ln w="3175">
                  <a:solidFill>
                    <a:srgbClr val="000000"/>
                  </a:solidFill>
                  <a:prstDash val="solid"/>
                </a:ln>
                <a:effectLst>
                  <a:outerShdw dist="35921" dir="2700000" algn="br">
                    <a:srgbClr val="000000"/>
                  </a:outerShdw>
                </a:effectLst>
              </c:spPr>
              <c:txPr>
                <a:bodyPr/>
                <a:lstStyle/>
                <a:p>
                  <a:pPr>
                    <a:defRPr sz="930" b="1" i="0" u="none" strike="noStrike" baseline="0">
                      <a:solidFill>
                        <a:srgbClr val="FFFFFF"/>
                      </a:solidFill>
                      <a:latin typeface="Calibri"/>
                      <a:ea typeface="Calibri"/>
                      <a:cs typeface="Calibri"/>
                    </a:defRPr>
                  </a:pPr>
                  <a:endParaRPr lang="fr-FR"/>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055-4125-93F5-CE29D16D4D9C}"/>
                </c:ext>
              </c:extLst>
            </c:dLbl>
            <c:dLbl>
              <c:idx val="4"/>
              <c:numFmt formatCode="0%" sourceLinked="0"/>
              <c:spPr>
                <a:solidFill>
                  <a:srgbClr val="008080"/>
                </a:solidFill>
                <a:ln w="3175">
                  <a:solidFill>
                    <a:srgbClr val="000000"/>
                  </a:solidFill>
                  <a:prstDash val="solid"/>
                </a:ln>
                <a:effectLst>
                  <a:outerShdw dist="35921" dir="2700000" algn="br">
                    <a:srgbClr val="000000"/>
                  </a:outerShdw>
                </a:effectLst>
              </c:spPr>
              <c:txPr>
                <a:bodyPr/>
                <a:lstStyle/>
                <a:p>
                  <a:pPr>
                    <a:defRPr sz="930" b="1" i="0" u="none" strike="noStrike" baseline="0">
                      <a:solidFill>
                        <a:srgbClr val="FFFFFF"/>
                      </a:solidFill>
                      <a:latin typeface="Calibri"/>
                      <a:ea typeface="Calibri"/>
                      <a:cs typeface="Calibri"/>
                    </a:defRPr>
                  </a:pPr>
                  <a:endParaRPr lang="fr-FR"/>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C055-4125-93F5-CE29D16D4D9C}"/>
                </c:ext>
              </c:extLst>
            </c:dLbl>
            <c:dLbl>
              <c:idx val="5"/>
              <c:numFmt formatCode="0%" sourceLinked="0"/>
              <c:spPr>
                <a:solidFill>
                  <a:srgbClr val="666699"/>
                </a:solidFill>
                <a:ln w="3175">
                  <a:solidFill>
                    <a:srgbClr val="000000"/>
                  </a:solidFill>
                  <a:prstDash val="solid"/>
                </a:ln>
                <a:effectLst>
                  <a:outerShdw dist="35921" dir="2700000" algn="br">
                    <a:srgbClr val="000000"/>
                  </a:outerShdw>
                </a:effectLst>
              </c:spPr>
              <c:txPr>
                <a:bodyPr/>
                <a:lstStyle/>
                <a:p>
                  <a:pPr>
                    <a:defRPr sz="930" b="1" i="0" u="none" strike="noStrike" baseline="0">
                      <a:solidFill>
                        <a:schemeClr val="bg1"/>
                      </a:solidFill>
                      <a:latin typeface="Calibri"/>
                      <a:ea typeface="Calibri"/>
                      <a:cs typeface="Calibri"/>
                    </a:defRPr>
                  </a:pPr>
                  <a:endParaRPr lang="fr-FR"/>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055-4125-93F5-CE29D16D4D9C}"/>
                </c:ext>
              </c:extLst>
            </c:dLbl>
            <c:dLbl>
              <c:idx val="6"/>
              <c:numFmt formatCode="0%" sourceLinked="0"/>
              <c:spPr>
                <a:solidFill>
                  <a:schemeClr val="accent3">
                    <a:lumMod val="50000"/>
                  </a:schemeClr>
                </a:solidFill>
                <a:ln w="3175">
                  <a:solidFill>
                    <a:srgbClr val="000000"/>
                  </a:solidFill>
                  <a:prstDash val="solid"/>
                </a:ln>
                <a:effectLst>
                  <a:outerShdw dist="35921" dir="2700000" algn="br">
                    <a:srgbClr val="000000"/>
                  </a:outerShdw>
                </a:effectLst>
              </c:spPr>
              <c:txPr>
                <a:bodyPr/>
                <a:lstStyle/>
                <a:p>
                  <a:pPr>
                    <a:defRPr sz="930" b="1" i="0" u="none" strike="noStrike" baseline="0">
                      <a:solidFill>
                        <a:schemeClr val="bg1"/>
                      </a:solidFill>
                      <a:latin typeface="Calibri"/>
                      <a:ea typeface="Calibri"/>
                      <a:cs typeface="Calibri"/>
                    </a:defRPr>
                  </a:pPr>
                  <a:endParaRPr lang="fr-FR"/>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C055-4125-93F5-CE29D16D4D9C}"/>
                </c:ext>
              </c:extLst>
            </c:dLbl>
            <c:numFmt formatCode="0%" sourceLinked="0"/>
            <c:spPr>
              <a:solidFill>
                <a:srgbClr val="666699"/>
              </a:solidFill>
              <a:ln w="3175">
                <a:solidFill>
                  <a:srgbClr val="000000"/>
                </a:solidFill>
                <a:prstDash val="solid"/>
              </a:ln>
              <a:effectLst>
                <a:outerShdw dist="35921" dir="2700000" algn="br">
                  <a:srgbClr val="000000"/>
                </a:outerShdw>
              </a:effectLst>
            </c:spPr>
            <c:txPr>
              <a:bodyPr/>
              <a:lstStyle/>
              <a:p>
                <a:pPr>
                  <a:defRPr sz="950" b="1" i="0" u="none" strike="noStrike" baseline="0">
                    <a:solidFill>
                      <a:srgbClr val="000080"/>
                    </a:solidFill>
                    <a:latin typeface="Calibri"/>
                    <a:ea typeface="Calibri"/>
                    <a:cs typeface="Calibri"/>
                  </a:defRPr>
                </a:pPr>
                <a:endParaRPr lang="fr-FR"/>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'Moyens d''exploitation'!$B$84:$B$90</c:f>
              <c:strCache>
                <c:ptCount val="7"/>
                <c:pt idx="0">
                  <c:v> Direction  </c:v>
                </c:pt>
                <c:pt idx="1">
                  <c:v> Commercial  </c:v>
                </c:pt>
                <c:pt idx="2">
                  <c:v> Marketing</c:v>
                </c:pt>
                <c:pt idx="3">
                  <c:v> R &amp; D</c:v>
                </c:pt>
                <c:pt idx="4">
                  <c:v> Administratif  </c:v>
                </c:pt>
                <c:pt idx="5">
                  <c:v> Production  </c:v>
                </c:pt>
                <c:pt idx="6">
                  <c:v> Autres  </c:v>
                </c:pt>
              </c:strCache>
            </c:strRef>
          </c:cat>
          <c:val>
            <c:numRef>
              <c:f>'Moyens d''exploitation'!$V$84:$V$90</c:f>
              <c:numCache>
                <c:formatCode>#\ ##0"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C055-4125-93F5-CE29D16D4D9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lumMod val="85000"/>
      </a:schemeClr>
    </a:solidFill>
    <a:ln w="3175">
      <a:solidFill>
        <a:srgbClr val="000000"/>
      </a:solidFill>
      <a:prstDash val="solid"/>
    </a:ln>
    <a:effectLst>
      <a:outerShdw blurRad="50800" dist="38100" dir="8100000" algn="tr" rotWithShape="0">
        <a:prstClr val="black">
          <a:alpha val="40000"/>
        </a:prstClr>
      </a:outerShdw>
    </a:effectLst>
  </c:spPr>
  <c:txPr>
    <a:bodyPr/>
    <a:lstStyle/>
    <a:p>
      <a:pPr>
        <a:defRPr sz="10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00002" footer="0.49212598450000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1" u="none" strike="noStrike" kern="1200" spc="0" baseline="0">
                <a:solidFill>
                  <a:srgbClr val="002060"/>
                </a:solidFill>
                <a:latin typeface="+mn-lt"/>
                <a:ea typeface="+mn-ea"/>
                <a:cs typeface="+mn-cs"/>
              </a:defRPr>
            </a:pPr>
            <a:r>
              <a:rPr lang="fr-FR" sz="1200" b="1" i="1">
                <a:solidFill>
                  <a:srgbClr val="002060"/>
                </a:solidFill>
              </a:rPr>
              <a:t>Trésorerie prévisionnelle fin de mois </a:t>
            </a:r>
            <a:r>
              <a:rPr lang="fr-FR" sz="1000" b="1" i="1">
                <a:solidFill>
                  <a:srgbClr val="002060"/>
                </a:solidFill>
              </a:rPr>
              <a:t>(K€)</a:t>
            </a:r>
            <a:endParaRPr lang="fr-FR" sz="1200" b="1" i="1">
              <a:solidFill>
                <a:srgbClr val="002060"/>
              </a:solidFill>
            </a:endParaRPr>
          </a:p>
        </c:rich>
      </c:tx>
      <c:overlay val="0"/>
      <c:spPr>
        <a:noFill/>
        <a:ln>
          <a:noFill/>
        </a:ln>
        <a:effectLst/>
      </c:spPr>
      <c:txPr>
        <a:bodyPr rot="0" spcFirstLastPara="1" vertOverflow="ellipsis" vert="horz" wrap="square" anchor="ctr" anchorCtr="1"/>
        <a:lstStyle/>
        <a:p>
          <a:pPr>
            <a:defRPr sz="1400" b="0" i="1" u="none" strike="noStrike" kern="1200" spc="0" baseline="0">
              <a:solidFill>
                <a:srgbClr val="002060"/>
              </a:solidFill>
              <a:latin typeface="+mn-lt"/>
              <a:ea typeface="+mn-ea"/>
              <a:cs typeface="+mn-cs"/>
            </a:defRPr>
          </a:pPr>
          <a:endParaRPr lang="fr-FR"/>
        </a:p>
      </c:txPr>
    </c:title>
    <c:autoTitleDeleted val="0"/>
    <c:plotArea>
      <c:layout/>
      <c:barChart>
        <c:barDir val="col"/>
        <c:grouping val="clustered"/>
        <c:varyColors val="0"/>
        <c:ser>
          <c:idx val="0"/>
          <c:order val="0"/>
          <c:spPr>
            <a:solidFill>
              <a:srgbClr val="00B050"/>
            </a:solidFill>
            <a:ln>
              <a:noFill/>
            </a:ln>
            <a:effectLst/>
          </c:spPr>
          <c:invertIfNegative val="0"/>
          <c:dLbls>
            <c:numFmt formatCode="#\ ##0&quot; &quot;" sourceLinked="0"/>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rgbClr val="00206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'Budget de trésorerie'!$E$3:$V$3</c:f>
              <c:strCache>
                <c:ptCount val="18"/>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strCache>
            </c:strRef>
          </c:cat>
          <c:val>
            <c:numRef>
              <c:f>'Budget de trésorerie'!$E$48:$V$48</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9CCE-4DB3-A9D5-F269F733D102}"/>
            </c:ext>
          </c:extLst>
        </c:ser>
        <c:dLbls>
          <c:showLegendKey val="0"/>
          <c:showVal val="0"/>
          <c:showCatName val="0"/>
          <c:showSerName val="0"/>
          <c:showPercent val="0"/>
          <c:showBubbleSize val="0"/>
        </c:dLbls>
        <c:gapWidth val="150"/>
        <c:overlap val="3"/>
        <c:axId val="410830928"/>
        <c:axId val="410831320"/>
      </c:barChart>
      <c:catAx>
        <c:axId val="410830928"/>
        <c:scaling>
          <c:orientation val="minMax"/>
        </c:scaling>
        <c:delete val="1"/>
        <c:axPos val="b"/>
        <c:numFmt formatCode="mmmm" sourceLinked="0"/>
        <c:majorTickMark val="out"/>
        <c:minorTickMark val="none"/>
        <c:tickLblPos val="nextTo"/>
        <c:crossAx val="410831320"/>
        <c:crosses val="autoZero"/>
        <c:auto val="1"/>
        <c:lblAlgn val="ctr"/>
        <c:lblOffset val="100"/>
        <c:noMultiLvlLbl val="1"/>
      </c:catAx>
      <c:valAx>
        <c:axId val="410831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830928"/>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cap="none" spc="20" baseline="0">
                <a:solidFill>
                  <a:schemeClr val="bg1"/>
                </a:solidFill>
                <a:latin typeface="+mn-lt"/>
                <a:ea typeface="+mn-ea"/>
                <a:cs typeface="+mn-cs"/>
              </a:defRPr>
            </a:pPr>
            <a:r>
              <a:rPr lang="en-US" sz="1050" b="1">
                <a:solidFill>
                  <a:schemeClr val="bg1"/>
                </a:solidFill>
              </a:rPr>
              <a:t>Taux de marge brute</a:t>
            </a:r>
          </a:p>
        </c:rich>
      </c:tx>
      <c:overlay val="0"/>
      <c:spPr>
        <a:noFill/>
        <a:ln>
          <a:noFill/>
        </a:ln>
        <a:effectLst/>
      </c:spPr>
      <c:txPr>
        <a:bodyPr rot="0" spcFirstLastPara="1" vertOverflow="ellipsis" vert="horz" wrap="square" anchor="ctr" anchorCtr="1"/>
        <a:lstStyle/>
        <a:p>
          <a:pPr>
            <a:defRPr sz="1050" b="1" i="0" u="none" strike="noStrike" kern="1200" cap="none" spc="20" baseline="0">
              <a:solidFill>
                <a:schemeClr val="bg1"/>
              </a:solidFill>
              <a:latin typeface="+mn-lt"/>
              <a:ea typeface="+mn-ea"/>
              <a:cs typeface="+mn-cs"/>
            </a:defRPr>
          </a:pPr>
          <a:endParaRPr lang="fr-FR"/>
        </a:p>
      </c:txPr>
    </c:title>
    <c:autoTitleDeleted val="0"/>
    <c:plotArea>
      <c:layout/>
      <c:lineChart>
        <c:grouping val="standard"/>
        <c:varyColors val="0"/>
        <c:ser>
          <c:idx val="0"/>
          <c:order val="0"/>
          <c:spPr>
            <a:ln w="38100" cap="rnd" cmpd="sng" algn="ctr">
              <a:solidFill>
                <a:schemeClr val="accent3">
                  <a:lumMod val="75000"/>
                </a:schemeClr>
              </a:solidFill>
              <a:round/>
            </a:ln>
            <a:effectLst/>
          </c:spPr>
          <c:marker>
            <c:symbol val="none"/>
          </c:marker>
          <c:dLbls>
            <c:spPr>
              <a:solidFill>
                <a:schemeClr val="accent3">
                  <a:lumMod val="40000"/>
                  <a:lumOff val="60000"/>
                </a:schemeClr>
              </a:solidFill>
              <a:ln>
                <a:solidFill>
                  <a:srgbClr val="0000CC"/>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00CC"/>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Synthèse!$Q$2:$S$2</c:f>
              <c:strCache>
                <c:ptCount val="3"/>
                <c:pt idx="0">
                  <c:v>An 1</c:v>
                </c:pt>
                <c:pt idx="1">
                  <c:v>An 2</c:v>
                </c:pt>
                <c:pt idx="2">
                  <c:v>An 3</c:v>
                </c:pt>
              </c:strCache>
            </c:strRef>
          </c:cat>
          <c:val>
            <c:numRef>
              <c:f>(Synthèse!$F$17,Synthèse!$H$17,Synthèse!$J$17)</c:f>
              <c:numCache>
                <c:formatCode>0.0%</c:formatCode>
                <c:ptCount val="3"/>
                <c:pt idx="0">
                  <c:v>0</c:v>
                </c:pt>
                <c:pt idx="1">
                  <c:v>0</c:v>
                </c:pt>
                <c:pt idx="2">
                  <c:v>0</c:v>
                </c:pt>
              </c:numCache>
            </c:numRef>
          </c:val>
          <c:smooth val="0"/>
          <c:extLst>
            <c:ext xmlns:c16="http://schemas.microsoft.com/office/drawing/2014/chart" uri="{C3380CC4-5D6E-409C-BE32-E72D297353CC}">
              <c16:uniqueId val="{00000000-DD98-4AD3-8F0F-06A510C3524F}"/>
            </c:ext>
          </c:extLst>
        </c:ser>
        <c:ser>
          <c:idx val="1"/>
          <c:order val="1"/>
          <c:tx>
            <c:v>Secteur</c:v>
          </c:tx>
          <c:spPr>
            <a:ln w="38100" cap="rnd" cmpd="sng" algn="ctr">
              <a:solidFill>
                <a:schemeClr val="accent5">
                  <a:lumMod val="50000"/>
                </a:schemeClr>
              </a:solidFill>
              <a:round/>
            </a:ln>
            <a:effectLst/>
          </c:spPr>
          <c:marker>
            <c:symbol val="none"/>
          </c:marker>
          <c:dLbls>
            <c:dLbl>
              <c:idx val="0"/>
              <c:layout>
                <c:manualLayout>
                  <c:x val="-0.15143511181546046"/>
                  <c:y val="4.761904761904718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0FE-41ED-ACA7-6AD55FD898A6}"/>
                </c:ext>
              </c:extLst>
            </c:dLbl>
            <c:dLbl>
              <c:idx val="1"/>
              <c:delete val="1"/>
              <c:extLst>
                <c:ext xmlns:c15="http://schemas.microsoft.com/office/drawing/2012/chart" uri="{CE6537A1-D6FC-4f65-9D91-7224C49458BB}"/>
                <c:ext xmlns:c16="http://schemas.microsoft.com/office/drawing/2014/chart" uri="{C3380CC4-5D6E-409C-BE32-E72D297353CC}">
                  <c16:uniqueId val="{00000001-A0FE-41ED-ACA7-6AD55FD898A6}"/>
                </c:ext>
              </c:extLst>
            </c:dLbl>
            <c:dLbl>
              <c:idx val="2"/>
              <c:delete val="1"/>
              <c:extLst>
                <c:ext xmlns:c15="http://schemas.microsoft.com/office/drawing/2012/chart" uri="{CE6537A1-D6FC-4f65-9D91-7224C49458BB}"/>
                <c:ext xmlns:c16="http://schemas.microsoft.com/office/drawing/2014/chart" uri="{C3380CC4-5D6E-409C-BE32-E72D297353CC}">
                  <c16:uniqueId val="{00000000-F1FD-4379-97D3-056FA12B5359}"/>
                </c:ext>
              </c:extLst>
            </c:dLbl>
            <c:spPr>
              <a:solidFill>
                <a:schemeClr val="accent5">
                  <a:lumMod val="50000"/>
                </a:schemeClr>
              </a:solidFill>
              <a:ln>
                <a:solidFill>
                  <a:schemeClr val="bg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(Synthèse!$F$15,Synthèse!$H$15,Synthèse!$J$15)</c:f>
              <c:numCache>
                <c:formatCode>0.0%</c:formatCode>
                <c:ptCount val="3"/>
                <c:pt idx="0">
                  <c:v>0</c:v>
                </c:pt>
                <c:pt idx="1">
                  <c:v>0</c:v>
                </c:pt>
                <c:pt idx="2">
                  <c:v>0</c:v>
                </c:pt>
              </c:numCache>
            </c:numRef>
          </c:val>
          <c:smooth val="0"/>
          <c:extLst>
            <c:ext xmlns:c16="http://schemas.microsoft.com/office/drawing/2014/chart" uri="{C3380CC4-5D6E-409C-BE32-E72D297353CC}">
              <c16:uniqueId val="{00000000-DCE5-4F09-8115-D5A0F7967F82}"/>
            </c:ext>
          </c:extLst>
        </c:ser>
        <c:dLbls>
          <c:showLegendKey val="0"/>
          <c:showVal val="0"/>
          <c:showCatName val="0"/>
          <c:showSerName val="0"/>
          <c:showPercent val="0"/>
          <c:showBubbleSize val="0"/>
        </c:dLbls>
        <c:dropLines>
          <c:spPr>
            <a:ln w="12700" cap="flat" cmpd="sng" algn="ctr">
              <a:solidFill>
                <a:schemeClr val="dk1">
                  <a:lumMod val="35000"/>
                  <a:lumOff val="65000"/>
                  <a:alpha val="33000"/>
                </a:schemeClr>
              </a:solidFill>
              <a:round/>
            </a:ln>
            <a:effectLst/>
          </c:spPr>
        </c:dropLines>
        <c:smooth val="0"/>
        <c:axId val="410833280"/>
        <c:axId val="410833672"/>
      </c:lineChart>
      <c:catAx>
        <c:axId val="41083328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1" i="0" u="none" strike="noStrike" kern="1200" spc="20" baseline="0">
                <a:solidFill>
                  <a:schemeClr val="bg1"/>
                </a:solidFill>
                <a:latin typeface="+mn-lt"/>
                <a:ea typeface="+mn-ea"/>
                <a:cs typeface="+mn-cs"/>
              </a:defRPr>
            </a:pPr>
            <a:endParaRPr lang="fr-FR"/>
          </a:p>
        </c:txPr>
        <c:crossAx val="410833672"/>
        <c:crosses val="autoZero"/>
        <c:auto val="1"/>
        <c:lblAlgn val="ctr"/>
        <c:lblOffset val="100"/>
        <c:noMultiLvlLbl val="0"/>
      </c:catAx>
      <c:valAx>
        <c:axId val="410833672"/>
        <c:scaling>
          <c:orientation val="minMax"/>
        </c:scaling>
        <c:delete val="1"/>
        <c:axPos val="l"/>
        <c:numFmt formatCode="0.0%" sourceLinked="1"/>
        <c:majorTickMark val="none"/>
        <c:minorTickMark val="none"/>
        <c:tickLblPos val="nextTo"/>
        <c:crossAx val="410833280"/>
        <c:crosses val="autoZero"/>
        <c:crossBetween val="between"/>
      </c:valAx>
      <c:spPr>
        <a:solidFill>
          <a:schemeClr val="accent3">
            <a:lumMod val="40000"/>
            <a:lumOff val="60000"/>
          </a:schemeClr>
        </a:solidFill>
        <a:ln>
          <a:noFill/>
        </a:ln>
        <a:effectLst/>
      </c:spPr>
    </c:plotArea>
    <c:plotVisOnly val="1"/>
    <c:dispBlanksAs val="gap"/>
    <c:showDLblsOverMax val="0"/>
  </c:chart>
  <c:spPr>
    <a:solidFill>
      <a:schemeClr val="bg1">
        <a:lumMod val="65000"/>
      </a:schemeClr>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12</xdr:row>
      <xdr:rowOff>266700</xdr:rowOff>
    </xdr:from>
    <xdr:to>
      <xdr:col>6</xdr:col>
      <xdr:colOff>57150</xdr:colOff>
      <xdr:row>18</xdr:row>
      <xdr:rowOff>6573</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14400" y="4991100"/>
          <a:ext cx="4800600" cy="1625823"/>
        </a:xfrm>
        <a:prstGeom prst="rect">
          <a:avLst/>
        </a:prstGeom>
      </xdr:spPr>
    </xdr:pic>
    <xdr:clientData/>
  </xdr:twoCellAnchor>
  <xdr:twoCellAnchor editAs="oneCell">
    <xdr:from>
      <xdr:col>6</xdr:col>
      <xdr:colOff>676275</xdr:colOff>
      <xdr:row>11</xdr:row>
      <xdr:rowOff>733425</xdr:rowOff>
    </xdr:from>
    <xdr:to>
      <xdr:col>8</xdr:col>
      <xdr:colOff>533400</xdr:colOff>
      <xdr:row>19</xdr:row>
      <xdr:rowOff>133350</xdr:rowOff>
    </xdr:to>
    <xdr:pic>
      <xdr:nvPicPr>
        <xdr:cNvPr id="5" name="Image 4" descr="C:\Users\jbe\AppData\Local\Microsoft\Windows\Temporary Internet Files\Content.Outlook\Y5IXV3X1\Logo-Label-blanc-fond-noir (2).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4125" y="4695825"/>
          <a:ext cx="22955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200027</xdr:colOff>
      <xdr:row>13</xdr:row>
      <xdr:rowOff>1</xdr:rowOff>
    </xdr:from>
    <xdr:to>
      <xdr:col>8</xdr:col>
      <xdr:colOff>1714501</xdr:colOff>
      <xdr:row>17</xdr:row>
      <xdr:rowOff>191329</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296277" y="5038726"/>
          <a:ext cx="1514474" cy="14486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33</xdr:row>
      <xdr:rowOff>0</xdr:rowOff>
    </xdr:from>
    <xdr:ext cx="5172075" cy="1762125"/>
    <xdr:sp macro="" textlink="">
      <xdr:nvSpPr>
        <xdr:cNvPr id="14" name="ZoneTexte 13">
          <a:extLst>
            <a:ext uri="{FF2B5EF4-FFF2-40B4-BE49-F238E27FC236}">
              <a16:creationId xmlns:a16="http://schemas.microsoft.com/office/drawing/2014/main" id="{00000000-0008-0000-0300-00000E000000}"/>
            </a:ext>
          </a:extLst>
        </xdr:cNvPr>
        <xdr:cNvSpPr txBox="1"/>
      </xdr:nvSpPr>
      <xdr:spPr>
        <a:xfrm>
          <a:off x="104775" y="7734300"/>
          <a:ext cx="5172075" cy="1762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FR"/>
        </a:p>
      </xdr:txBody>
    </xdr:sp>
    <xdr:clientData/>
  </xdr:oneCellAnchor>
  <xdr:twoCellAnchor>
    <xdr:from>
      <xdr:col>1</xdr:col>
      <xdr:colOff>19049</xdr:colOff>
      <xdr:row>4</xdr:row>
      <xdr:rowOff>0</xdr:rowOff>
    </xdr:from>
    <xdr:to>
      <xdr:col>6</xdr:col>
      <xdr:colOff>771525</xdr:colOff>
      <xdr:row>10</xdr:row>
      <xdr:rowOff>228599</xdr:rowOff>
    </xdr:to>
    <xdr:sp macro="" textlink="">
      <xdr:nvSpPr>
        <xdr:cNvPr id="11" name="ZoneTexte 10">
          <a:extLst>
            <a:ext uri="{FF2B5EF4-FFF2-40B4-BE49-F238E27FC236}">
              <a16:creationId xmlns:a16="http://schemas.microsoft.com/office/drawing/2014/main" id="{00000000-0008-0000-0300-00000B000000}"/>
            </a:ext>
          </a:extLst>
        </xdr:cNvPr>
        <xdr:cNvSpPr txBox="1"/>
      </xdr:nvSpPr>
      <xdr:spPr>
        <a:xfrm>
          <a:off x="123824" y="742950"/>
          <a:ext cx="5343526" cy="17144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8</xdr:col>
      <xdr:colOff>9526</xdr:colOff>
      <xdr:row>4</xdr:row>
      <xdr:rowOff>19050</xdr:rowOff>
    </xdr:from>
    <xdr:to>
      <xdr:col>14</xdr:col>
      <xdr:colOff>771525</xdr:colOff>
      <xdr:row>10</xdr:row>
      <xdr:rowOff>238125</xdr:rowOff>
    </xdr:to>
    <xdr:sp macro="" textlink="">
      <xdr:nvSpPr>
        <xdr:cNvPr id="13" name="ZoneTexte 12">
          <a:extLst>
            <a:ext uri="{FF2B5EF4-FFF2-40B4-BE49-F238E27FC236}">
              <a16:creationId xmlns:a16="http://schemas.microsoft.com/office/drawing/2014/main" id="{00000000-0008-0000-0300-00000D000000}"/>
            </a:ext>
          </a:extLst>
        </xdr:cNvPr>
        <xdr:cNvSpPr txBox="1"/>
      </xdr:nvSpPr>
      <xdr:spPr>
        <a:xfrm>
          <a:off x="5943601" y="762000"/>
          <a:ext cx="4991099" cy="1704975"/>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1</xdr:col>
      <xdr:colOff>9525</xdr:colOff>
      <xdr:row>23</xdr:row>
      <xdr:rowOff>9525</xdr:rowOff>
    </xdr:from>
    <xdr:to>
      <xdr:col>7</xdr:col>
      <xdr:colOff>19050</xdr:colOff>
      <xdr:row>25</xdr:row>
      <xdr:rowOff>228601</xdr:rowOff>
    </xdr:to>
    <xdr:sp macro="" textlink="">
      <xdr:nvSpPr>
        <xdr:cNvPr id="15" name="ZoneTexte 14">
          <a:extLst>
            <a:ext uri="{FF2B5EF4-FFF2-40B4-BE49-F238E27FC236}">
              <a16:creationId xmlns:a16="http://schemas.microsoft.com/office/drawing/2014/main" id="{00000000-0008-0000-0300-00000F000000}"/>
            </a:ext>
          </a:extLst>
        </xdr:cNvPr>
        <xdr:cNvSpPr txBox="1"/>
      </xdr:nvSpPr>
      <xdr:spPr>
        <a:xfrm>
          <a:off x="114300" y="5200650"/>
          <a:ext cx="5391150" cy="714376"/>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8</xdr:col>
      <xdr:colOff>19051</xdr:colOff>
      <xdr:row>23</xdr:row>
      <xdr:rowOff>19049</xdr:rowOff>
    </xdr:from>
    <xdr:to>
      <xdr:col>14</xdr:col>
      <xdr:colOff>723900</xdr:colOff>
      <xdr:row>25</xdr:row>
      <xdr:rowOff>228600</xdr:rowOff>
    </xdr:to>
    <xdr:sp macro="" textlink="">
      <xdr:nvSpPr>
        <xdr:cNvPr id="16" name="ZoneTexte 15">
          <a:extLst>
            <a:ext uri="{FF2B5EF4-FFF2-40B4-BE49-F238E27FC236}">
              <a16:creationId xmlns:a16="http://schemas.microsoft.com/office/drawing/2014/main" id="{00000000-0008-0000-0300-000010000000}"/>
            </a:ext>
          </a:extLst>
        </xdr:cNvPr>
        <xdr:cNvSpPr txBox="1"/>
      </xdr:nvSpPr>
      <xdr:spPr>
        <a:xfrm>
          <a:off x="5895976" y="5210174"/>
          <a:ext cx="4810124" cy="704851"/>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1</xdr:col>
      <xdr:colOff>9524</xdr:colOff>
      <xdr:row>33</xdr:row>
      <xdr:rowOff>9524</xdr:rowOff>
    </xdr:from>
    <xdr:to>
      <xdr:col>6</xdr:col>
      <xdr:colOff>781049</xdr:colOff>
      <xdr:row>39</xdr:row>
      <xdr:rowOff>247649</xdr:rowOff>
    </xdr:to>
    <xdr:sp macro="" textlink="">
      <xdr:nvSpPr>
        <xdr:cNvPr id="25" name="ZoneTexte 24">
          <a:extLst>
            <a:ext uri="{FF2B5EF4-FFF2-40B4-BE49-F238E27FC236}">
              <a16:creationId xmlns:a16="http://schemas.microsoft.com/office/drawing/2014/main" id="{00000000-0008-0000-0300-000019000000}"/>
            </a:ext>
          </a:extLst>
        </xdr:cNvPr>
        <xdr:cNvSpPr txBox="1"/>
      </xdr:nvSpPr>
      <xdr:spPr>
        <a:xfrm>
          <a:off x="114299" y="8239124"/>
          <a:ext cx="5362575" cy="1724025"/>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8</xdr:col>
      <xdr:colOff>9525</xdr:colOff>
      <xdr:row>33</xdr:row>
      <xdr:rowOff>0</xdr:rowOff>
    </xdr:from>
    <xdr:to>
      <xdr:col>14</xdr:col>
      <xdr:colOff>771525</xdr:colOff>
      <xdr:row>40</xdr:row>
      <xdr:rowOff>0</xdr:rowOff>
    </xdr:to>
    <xdr:sp macro="" textlink="">
      <xdr:nvSpPr>
        <xdr:cNvPr id="26" name="ZoneTexte 25">
          <a:extLst>
            <a:ext uri="{FF2B5EF4-FFF2-40B4-BE49-F238E27FC236}">
              <a16:creationId xmlns:a16="http://schemas.microsoft.com/office/drawing/2014/main" id="{00000000-0008-0000-0300-00001A000000}"/>
            </a:ext>
          </a:extLst>
        </xdr:cNvPr>
        <xdr:cNvSpPr txBox="1"/>
      </xdr:nvSpPr>
      <xdr:spPr>
        <a:xfrm>
          <a:off x="5943600" y="7734300"/>
          <a:ext cx="4991100" cy="1733550"/>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1</xdr:col>
      <xdr:colOff>19050</xdr:colOff>
      <xdr:row>43</xdr:row>
      <xdr:rowOff>238124</xdr:rowOff>
    </xdr:from>
    <xdr:to>
      <xdr:col>14</xdr:col>
      <xdr:colOff>762000</xdr:colOff>
      <xdr:row>49</xdr:row>
      <xdr:rowOff>228599</xdr:rowOff>
    </xdr:to>
    <xdr:sp macro="" textlink="">
      <xdr:nvSpPr>
        <xdr:cNvPr id="27" name="ZoneTexte 26">
          <a:extLst>
            <a:ext uri="{FF2B5EF4-FFF2-40B4-BE49-F238E27FC236}">
              <a16:creationId xmlns:a16="http://schemas.microsoft.com/office/drawing/2014/main" id="{00000000-0008-0000-0300-00001B000000}"/>
            </a:ext>
          </a:extLst>
        </xdr:cNvPr>
        <xdr:cNvSpPr txBox="1"/>
      </xdr:nvSpPr>
      <xdr:spPr>
        <a:xfrm>
          <a:off x="123825" y="10134599"/>
          <a:ext cx="10801350" cy="1476375"/>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1</xdr:col>
      <xdr:colOff>19050</xdr:colOff>
      <xdr:row>65</xdr:row>
      <xdr:rowOff>19050</xdr:rowOff>
    </xdr:from>
    <xdr:to>
      <xdr:col>6</xdr:col>
      <xdr:colOff>762000</xdr:colOff>
      <xdr:row>72</xdr:row>
      <xdr:rowOff>0</xdr:rowOff>
    </xdr:to>
    <xdr:sp macro="" textlink="">
      <xdr:nvSpPr>
        <xdr:cNvPr id="24" name="ZoneTexte 23">
          <a:extLst>
            <a:ext uri="{FF2B5EF4-FFF2-40B4-BE49-F238E27FC236}">
              <a16:creationId xmlns:a16="http://schemas.microsoft.com/office/drawing/2014/main" id="{00000000-0008-0000-0300-000018000000}"/>
            </a:ext>
          </a:extLst>
        </xdr:cNvPr>
        <xdr:cNvSpPr txBox="1"/>
      </xdr:nvSpPr>
      <xdr:spPr>
        <a:xfrm>
          <a:off x="123825" y="15001875"/>
          <a:ext cx="5334000" cy="1714500"/>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8</xdr:col>
      <xdr:colOff>19049</xdr:colOff>
      <xdr:row>65</xdr:row>
      <xdr:rowOff>9525</xdr:rowOff>
    </xdr:from>
    <xdr:to>
      <xdr:col>14</xdr:col>
      <xdr:colOff>771524</xdr:colOff>
      <xdr:row>72</xdr:row>
      <xdr:rowOff>0</xdr:rowOff>
    </xdr:to>
    <xdr:sp macro="" textlink="">
      <xdr:nvSpPr>
        <xdr:cNvPr id="28" name="ZoneTexte 27">
          <a:extLst>
            <a:ext uri="{FF2B5EF4-FFF2-40B4-BE49-F238E27FC236}">
              <a16:creationId xmlns:a16="http://schemas.microsoft.com/office/drawing/2014/main" id="{00000000-0008-0000-0300-00001C000000}"/>
            </a:ext>
          </a:extLst>
        </xdr:cNvPr>
        <xdr:cNvSpPr txBox="1"/>
      </xdr:nvSpPr>
      <xdr:spPr>
        <a:xfrm>
          <a:off x="5953124" y="14497050"/>
          <a:ext cx="4981575" cy="1724025"/>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0</xdr:col>
      <xdr:colOff>95250</xdr:colOff>
      <xdr:row>76</xdr:row>
      <xdr:rowOff>0</xdr:rowOff>
    </xdr:from>
    <xdr:to>
      <xdr:col>6</xdr:col>
      <xdr:colOff>771525</xdr:colOff>
      <xdr:row>82</xdr:row>
      <xdr:rowOff>238126</xdr:rowOff>
    </xdr:to>
    <xdr:sp macro="" textlink="">
      <xdr:nvSpPr>
        <xdr:cNvPr id="29" name="ZoneTexte 28">
          <a:extLst>
            <a:ext uri="{FF2B5EF4-FFF2-40B4-BE49-F238E27FC236}">
              <a16:creationId xmlns:a16="http://schemas.microsoft.com/office/drawing/2014/main" id="{00000000-0008-0000-0300-00001D000000}"/>
            </a:ext>
          </a:extLst>
        </xdr:cNvPr>
        <xdr:cNvSpPr txBox="1"/>
      </xdr:nvSpPr>
      <xdr:spPr>
        <a:xfrm>
          <a:off x="95250" y="17840325"/>
          <a:ext cx="5372100" cy="1724026"/>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8</xdr:col>
      <xdr:colOff>19050</xdr:colOff>
      <xdr:row>76</xdr:row>
      <xdr:rowOff>9525</xdr:rowOff>
    </xdr:from>
    <xdr:to>
      <xdr:col>15</xdr:col>
      <xdr:colOff>0</xdr:colOff>
      <xdr:row>82</xdr:row>
      <xdr:rowOff>238124</xdr:rowOff>
    </xdr:to>
    <xdr:sp macro="" textlink="">
      <xdr:nvSpPr>
        <xdr:cNvPr id="30" name="ZoneTexte 29">
          <a:extLst>
            <a:ext uri="{FF2B5EF4-FFF2-40B4-BE49-F238E27FC236}">
              <a16:creationId xmlns:a16="http://schemas.microsoft.com/office/drawing/2014/main" id="{00000000-0008-0000-0300-00001E000000}"/>
            </a:ext>
          </a:extLst>
        </xdr:cNvPr>
        <xdr:cNvSpPr txBox="1"/>
      </xdr:nvSpPr>
      <xdr:spPr>
        <a:xfrm>
          <a:off x="5895975" y="17325975"/>
          <a:ext cx="4819650" cy="1714499"/>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1</xdr:col>
      <xdr:colOff>19049</xdr:colOff>
      <xdr:row>84</xdr:row>
      <xdr:rowOff>228601</xdr:rowOff>
    </xdr:from>
    <xdr:to>
      <xdr:col>6</xdr:col>
      <xdr:colOff>790574</xdr:colOff>
      <xdr:row>91</xdr:row>
      <xdr:rowOff>238125</xdr:rowOff>
    </xdr:to>
    <xdr:sp macro="" textlink="">
      <xdr:nvSpPr>
        <xdr:cNvPr id="31" name="ZoneTexte 30">
          <a:extLst>
            <a:ext uri="{FF2B5EF4-FFF2-40B4-BE49-F238E27FC236}">
              <a16:creationId xmlns:a16="http://schemas.microsoft.com/office/drawing/2014/main" id="{00000000-0008-0000-0300-00001F000000}"/>
            </a:ext>
          </a:extLst>
        </xdr:cNvPr>
        <xdr:cNvSpPr txBox="1"/>
      </xdr:nvSpPr>
      <xdr:spPr>
        <a:xfrm>
          <a:off x="123824" y="19878676"/>
          <a:ext cx="5362575" cy="1743074"/>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8</xdr:col>
      <xdr:colOff>0</xdr:colOff>
      <xdr:row>85</xdr:row>
      <xdr:rowOff>9526</xdr:rowOff>
    </xdr:from>
    <xdr:to>
      <xdr:col>14</xdr:col>
      <xdr:colOff>762000</xdr:colOff>
      <xdr:row>91</xdr:row>
      <xdr:rowOff>238126</xdr:rowOff>
    </xdr:to>
    <xdr:sp macro="" textlink="">
      <xdr:nvSpPr>
        <xdr:cNvPr id="32" name="ZoneTexte 31">
          <a:extLst>
            <a:ext uri="{FF2B5EF4-FFF2-40B4-BE49-F238E27FC236}">
              <a16:creationId xmlns:a16="http://schemas.microsoft.com/office/drawing/2014/main" id="{00000000-0008-0000-0300-000020000000}"/>
            </a:ext>
          </a:extLst>
        </xdr:cNvPr>
        <xdr:cNvSpPr txBox="1"/>
      </xdr:nvSpPr>
      <xdr:spPr>
        <a:xfrm>
          <a:off x="5934075" y="19411951"/>
          <a:ext cx="4991100" cy="1714500"/>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mc:AlternateContent xmlns:mc="http://schemas.openxmlformats.org/markup-compatibility/2006">
    <mc:Choice xmlns:a14="http://schemas.microsoft.com/office/drawing/2010/main" Requires="a14">
      <xdr:twoCellAnchor>
        <xdr:from>
          <xdr:col>7</xdr:col>
          <xdr:colOff>457200</xdr:colOff>
          <xdr:row>0</xdr:row>
          <xdr:rowOff>0</xdr:rowOff>
        </xdr:from>
        <xdr:to>
          <xdr:col>9</xdr:col>
          <xdr:colOff>0</xdr:colOff>
          <xdr:row>0</xdr:row>
          <xdr:rowOff>0</xdr:rowOff>
        </xdr:to>
        <xdr:sp macro="" textlink="">
          <xdr:nvSpPr>
            <xdr:cNvPr id="11281" name="Button 17" hidden="1">
              <a:extLst>
                <a:ext uri="{63B3BB69-23CF-44E3-9099-C40C66FF867C}">
                  <a14:compatExt spid="_x0000_s11281"/>
                </a:ext>
                <a:ext uri="{FF2B5EF4-FFF2-40B4-BE49-F238E27FC236}">
                  <a16:creationId xmlns:a16="http://schemas.microsoft.com/office/drawing/2014/main" id="{00000000-0008-0000-0300-0000112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000" b="1" i="1" u="none" strike="noStrike" baseline="0">
                  <a:solidFill>
                    <a:srgbClr val="003366"/>
                  </a:solidFill>
                  <a:latin typeface="Times New Roman"/>
                  <a:cs typeface="Times New Roman"/>
                </a:rPr>
                <a:t>Retour accueil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41</xdr:row>
          <xdr:rowOff>38100</xdr:rowOff>
        </xdr:from>
        <xdr:to>
          <xdr:col>6</xdr:col>
          <xdr:colOff>289560</xdr:colOff>
          <xdr:row>41</xdr:row>
          <xdr:rowOff>259080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300-00005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Local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41</xdr:row>
          <xdr:rowOff>38100</xdr:rowOff>
        </xdr:from>
        <xdr:to>
          <xdr:col>7</xdr:col>
          <xdr:colOff>480060</xdr:colOff>
          <xdr:row>41</xdr:row>
          <xdr:rowOff>259080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300-00005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Régional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41</xdr:row>
          <xdr:rowOff>38100</xdr:rowOff>
        </xdr:from>
        <xdr:to>
          <xdr:col>9</xdr:col>
          <xdr:colOff>60960</xdr:colOff>
          <xdr:row>41</xdr:row>
          <xdr:rowOff>259080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300-00005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National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41</xdr:row>
          <xdr:rowOff>38100</xdr:rowOff>
        </xdr:from>
        <xdr:to>
          <xdr:col>10</xdr:col>
          <xdr:colOff>495300</xdr:colOff>
          <xdr:row>41</xdr:row>
          <xdr:rowOff>259080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300-00005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International  </a:t>
              </a:r>
            </a:p>
          </xdr:txBody>
        </xdr:sp>
        <xdr:clientData/>
      </xdr:twoCellAnchor>
    </mc:Choice>
    <mc:Fallback/>
  </mc:AlternateContent>
  <xdr:twoCellAnchor>
    <xdr:from>
      <xdr:col>0</xdr:col>
      <xdr:colOff>104774</xdr:colOff>
      <xdr:row>94</xdr:row>
      <xdr:rowOff>0</xdr:rowOff>
    </xdr:from>
    <xdr:to>
      <xdr:col>6</xdr:col>
      <xdr:colOff>771524</xdr:colOff>
      <xdr:row>101</xdr:row>
      <xdr:rowOff>0</xdr:rowOff>
    </xdr:to>
    <xdr:sp macro="" textlink="">
      <xdr:nvSpPr>
        <xdr:cNvPr id="22" name="ZoneTexte 21">
          <a:extLst>
            <a:ext uri="{FF2B5EF4-FFF2-40B4-BE49-F238E27FC236}">
              <a16:creationId xmlns:a16="http://schemas.microsoft.com/office/drawing/2014/main" id="{00000000-0008-0000-0300-000016000000}"/>
            </a:ext>
          </a:extLst>
        </xdr:cNvPr>
        <xdr:cNvSpPr txBox="1"/>
      </xdr:nvSpPr>
      <xdr:spPr>
        <a:xfrm>
          <a:off x="104774" y="21955125"/>
          <a:ext cx="5362575" cy="1733550"/>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twoCellAnchor>
    <xdr:from>
      <xdr:col>8</xdr:col>
      <xdr:colOff>0</xdr:colOff>
      <xdr:row>94</xdr:row>
      <xdr:rowOff>0</xdr:rowOff>
    </xdr:from>
    <xdr:to>
      <xdr:col>14</xdr:col>
      <xdr:colOff>762000</xdr:colOff>
      <xdr:row>101</xdr:row>
      <xdr:rowOff>0</xdr:rowOff>
    </xdr:to>
    <xdr:sp macro="" textlink="">
      <xdr:nvSpPr>
        <xdr:cNvPr id="23" name="ZoneTexte 22">
          <a:extLst>
            <a:ext uri="{FF2B5EF4-FFF2-40B4-BE49-F238E27FC236}">
              <a16:creationId xmlns:a16="http://schemas.microsoft.com/office/drawing/2014/main" id="{00000000-0008-0000-0300-000017000000}"/>
            </a:ext>
          </a:extLst>
        </xdr:cNvPr>
        <xdr:cNvSpPr txBox="1"/>
      </xdr:nvSpPr>
      <xdr:spPr>
        <a:xfrm>
          <a:off x="5934075" y="21459825"/>
          <a:ext cx="4991100" cy="1733550"/>
        </a:xfrm>
        <a:prstGeom prst="rect">
          <a:avLst/>
        </a:prstGeom>
        <a:solidFill>
          <a:schemeClr val="lt1"/>
        </a:solidFill>
        <a:ln w="9525" cmpd="sng">
          <a:solidFill>
            <a:srgbClr val="00008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38098</xdr:colOff>
      <xdr:row>57</xdr:row>
      <xdr:rowOff>28575</xdr:rowOff>
    </xdr:from>
    <xdr:to>
      <xdr:col>11</xdr:col>
      <xdr:colOff>28575</xdr:colOff>
      <xdr:row>78</xdr:row>
      <xdr:rowOff>142875</xdr:rowOff>
    </xdr:to>
    <xdr:graphicFrame macro="">
      <xdr:nvGraphicFramePr>
        <xdr:cNvPr id="4831" name="Chart 75">
          <a:extLst>
            <a:ext uri="{FF2B5EF4-FFF2-40B4-BE49-F238E27FC236}">
              <a16:creationId xmlns:a16="http://schemas.microsoft.com/office/drawing/2014/main" id="{00000000-0008-0000-0400-0000DF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152399</xdr:colOff>
      <xdr:row>57</xdr:row>
      <xdr:rowOff>47624</xdr:rowOff>
    </xdr:from>
    <xdr:to>
      <xdr:col>16</xdr:col>
      <xdr:colOff>7620</xdr:colOff>
      <xdr:row>79</xdr:row>
      <xdr:rowOff>9525</xdr:rowOff>
    </xdr:to>
    <xdr:graphicFrame macro="">
      <xdr:nvGraphicFramePr>
        <xdr:cNvPr id="8" name="Graphique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262890</xdr:colOff>
      <xdr:row>4</xdr:row>
      <xdr:rowOff>7620</xdr:rowOff>
    </xdr:from>
    <xdr:to>
      <xdr:col>15</xdr:col>
      <xdr:colOff>910589</xdr:colOff>
      <xdr:row>16</xdr:row>
      <xdr:rowOff>11429</xdr:rowOff>
    </xdr:to>
    <xdr:graphicFrame macro="">
      <xdr:nvGraphicFramePr>
        <xdr:cNvPr id="7" name="Graphique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57150</xdr:colOff>
      <xdr:row>3</xdr:row>
      <xdr:rowOff>295276</xdr:rowOff>
    </xdr:from>
    <xdr:to>
      <xdr:col>13</xdr:col>
      <xdr:colOff>83819</xdr:colOff>
      <xdr:row>16</xdr:row>
      <xdr:rowOff>9526</xdr:rowOff>
    </xdr:to>
    <xdr:graphicFrame macro="">
      <xdr:nvGraphicFramePr>
        <xdr:cNvPr id="9" name="Graphique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109</xdr:row>
      <xdr:rowOff>0</xdr:rowOff>
    </xdr:from>
    <xdr:to>
      <xdr:col>6</xdr:col>
      <xdr:colOff>9526</xdr:colOff>
      <xdr:row>125</xdr:row>
      <xdr:rowOff>171450</xdr:rowOff>
    </xdr:to>
    <xdr:graphicFrame macro="">
      <xdr:nvGraphicFramePr>
        <xdr:cNvPr id="2250671" name="Chart 42">
          <a:extLst>
            <a:ext uri="{FF2B5EF4-FFF2-40B4-BE49-F238E27FC236}">
              <a16:creationId xmlns:a16="http://schemas.microsoft.com/office/drawing/2014/main" id="{00000000-0008-0000-0500-0000AF57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93</xdr:row>
      <xdr:rowOff>9524</xdr:rowOff>
    </xdr:from>
    <xdr:to>
      <xdr:col>6</xdr:col>
      <xdr:colOff>9525</xdr:colOff>
      <xdr:row>107</xdr:row>
      <xdr:rowOff>180974</xdr:rowOff>
    </xdr:to>
    <xdr:graphicFrame macro="">
      <xdr:nvGraphicFramePr>
        <xdr:cNvPr id="2250672" name="Chart 44">
          <a:extLst>
            <a:ext uri="{FF2B5EF4-FFF2-40B4-BE49-F238E27FC236}">
              <a16:creationId xmlns:a16="http://schemas.microsoft.com/office/drawing/2014/main" id="{00000000-0008-0000-0500-0000B057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19050</xdr:colOff>
      <xdr:row>108</xdr:row>
      <xdr:rowOff>180975</xdr:rowOff>
    </xdr:from>
    <xdr:to>
      <xdr:col>19</xdr:col>
      <xdr:colOff>447675</xdr:colOff>
      <xdr:row>126</xdr:row>
      <xdr:rowOff>28575</xdr:rowOff>
    </xdr:to>
    <xdr:graphicFrame macro="">
      <xdr:nvGraphicFramePr>
        <xdr:cNvPr id="2250673" name="Chart 46">
          <a:extLst>
            <a:ext uri="{FF2B5EF4-FFF2-40B4-BE49-F238E27FC236}">
              <a16:creationId xmlns:a16="http://schemas.microsoft.com/office/drawing/2014/main" id="{00000000-0008-0000-0500-0000B157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28574</xdr:colOff>
      <xdr:row>4</xdr:row>
      <xdr:rowOff>209549</xdr:rowOff>
    </xdr:from>
    <xdr:to>
      <xdr:col>1</xdr:col>
      <xdr:colOff>460574</xdr:colOff>
      <xdr:row>5</xdr:row>
      <xdr:rowOff>105899</xdr:rowOff>
    </xdr:to>
    <xdr:sp macro="" textlink="">
      <xdr:nvSpPr>
        <xdr:cNvPr id="2" name="Flèche droite 1">
          <a:extLst>
            <a:ext uri="{FF2B5EF4-FFF2-40B4-BE49-F238E27FC236}">
              <a16:creationId xmlns:a16="http://schemas.microsoft.com/office/drawing/2014/main" id="{00000000-0008-0000-0800-000002000000}"/>
            </a:ext>
          </a:extLst>
        </xdr:cNvPr>
        <xdr:cNvSpPr/>
      </xdr:nvSpPr>
      <xdr:spPr bwMode="auto">
        <a:xfrm>
          <a:off x="133349" y="847724"/>
          <a:ext cx="432000" cy="144000"/>
        </a:xfrm>
        <a:prstGeom prst="rightArrow">
          <a:avLst/>
        </a:prstGeom>
        <a:solidFill>
          <a:srgbClr val="FFFF99"/>
        </a:solidFill>
        <a:ln w="9525"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9523</xdr:colOff>
      <xdr:row>49</xdr:row>
      <xdr:rowOff>19049</xdr:rowOff>
    </xdr:from>
    <xdr:to>
      <xdr:col>19</xdr:col>
      <xdr:colOff>314325</xdr:colOff>
      <xdr:row>70</xdr:row>
      <xdr:rowOff>76199</xdr:rowOff>
    </xdr:to>
    <xdr:graphicFrame macro="">
      <xdr:nvGraphicFramePr>
        <xdr:cNvPr id="3" name="Graphique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7620</xdr:colOff>
      <xdr:row>21</xdr:row>
      <xdr:rowOff>182880</xdr:rowOff>
    </xdr:from>
    <xdr:to>
      <xdr:col>14</xdr:col>
      <xdr:colOff>779145</xdr:colOff>
      <xdr:row>34</xdr:row>
      <xdr:rowOff>0</xdr:rowOff>
    </xdr:to>
    <xdr:graphicFrame macro="">
      <xdr:nvGraphicFramePr>
        <xdr:cNvPr id="12" name="Graphique 11">
          <a:extLst>
            <a:ext uri="{FF2B5EF4-FFF2-40B4-BE49-F238E27FC236}">
              <a16:creationId xmlns:a16="http://schemas.microsoft.com/office/drawing/2014/main" id="{00000000-0008-0000-0A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11430</xdr:colOff>
      <xdr:row>7</xdr:row>
      <xdr:rowOff>17145</xdr:rowOff>
    </xdr:from>
    <xdr:to>
      <xdr:col>14</xdr:col>
      <xdr:colOff>746760</xdr:colOff>
      <xdr:row>21</xdr:row>
      <xdr:rowOff>7620</xdr:rowOff>
    </xdr:to>
    <xdr:graphicFrame macro="">
      <xdr:nvGraphicFramePr>
        <xdr:cNvPr id="9" name="Graphique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7621</xdr:colOff>
      <xdr:row>34</xdr:row>
      <xdr:rowOff>198120</xdr:rowOff>
    </xdr:from>
    <xdr:to>
      <xdr:col>15</xdr:col>
      <xdr:colOff>0</xdr:colOff>
      <xdr:row>48</xdr:row>
      <xdr:rowOff>15240</xdr:rowOff>
    </xdr:to>
    <xdr:graphicFrame macro="">
      <xdr:nvGraphicFramePr>
        <xdr:cNvPr id="11" name="Graphique 10">
          <a:extLst>
            <a:ext uri="{FF2B5EF4-FFF2-40B4-BE49-F238E27FC236}">
              <a16:creationId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62</xdr:row>
      <xdr:rowOff>213360</xdr:rowOff>
    </xdr:from>
    <xdr:to>
      <xdr:col>14</xdr:col>
      <xdr:colOff>754380</xdr:colOff>
      <xdr:row>79</xdr:row>
      <xdr:rowOff>7620</xdr:rowOff>
    </xdr:to>
    <xdr:graphicFrame macro="">
      <xdr:nvGraphicFramePr>
        <xdr:cNvPr id="8" name="Graphique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7620</xdr:colOff>
      <xdr:row>48</xdr:row>
      <xdr:rowOff>160020</xdr:rowOff>
    </xdr:from>
    <xdr:to>
      <xdr:col>14</xdr:col>
      <xdr:colOff>762000</xdr:colOff>
      <xdr:row>62</xdr:row>
      <xdr:rowOff>83820</xdr:rowOff>
    </xdr:to>
    <xdr:graphicFrame macro="">
      <xdr:nvGraphicFramePr>
        <xdr:cNvPr id="13" name="Graphique 12">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76200</xdr:colOff>
      <xdr:row>9</xdr:row>
      <xdr:rowOff>190500</xdr:rowOff>
    </xdr:to>
    <xdr:sp macro="" textlink="">
      <xdr:nvSpPr>
        <xdr:cNvPr id="2" name="Text Box 140">
          <a:extLst>
            <a:ext uri="{FF2B5EF4-FFF2-40B4-BE49-F238E27FC236}">
              <a16:creationId xmlns:a16="http://schemas.microsoft.com/office/drawing/2014/main" id="{00000000-0008-0000-0B00-000002000000}"/>
            </a:ext>
          </a:extLst>
        </xdr:cNvPr>
        <xdr:cNvSpPr txBox="1">
          <a:spLocks noChangeArrowheads="1"/>
        </xdr:cNvSpPr>
      </xdr:nvSpPr>
      <xdr:spPr bwMode="auto">
        <a:xfrm>
          <a:off x="57150" y="27984450"/>
          <a:ext cx="76200" cy="304800"/>
        </a:xfrm>
        <a:prstGeom prst="rect">
          <a:avLst/>
        </a:prstGeom>
        <a:noFill/>
        <a:ln w="9525" algn="ctr">
          <a:noFill/>
          <a:miter lim="800000"/>
          <a:headEnd/>
          <a:tailEnd/>
        </a:ln>
      </xdr:spPr>
    </xdr:sp>
    <xdr:clientData/>
  </xdr:twoCellAnchor>
  <xdr:twoCellAnchor editAs="oneCell">
    <xdr:from>
      <xdr:col>1</xdr:col>
      <xdr:colOff>0</xdr:colOff>
      <xdr:row>10</xdr:row>
      <xdr:rowOff>0</xdr:rowOff>
    </xdr:from>
    <xdr:to>
      <xdr:col>1</xdr:col>
      <xdr:colOff>76200</xdr:colOff>
      <xdr:row>10</xdr:row>
      <xdr:rowOff>238125</xdr:rowOff>
    </xdr:to>
    <xdr:sp macro="" textlink="">
      <xdr:nvSpPr>
        <xdr:cNvPr id="3" name="Text Box 140">
          <a:extLst>
            <a:ext uri="{FF2B5EF4-FFF2-40B4-BE49-F238E27FC236}">
              <a16:creationId xmlns:a16="http://schemas.microsoft.com/office/drawing/2014/main" id="{00000000-0008-0000-0B00-000003000000}"/>
            </a:ext>
          </a:extLst>
        </xdr:cNvPr>
        <xdr:cNvSpPr txBox="1">
          <a:spLocks noChangeArrowheads="1"/>
        </xdr:cNvSpPr>
      </xdr:nvSpPr>
      <xdr:spPr bwMode="auto">
        <a:xfrm>
          <a:off x="104775" y="1952625"/>
          <a:ext cx="76200" cy="190500"/>
        </a:xfrm>
        <a:prstGeom prst="rect">
          <a:avLst/>
        </a:prstGeom>
        <a:noFill/>
        <a:ln w="9525" algn="ctr">
          <a:noFill/>
          <a:miter lim="800000"/>
          <a:headEnd/>
          <a:tailEnd/>
        </a:ln>
      </xdr:spPr>
    </xdr:sp>
    <xdr:clientData/>
  </xdr:twoCellAnchor>
  <xdr:oneCellAnchor>
    <xdr:from>
      <xdr:col>1</xdr:col>
      <xdr:colOff>0</xdr:colOff>
      <xdr:row>15</xdr:row>
      <xdr:rowOff>0</xdr:rowOff>
    </xdr:from>
    <xdr:ext cx="76200" cy="238125"/>
    <xdr:sp macro="" textlink="">
      <xdr:nvSpPr>
        <xdr:cNvPr id="4" name="Text Box 140">
          <a:extLst>
            <a:ext uri="{FF2B5EF4-FFF2-40B4-BE49-F238E27FC236}">
              <a16:creationId xmlns:a16="http://schemas.microsoft.com/office/drawing/2014/main" id="{00000000-0008-0000-0B00-000004000000}"/>
            </a:ext>
          </a:extLst>
        </xdr:cNvPr>
        <xdr:cNvSpPr txBox="1">
          <a:spLocks noChangeArrowheads="1"/>
        </xdr:cNvSpPr>
      </xdr:nvSpPr>
      <xdr:spPr bwMode="auto">
        <a:xfrm>
          <a:off x="333375" y="942975"/>
          <a:ext cx="76200" cy="238125"/>
        </a:xfrm>
        <a:prstGeom prst="rect">
          <a:avLst/>
        </a:prstGeom>
        <a:noFill/>
        <a:ln w="9525" algn="ctr">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247650</xdr:colOff>
      <xdr:row>292</xdr:row>
      <xdr:rowOff>57150</xdr:rowOff>
    </xdr:from>
    <xdr:to>
      <xdr:col>1</xdr:col>
      <xdr:colOff>438150</xdr:colOff>
      <xdr:row>293</xdr:row>
      <xdr:rowOff>9525</xdr:rowOff>
    </xdr:to>
    <xdr:sp macro="" textlink="">
      <xdr:nvSpPr>
        <xdr:cNvPr id="3908291" name="AutoShape 526">
          <a:extLst>
            <a:ext uri="{FF2B5EF4-FFF2-40B4-BE49-F238E27FC236}">
              <a16:creationId xmlns:a16="http://schemas.microsoft.com/office/drawing/2014/main" id="{00000000-0008-0000-0D00-0000C3A23B00}"/>
            </a:ext>
          </a:extLst>
        </xdr:cNvPr>
        <xdr:cNvSpPr>
          <a:spLocks noChangeArrowheads="1"/>
        </xdr:cNvSpPr>
      </xdr:nvSpPr>
      <xdr:spPr bwMode="auto">
        <a:xfrm>
          <a:off x="304800" y="78505050"/>
          <a:ext cx="190500" cy="352425"/>
        </a:xfrm>
        <a:prstGeom prst="downArrow">
          <a:avLst>
            <a:gd name="adj1" fmla="val 50000"/>
            <a:gd name="adj2" fmla="val 46250"/>
          </a:avLst>
        </a:prstGeom>
        <a:solidFill>
          <a:schemeClr val="accent3">
            <a:lumMod val="60000"/>
            <a:lumOff val="40000"/>
          </a:schemeClr>
        </a:solidFill>
        <a:ln w="9525">
          <a:solidFill>
            <a:srgbClr val="000000"/>
          </a:solidFill>
          <a:miter lim="800000"/>
          <a:headEnd/>
          <a:tailEnd/>
        </a:ln>
      </xdr:spPr>
    </xdr:sp>
    <xdr:clientData/>
  </xdr:twoCellAnchor>
  <xdr:twoCellAnchor>
    <xdr:from>
      <xdr:col>1</xdr:col>
      <xdr:colOff>247650</xdr:colOff>
      <xdr:row>295</xdr:row>
      <xdr:rowOff>57150</xdr:rowOff>
    </xdr:from>
    <xdr:to>
      <xdr:col>1</xdr:col>
      <xdr:colOff>438150</xdr:colOff>
      <xdr:row>296</xdr:row>
      <xdr:rowOff>9525</xdr:rowOff>
    </xdr:to>
    <xdr:sp macro="" textlink="">
      <xdr:nvSpPr>
        <xdr:cNvPr id="3908292" name="AutoShape 527">
          <a:extLst>
            <a:ext uri="{FF2B5EF4-FFF2-40B4-BE49-F238E27FC236}">
              <a16:creationId xmlns:a16="http://schemas.microsoft.com/office/drawing/2014/main" id="{00000000-0008-0000-0D00-0000C4A23B00}"/>
            </a:ext>
          </a:extLst>
        </xdr:cNvPr>
        <xdr:cNvSpPr>
          <a:spLocks noChangeArrowheads="1"/>
        </xdr:cNvSpPr>
      </xdr:nvSpPr>
      <xdr:spPr bwMode="auto">
        <a:xfrm>
          <a:off x="304800" y="79438500"/>
          <a:ext cx="190500" cy="352425"/>
        </a:xfrm>
        <a:prstGeom prst="downArrow">
          <a:avLst>
            <a:gd name="adj1" fmla="val 50000"/>
            <a:gd name="adj2" fmla="val 46250"/>
          </a:avLst>
        </a:prstGeom>
        <a:solidFill>
          <a:schemeClr val="accent3">
            <a:lumMod val="60000"/>
            <a:lumOff val="40000"/>
          </a:schemeClr>
        </a:solidFill>
        <a:ln w="9525">
          <a:solidFill>
            <a:srgbClr val="000000"/>
          </a:solidFill>
          <a:miter lim="800000"/>
          <a:headEnd/>
          <a:tailEnd/>
        </a:ln>
      </xdr:spPr>
    </xdr:sp>
    <xdr:clientData/>
  </xdr:twoCellAnchor>
  <xdr:twoCellAnchor>
    <xdr:from>
      <xdr:col>1</xdr:col>
      <xdr:colOff>247650</xdr:colOff>
      <xdr:row>298</xdr:row>
      <xdr:rowOff>57150</xdr:rowOff>
    </xdr:from>
    <xdr:to>
      <xdr:col>1</xdr:col>
      <xdr:colOff>438150</xdr:colOff>
      <xdr:row>299</xdr:row>
      <xdr:rowOff>9525</xdr:rowOff>
    </xdr:to>
    <xdr:sp macro="" textlink="">
      <xdr:nvSpPr>
        <xdr:cNvPr id="3908293" name="AutoShape 528">
          <a:extLst>
            <a:ext uri="{FF2B5EF4-FFF2-40B4-BE49-F238E27FC236}">
              <a16:creationId xmlns:a16="http://schemas.microsoft.com/office/drawing/2014/main" id="{00000000-0008-0000-0D00-0000C5A23B00}"/>
            </a:ext>
          </a:extLst>
        </xdr:cNvPr>
        <xdr:cNvSpPr>
          <a:spLocks noChangeArrowheads="1"/>
        </xdr:cNvSpPr>
      </xdr:nvSpPr>
      <xdr:spPr bwMode="auto">
        <a:xfrm>
          <a:off x="304800" y="80210025"/>
          <a:ext cx="190500" cy="352425"/>
        </a:xfrm>
        <a:prstGeom prst="downArrow">
          <a:avLst>
            <a:gd name="adj1" fmla="val 50000"/>
            <a:gd name="adj2" fmla="val 46250"/>
          </a:avLst>
        </a:prstGeom>
        <a:solidFill>
          <a:schemeClr val="accent3">
            <a:lumMod val="60000"/>
            <a:lumOff val="40000"/>
          </a:schemeClr>
        </a:solidFill>
        <a:ln w="9525">
          <a:solidFill>
            <a:srgbClr val="000000"/>
          </a:solidFill>
          <a:miter lim="800000"/>
          <a:headEnd/>
          <a:tailEnd/>
        </a:ln>
      </xdr:spPr>
    </xdr:sp>
    <xdr:clientData/>
  </xdr:twoCellAnchor>
  <xdr:twoCellAnchor>
    <xdr:from>
      <xdr:col>1</xdr:col>
      <xdr:colOff>66675</xdr:colOff>
      <xdr:row>232</xdr:row>
      <xdr:rowOff>95250</xdr:rowOff>
    </xdr:from>
    <xdr:to>
      <xdr:col>1</xdr:col>
      <xdr:colOff>228600</xdr:colOff>
      <xdr:row>232</xdr:row>
      <xdr:rowOff>171450</xdr:rowOff>
    </xdr:to>
    <xdr:sp macro="" textlink="">
      <xdr:nvSpPr>
        <xdr:cNvPr id="3908294" name="AutoShape 529">
          <a:extLst>
            <a:ext uri="{FF2B5EF4-FFF2-40B4-BE49-F238E27FC236}">
              <a16:creationId xmlns:a16="http://schemas.microsoft.com/office/drawing/2014/main" id="{00000000-0008-0000-0D00-0000C6A23B00}"/>
            </a:ext>
          </a:extLst>
        </xdr:cNvPr>
        <xdr:cNvSpPr>
          <a:spLocks noChangeArrowheads="1"/>
        </xdr:cNvSpPr>
      </xdr:nvSpPr>
      <xdr:spPr bwMode="auto">
        <a:xfrm>
          <a:off x="123825" y="63379350"/>
          <a:ext cx="161925" cy="76200"/>
        </a:xfrm>
        <a:prstGeom prst="chevron">
          <a:avLst>
            <a:gd name="adj" fmla="val 53125"/>
          </a:avLst>
        </a:prstGeom>
        <a:solidFill>
          <a:srgbClr val="00CCFF"/>
        </a:solidFill>
        <a:ln w="9525" algn="ctr">
          <a:solidFill>
            <a:srgbClr val="000000"/>
          </a:solidFill>
          <a:miter lim="800000"/>
          <a:headEnd/>
          <a:tailEnd/>
        </a:ln>
      </xdr:spPr>
    </xdr:sp>
    <xdr:clientData/>
  </xdr:twoCellAnchor>
  <xdr:twoCellAnchor>
    <xdr:from>
      <xdr:col>1</xdr:col>
      <xdr:colOff>66675</xdr:colOff>
      <xdr:row>238</xdr:row>
      <xdr:rowOff>95250</xdr:rowOff>
    </xdr:from>
    <xdr:to>
      <xdr:col>1</xdr:col>
      <xdr:colOff>228600</xdr:colOff>
      <xdr:row>238</xdr:row>
      <xdr:rowOff>171450</xdr:rowOff>
    </xdr:to>
    <xdr:sp macro="" textlink="">
      <xdr:nvSpPr>
        <xdr:cNvPr id="3908295" name="AutoShape 530">
          <a:extLst>
            <a:ext uri="{FF2B5EF4-FFF2-40B4-BE49-F238E27FC236}">
              <a16:creationId xmlns:a16="http://schemas.microsoft.com/office/drawing/2014/main" id="{00000000-0008-0000-0D00-0000C7A23B00}"/>
            </a:ext>
          </a:extLst>
        </xdr:cNvPr>
        <xdr:cNvSpPr>
          <a:spLocks noChangeArrowheads="1"/>
        </xdr:cNvSpPr>
      </xdr:nvSpPr>
      <xdr:spPr bwMode="auto">
        <a:xfrm>
          <a:off x="123825" y="65170050"/>
          <a:ext cx="161925" cy="76200"/>
        </a:xfrm>
        <a:prstGeom prst="chevron">
          <a:avLst>
            <a:gd name="adj" fmla="val 53125"/>
          </a:avLst>
        </a:prstGeom>
        <a:solidFill>
          <a:srgbClr val="00CCFF"/>
        </a:solidFill>
        <a:ln w="9525" algn="ctr">
          <a:solidFill>
            <a:srgbClr val="000000"/>
          </a:solidFill>
          <a:miter lim="800000"/>
          <a:headEnd/>
          <a:tailEnd/>
        </a:ln>
      </xdr:spPr>
    </xdr:sp>
    <xdr:clientData/>
  </xdr:twoCellAnchor>
  <xdr:twoCellAnchor>
    <xdr:from>
      <xdr:col>1</xdr:col>
      <xdr:colOff>66675</xdr:colOff>
      <xdr:row>242</xdr:row>
      <xdr:rowOff>95250</xdr:rowOff>
    </xdr:from>
    <xdr:to>
      <xdr:col>1</xdr:col>
      <xdr:colOff>228600</xdr:colOff>
      <xdr:row>242</xdr:row>
      <xdr:rowOff>171450</xdr:rowOff>
    </xdr:to>
    <xdr:sp macro="" textlink="">
      <xdr:nvSpPr>
        <xdr:cNvPr id="3908296" name="AutoShape 531">
          <a:extLst>
            <a:ext uri="{FF2B5EF4-FFF2-40B4-BE49-F238E27FC236}">
              <a16:creationId xmlns:a16="http://schemas.microsoft.com/office/drawing/2014/main" id="{00000000-0008-0000-0D00-0000C8A23B00}"/>
            </a:ext>
          </a:extLst>
        </xdr:cNvPr>
        <xdr:cNvSpPr>
          <a:spLocks noChangeArrowheads="1"/>
        </xdr:cNvSpPr>
      </xdr:nvSpPr>
      <xdr:spPr bwMode="auto">
        <a:xfrm>
          <a:off x="123825" y="66151125"/>
          <a:ext cx="161925" cy="76200"/>
        </a:xfrm>
        <a:prstGeom prst="chevron">
          <a:avLst>
            <a:gd name="adj" fmla="val 53125"/>
          </a:avLst>
        </a:prstGeom>
        <a:solidFill>
          <a:srgbClr val="00CCFF"/>
        </a:solidFill>
        <a:ln w="9525" algn="ctr">
          <a:solidFill>
            <a:srgbClr val="000000"/>
          </a:solidFill>
          <a:miter lim="800000"/>
          <a:headEnd/>
          <a:tailEnd/>
        </a:ln>
      </xdr:spPr>
    </xdr:sp>
    <xdr:clientData/>
  </xdr:twoCellAnchor>
  <xdr:twoCellAnchor editAs="oneCell">
    <xdr:from>
      <xdr:col>1</xdr:col>
      <xdr:colOff>2038350</xdr:colOff>
      <xdr:row>97</xdr:row>
      <xdr:rowOff>9525</xdr:rowOff>
    </xdr:from>
    <xdr:to>
      <xdr:col>6</xdr:col>
      <xdr:colOff>0</xdr:colOff>
      <xdr:row>97</xdr:row>
      <xdr:rowOff>4804483</xdr:rowOff>
    </xdr:to>
    <xdr:pic>
      <xdr:nvPicPr>
        <xdr:cNvPr id="4" name="Imag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2143125" y="23421975"/>
          <a:ext cx="7286625" cy="479495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333333"/>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333333"/>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interventions.aquitaine.fr/" TargetMode="External"/><Relationship Id="rId1" Type="http://schemas.openxmlformats.org/officeDocument/2006/relationships/hyperlink" Target="http://www.anvar.fr/"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ayonne.cci.fr/" TargetMode="External"/><Relationship Id="rId2" Type="http://schemas.openxmlformats.org/officeDocument/2006/relationships/hyperlink" Target="http://www.afecreation.fr/" TargetMode="External"/><Relationship Id="rId1" Type="http://schemas.openxmlformats.org/officeDocument/2006/relationships/hyperlink" Target="mailto:info@herrikoa.com"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www.marketingpourpme.org/xwiki2/bin/view/NBAccueil/" TargetMode="External"/><Relationship Id="rId1" Type="http://schemas.openxmlformats.org/officeDocument/2006/relationships/hyperlink" Target="http://creation-entreprise.insee.fr/" TargetMode="External"/><Relationship Id="rId6" Type="http://schemas.openxmlformats.org/officeDocument/2006/relationships/ctrlProp" Target="../ctrlProps/ctrlProp1.xml"/><Relationship Id="rId11" Type="http://schemas.openxmlformats.org/officeDocument/2006/relationships/comments" Target="../comments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0" tint="-0.499984740745262"/>
    <pageSetUpPr fitToPage="1"/>
  </sheetPr>
  <dimension ref="A1:N36"/>
  <sheetViews>
    <sheetView tabSelected="1" zoomScaleNormal="100" zoomScalePageLayoutView="75" workbookViewId="0">
      <selection activeCell="C3" sqref="C3:I3"/>
    </sheetView>
  </sheetViews>
  <sheetFormatPr baseColWidth="10" defaultColWidth="10.77734375" defaultRowHeight="13.8" x14ac:dyDescent="0.3"/>
  <cols>
    <col min="1" max="1" width="10.77734375" style="505" customWidth="1"/>
    <col min="2" max="2" width="2.77734375" style="503" customWidth="1"/>
    <col min="3" max="3" width="40.77734375" style="503" customWidth="1"/>
    <col min="4" max="4" width="1.77734375" style="503" customWidth="1"/>
    <col min="5" max="5" width="40.77734375" style="503" customWidth="1"/>
    <col min="6" max="6" width="1.77734375" style="503" customWidth="1"/>
    <col min="7" max="7" width="40.77734375" style="503" customWidth="1"/>
    <col min="8" max="8" width="1.77734375" style="503" customWidth="1"/>
    <col min="9" max="9" width="30.77734375" style="503" customWidth="1"/>
    <col min="10" max="10" width="2.77734375" style="503" customWidth="1"/>
    <col min="11" max="16384" width="10.77734375" style="505"/>
  </cols>
  <sheetData>
    <row r="1" spans="1:14" ht="20.100000000000001" customHeight="1" thickBot="1" x14ac:dyDescent="0.35">
      <c r="C1" s="504"/>
    </row>
    <row r="2" spans="1:14" ht="20.100000000000001" customHeight="1" thickBot="1" x14ac:dyDescent="0.35">
      <c r="B2" s="510"/>
      <c r="C2" s="511"/>
      <c r="D2" s="511"/>
      <c r="E2" s="511"/>
      <c r="F2" s="511"/>
      <c r="G2" s="511"/>
      <c r="H2" s="511"/>
      <c r="I2" s="511"/>
      <c r="J2" s="512"/>
    </row>
    <row r="3" spans="1:14" ht="35.1" customHeight="1" thickBot="1" x14ac:dyDescent="0.35">
      <c r="A3" s="741">
        <v>43556</v>
      </c>
      <c r="B3" s="513"/>
      <c r="C3" s="2122" t="s">
        <v>775</v>
      </c>
      <c r="D3" s="2123"/>
      <c r="E3" s="2123"/>
      <c r="F3" s="2123"/>
      <c r="G3" s="2123"/>
      <c r="H3" s="2123"/>
      <c r="I3" s="2124"/>
      <c r="J3" s="514"/>
    </row>
    <row r="4" spans="1:14" ht="50.1" customHeight="1" thickBot="1" x14ac:dyDescent="0.35">
      <c r="B4" s="513"/>
      <c r="C4" s="506"/>
      <c r="D4" s="506"/>
      <c r="E4" s="536" t="s">
        <v>295</v>
      </c>
      <c r="F4" s="506"/>
      <c r="G4" s="506"/>
      <c r="H4" s="506"/>
      <c r="I4" s="506"/>
      <c r="J4" s="514"/>
    </row>
    <row r="5" spans="1:14" ht="30" customHeight="1" thickBot="1" x14ac:dyDescent="0.35">
      <c r="B5" s="513"/>
      <c r="C5" s="546" t="s">
        <v>134</v>
      </c>
      <c r="D5" s="506"/>
      <c r="E5" s="726"/>
      <c r="F5" s="506"/>
      <c r="G5" s="506"/>
      <c r="H5" s="506"/>
      <c r="I5" s="850" t="s">
        <v>866</v>
      </c>
      <c r="J5" s="514"/>
    </row>
    <row r="6" spans="1:14" ht="20.100000000000001" customHeight="1" x14ac:dyDescent="0.3">
      <c r="B6" s="513"/>
      <c r="I6" s="849" t="s">
        <v>867</v>
      </c>
      <c r="J6" s="514"/>
      <c r="N6" s="547"/>
    </row>
    <row r="7" spans="1:14" ht="20.100000000000001" customHeight="1" x14ac:dyDescent="0.3">
      <c r="B7" s="513"/>
      <c r="J7" s="514"/>
      <c r="N7" s="547"/>
    </row>
    <row r="8" spans="1:14" ht="30" customHeight="1" x14ac:dyDescent="0.3">
      <c r="B8" s="513"/>
      <c r="C8" s="725" t="s">
        <v>571</v>
      </c>
      <c r="E8" s="725" t="s">
        <v>575</v>
      </c>
      <c r="G8" s="725" t="s">
        <v>577</v>
      </c>
      <c r="H8" s="507"/>
      <c r="I8" s="725" t="s">
        <v>862</v>
      </c>
      <c r="J8" s="514"/>
    </row>
    <row r="9" spans="1:14" ht="30" customHeight="1" x14ac:dyDescent="0.3">
      <c r="B9" s="513"/>
      <c r="C9" s="725" t="s">
        <v>572</v>
      </c>
      <c r="E9" s="725" t="s">
        <v>576</v>
      </c>
      <c r="G9" s="725" t="s">
        <v>100</v>
      </c>
      <c r="H9" s="507"/>
      <c r="I9" s="725" t="s">
        <v>863</v>
      </c>
      <c r="J9" s="514"/>
    </row>
    <row r="10" spans="1:14" ht="30" customHeight="1" x14ac:dyDescent="0.3">
      <c r="B10" s="513"/>
      <c r="C10" s="725" t="s">
        <v>574</v>
      </c>
      <c r="E10" s="725" t="s">
        <v>507</v>
      </c>
      <c r="G10" s="725" t="s">
        <v>578</v>
      </c>
      <c r="H10" s="507"/>
      <c r="I10" s="725" t="s">
        <v>864</v>
      </c>
      <c r="J10" s="514"/>
    </row>
    <row r="11" spans="1:14" ht="30" customHeight="1" x14ac:dyDescent="0.3">
      <c r="B11" s="513"/>
      <c r="C11" s="725" t="s">
        <v>573</v>
      </c>
      <c r="E11" s="725" t="s">
        <v>33</v>
      </c>
      <c r="G11" s="725" t="s">
        <v>861</v>
      </c>
      <c r="H11" s="507"/>
      <c r="I11" s="725" t="s">
        <v>579</v>
      </c>
      <c r="J11" s="514"/>
    </row>
    <row r="12" spans="1:14" ht="60" customHeight="1" x14ac:dyDescent="0.3">
      <c r="B12" s="513"/>
      <c r="C12" s="505"/>
      <c r="G12" s="505"/>
      <c r="H12" s="507"/>
      <c r="J12" s="514"/>
    </row>
    <row r="13" spans="1:14" ht="24.9" customHeight="1" x14ac:dyDescent="0.3">
      <c r="B13" s="513"/>
      <c r="C13" s="549"/>
      <c r="D13" s="550"/>
      <c r="E13" s="550"/>
      <c r="F13" s="550"/>
      <c r="G13" s="551"/>
      <c r="H13" s="552"/>
      <c r="I13" s="553"/>
      <c r="J13" s="514"/>
    </row>
    <row r="14" spans="1:14" ht="24.9" customHeight="1" x14ac:dyDescent="0.3">
      <c r="B14" s="513"/>
      <c r="C14" s="554"/>
      <c r="D14" s="548"/>
      <c r="E14" s="548"/>
      <c r="F14" s="548"/>
      <c r="G14" s="548"/>
      <c r="H14" s="548"/>
      <c r="I14" s="555"/>
      <c r="J14" s="514"/>
    </row>
    <row r="15" spans="1:14" ht="24.9" customHeight="1" x14ac:dyDescent="0.3">
      <c r="B15" s="513"/>
      <c r="C15" s="554"/>
      <c r="D15" s="548"/>
      <c r="E15" s="548"/>
      <c r="F15" s="548"/>
      <c r="G15" s="548"/>
      <c r="H15" s="548"/>
      <c r="I15" s="555"/>
      <c r="J15" s="514"/>
    </row>
    <row r="16" spans="1:14" ht="24.9" customHeight="1" x14ac:dyDescent="0.3">
      <c r="B16" s="513"/>
      <c r="C16" s="554"/>
      <c r="D16" s="548"/>
      <c r="E16" s="548"/>
      <c r="F16" s="548"/>
      <c r="G16" s="548"/>
      <c r="H16" s="548"/>
      <c r="I16" s="555"/>
      <c r="J16" s="514"/>
    </row>
    <row r="17" spans="2:11" ht="24.9" customHeight="1" x14ac:dyDescent="0.3">
      <c r="B17" s="513"/>
      <c r="C17" s="554"/>
      <c r="D17" s="548"/>
      <c r="E17" s="548"/>
      <c r="F17" s="548"/>
      <c r="G17" s="548"/>
      <c r="H17" s="548"/>
      <c r="I17" s="555"/>
      <c r="J17" s="514"/>
    </row>
    <row r="18" spans="2:11" ht="24.9" customHeight="1" x14ac:dyDescent="0.3">
      <c r="B18" s="513"/>
      <c r="C18" s="554"/>
      <c r="D18" s="548"/>
      <c r="E18" s="548"/>
      <c r="F18" s="548"/>
      <c r="G18" s="548"/>
      <c r="H18" s="548"/>
      <c r="I18" s="555"/>
      <c r="J18" s="514"/>
    </row>
    <row r="19" spans="2:11" ht="20.100000000000001" customHeight="1" x14ac:dyDescent="0.3">
      <c r="B19" s="513"/>
      <c r="C19" s="556"/>
      <c r="D19" s="548"/>
      <c r="E19" s="548"/>
      <c r="F19" s="548"/>
      <c r="G19" s="548"/>
      <c r="H19" s="548"/>
      <c r="I19" s="555"/>
      <c r="J19" s="514"/>
    </row>
    <row r="20" spans="2:11" ht="30" customHeight="1" x14ac:dyDescent="0.5">
      <c r="B20" s="513"/>
      <c r="C20" s="2125" t="s">
        <v>614</v>
      </c>
      <c r="D20" s="2126"/>
      <c r="E20" s="2126"/>
      <c r="F20" s="2126"/>
      <c r="G20" s="2126"/>
      <c r="H20" s="2126"/>
      <c r="I20" s="2127"/>
      <c r="J20" s="514"/>
    </row>
    <row r="21" spans="2:11" s="508" customFormat="1" ht="30" customHeight="1" x14ac:dyDescent="0.3">
      <c r="B21" s="515"/>
      <c r="C21" s="2118" t="s">
        <v>860</v>
      </c>
      <c r="D21" s="2119"/>
      <c r="E21" s="2119"/>
      <c r="F21" s="2119"/>
      <c r="G21" s="2119"/>
      <c r="H21" s="2119"/>
      <c r="I21" s="2120"/>
      <c r="J21" s="514"/>
      <c r="K21" s="505"/>
    </row>
    <row r="22" spans="2:11" s="508" customFormat="1" ht="24.9" customHeight="1" x14ac:dyDescent="0.3">
      <c r="B22" s="515"/>
      <c r="C22" s="851"/>
      <c r="D22" s="852"/>
      <c r="E22" s="852"/>
      <c r="F22" s="852"/>
      <c r="G22" s="852"/>
      <c r="H22" s="852"/>
      <c r="I22" s="853"/>
      <c r="J22" s="514"/>
      <c r="K22" s="505"/>
    </row>
    <row r="23" spans="2:11" ht="50.1" customHeight="1" thickBot="1" x14ac:dyDescent="0.35">
      <c r="B23" s="513"/>
      <c r="J23" s="514"/>
    </row>
    <row r="24" spans="2:11" s="508" customFormat="1" ht="30" customHeight="1" thickBot="1" x14ac:dyDescent="0.35">
      <c r="B24" s="515"/>
      <c r="C24" s="2115" t="s">
        <v>620</v>
      </c>
      <c r="D24" s="2116"/>
      <c r="E24" s="2116"/>
      <c r="F24" s="2116"/>
      <c r="G24" s="2116"/>
      <c r="H24" s="2116"/>
      <c r="I24" s="2117"/>
      <c r="J24" s="514"/>
      <c r="K24" s="505"/>
    </row>
    <row r="25" spans="2:11" s="508" customFormat="1" ht="50.1" customHeight="1" thickBot="1" x14ac:dyDescent="0.35">
      <c r="B25" s="854"/>
      <c r="C25" s="516"/>
      <c r="D25" s="516"/>
      <c r="E25" s="516"/>
      <c r="F25" s="516"/>
      <c r="G25" s="516"/>
      <c r="H25" s="516"/>
      <c r="I25" s="516"/>
      <c r="J25" s="517"/>
      <c r="K25" s="505"/>
    </row>
    <row r="28" spans="2:11" s="509" customFormat="1" ht="18" x14ac:dyDescent="0.35">
      <c r="B28" s="2121"/>
      <c r="C28" s="2121"/>
      <c r="D28" s="2121"/>
      <c r="E28" s="2121"/>
      <c r="F28" s="2121"/>
      <c r="G28" s="2121"/>
      <c r="H28" s="2121"/>
      <c r="I28" s="2121"/>
      <c r="J28" s="2121"/>
    </row>
    <row r="29" spans="2:11" s="509" customFormat="1" ht="18" x14ac:dyDescent="0.35">
      <c r="B29" s="2121"/>
      <c r="C29" s="2121"/>
      <c r="D29" s="2121"/>
      <c r="E29" s="2121"/>
      <c r="F29" s="2121"/>
      <c r="G29" s="2121"/>
      <c r="H29" s="2121"/>
      <c r="I29" s="2121"/>
      <c r="J29" s="2121"/>
    </row>
    <row r="30" spans="2:11" s="509" customFormat="1" ht="18" x14ac:dyDescent="0.35">
      <c r="B30" s="2121"/>
      <c r="C30" s="2121"/>
      <c r="D30" s="2121"/>
      <c r="E30" s="2121"/>
      <c r="F30" s="2121"/>
      <c r="G30" s="2121"/>
      <c r="H30" s="2121"/>
      <c r="I30" s="2121"/>
      <c r="J30" s="2121"/>
    </row>
    <row r="31" spans="2:11" s="509" customFormat="1" ht="18" x14ac:dyDescent="0.35">
      <c r="B31" s="2121"/>
      <c r="C31" s="2121"/>
      <c r="D31" s="2121"/>
      <c r="E31" s="2121"/>
      <c r="F31" s="2121"/>
      <c r="G31" s="2121"/>
      <c r="H31" s="2121"/>
      <c r="I31" s="2121"/>
      <c r="J31" s="2121"/>
    </row>
    <row r="32" spans="2:11" s="509" customFormat="1" ht="18" x14ac:dyDescent="0.35">
      <c r="B32" s="2121"/>
      <c r="C32" s="2121"/>
      <c r="D32" s="2121"/>
      <c r="E32" s="2121"/>
      <c r="F32" s="2121"/>
      <c r="G32" s="2121"/>
      <c r="H32" s="2121"/>
      <c r="I32" s="2121"/>
      <c r="J32" s="2121"/>
    </row>
    <row r="33" spans="2:10" s="509" customFormat="1" ht="18" x14ac:dyDescent="0.35">
      <c r="B33" s="2121"/>
      <c r="C33" s="2121"/>
      <c r="D33" s="2121"/>
      <c r="E33" s="2121"/>
      <c r="F33" s="2121"/>
      <c r="G33" s="2121"/>
      <c r="H33" s="2121"/>
      <c r="I33" s="2121"/>
      <c r="J33" s="2121"/>
    </row>
    <row r="34" spans="2:10" s="509" customFormat="1" ht="18" x14ac:dyDescent="0.35">
      <c r="B34" s="2121"/>
      <c r="C34" s="2121"/>
      <c r="D34" s="2121"/>
      <c r="E34" s="2121"/>
      <c r="F34" s="2121"/>
      <c r="G34" s="2121"/>
      <c r="H34" s="2121"/>
      <c r="I34" s="2121"/>
      <c r="J34" s="2121"/>
    </row>
    <row r="35" spans="2:10" s="509" customFormat="1" ht="18" x14ac:dyDescent="0.35">
      <c r="B35" s="2128"/>
      <c r="C35" s="2128"/>
      <c r="D35" s="2128"/>
      <c r="E35" s="2128"/>
      <c r="F35" s="2128"/>
      <c r="G35" s="2128"/>
      <c r="H35" s="2128"/>
      <c r="I35" s="2128"/>
      <c r="J35" s="2128"/>
    </row>
    <row r="36" spans="2:10" s="509" customFormat="1" ht="18" x14ac:dyDescent="0.35">
      <c r="B36" s="2128"/>
      <c r="C36" s="2128"/>
      <c r="D36" s="2128"/>
      <c r="E36" s="2128"/>
      <c r="F36" s="2128"/>
      <c r="G36" s="2128"/>
      <c r="H36" s="2128"/>
      <c r="I36" s="2128"/>
      <c r="J36" s="2128"/>
    </row>
  </sheetData>
  <sheetProtection algorithmName="SHA-512" hashValue="IhcbylhxF2TEJL9aiNjfjUUww/l/71oYuhWCIdGq5dvJkEwMOaxDieis+cknDVR7HsyrjKpoZ9qdilG5XIyCIA==" saltValue="HYzfSwX9Bgxoc1AeHxCtoQ==" spinCount="100000" sheet="1" objects="1" scenarios="1"/>
  <mergeCells count="13">
    <mergeCell ref="B30:J30"/>
    <mergeCell ref="B31:J31"/>
    <mergeCell ref="B36:J36"/>
    <mergeCell ref="B32:J32"/>
    <mergeCell ref="B33:J33"/>
    <mergeCell ref="B34:J34"/>
    <mergeCell ref="B35:J35"/>
    <mergeCell ref="C24:I24"/>
    <mergeCell ref="C21:I21"/>
    <mergeCell ref="B28:J28"/>
    <mergeCell ref="B29:J29"/>
    <mergeCell ref="C3:I3"/>
    <mergeCell ref="C20:I20"/>
  </mergeCells>
  <phoneticPr fontId="0" type="noConversion"/>
  <hyperlinks>
    <hyperlink ref="C8" location="Préambule!A1" display="Préambule" xr:uid="{00000000-0004-0000-0000-000000000000}"/>
    <hyperlink ref="C9" location="'Créateur(s)'!B1" display="Le(s) porteur(s) de projet" xr:uid="{00000000-0004-0000-0000-000001000000}"/>
    <hyperlink ref="C10" location="Projet!B1" display="Nature du projet" xr:uid="{00000000-0004-0000-0000-000002000000}"/>
    <hyperlink ref="C11" location="Projet!B30" display="Le produit et son marché" xr:uid="{00000000-0004-0000-0000-000003000000}"/>
    <hyperlink ref="E10" location="'Chiffre d''affaires'!B1" display="Chiffre d'affaires" xr:uid="{00000000-0004-0000-0000-000004000000}"/>
    <hyperlink ref="E11" location="'Moyens d''exploitation'!B1" display="Moyens d'exploitation" xr:uid="{00000000-0004-0000-0000-000005000000}"/>
    <hyperlink ref="E8" location="Projet!B87" display="La politique commerciale" xr:uid="{00000000-0004-0000-0000-000006000000}"/>
    <hyperlink ref="E9" location="Projet!B102" display="Politique d'achat" xr:uid="{00000000-0004-0000-0000-000007000000}"/>
    <hyperlink ref="G8" location="'Compte de résulat prévisionnel'!B1" display="Compte de résultat" xr:uid="{00000000-0004-0000-0000-000008000000}"/>
    <hyperlink ref="G9" location="Bfr!B1" display="Besoin en fonds de roulement" xr:uid="{00000000-0004-0000-0000-000009000000}"/>
    <hyperlink ref="I8" location="Synthèse!B1" display="Synthèse" xr:uid="{00000000-0004-0000-0000-00000A000000}"/>
    <hyperlink ref="I9" location="Simulations!B1" display="Simulations" xr:uid="{00000000-0004-0000-0000-00000B000000}"/>
    <hyperlink ref="G10" location="'Plan de financement'!B1" display="Plan de financement" xr:uid="{00000000-0004-0000-0000-00000C000000}"/>
    <hyperlink ref="G11" location="'Budget de trésorerie'!B1" display="Budget de trésorerie" xr:uid="{00000000-0004-0000-0000-00000D000000}"/>
    <hyperlink ref="I11" location="Comprendre!B1" display="Comprendre" xr:uid="{00000000-0004-0000-0000-00000E000000}"/>
    <hyperlink ref="I10" location="'tableaux d''emprunts'!B1" display="Tableaux d'emprunt" xr:uid="{00000000-0004-0000-0000-00000F000000}"/>
    <hyperlink ref="I5" location="Cotation!B1" display="Cotation" xr:uid="{00000000-0004-0000-0000-000010000000}"/>
  </hyperlinks>
  <printOptions horizontalCentered="1"/>
  <pageMargins left="0" right="0" top="0" bottom="0" header="0" footer="0"/>
  <pageSetup paperSize="9" scale="67" orientation="portrait" r:id="rId1"/>
  <headerFooter alignWithMargins="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sheetPr>
  <dimension ref="A1:BST2070"/>
  <sheetViews>
    <sheetView showGridLines="0" showRowColHeaders="0" zoomScaleNormal="100" workbookViewId="0">
      <pane xSplit="4" ySplit="4" topLeftCell="E14" activePane="bottomRight" state="frozenSplit"/>
      <selection pane="topRight" activeCell="K1" sqref="K1"/>
      <selection pane="bottomLeft" activeCell="A8" sqref="A8"/>
      <selection pane="bottomRight" activeCell="D32" sqref="D32"/>
    </sheetView>
  </sheetViews>
  <sheetFormatPr baseColWidth="10" defaultColWidth="12" defaultRowHeight="13.8" x14ac:dyDescent="0.3"/>
  <cols>
    <col min="1" max="1" width="1.77734375" style="837" customWidth="1"/>
    <col min="2" max="2" width="5.77734375" style="833" customWidth="1"/>
    <col min="3" max="3" width="32.77734375" style="833" customWidth="1"/>
    <col min="4" max="4" width="9.77734375" style="833" customWidth="1"/>
    <col min="5" max="22" width="10.77734375" style="833" customWidth="1"/>
    <col min="23" max="23" width="1.77734375" style="837" customWidth="1"/>
    <col min="24" max="26" width="12" style="837"/>
    <col min="27" max="27" width="12" style="871"/>
    <col min="28" max="1866" width="12" style="837"/>
    <col min="1867" max="16384" width="12" style="833"/>
  </cols>
  <sheetData>
    <row r="1" spans="1:1866" ht="6" customHeight="1" x14ac:dyDescent="0.3"/>
    <row r="2" spans="1:1866" s="842" customFormat="1" ht="21.9" customHeight="1" x14ac:dyDescent="0.25">
      <c r="A2" s="841"/>
      <c r="B2" s="3185" t="str">
        <f>IF(ISBLANK(dossier)," ",dossier)</f>
        <v xml:space="preserve"> </v>
      </c>
      <c r="C2" s="3186"/>
      <c r="D2" s="3187"/>
      <c r="E2" s="3184" t="s">
        <v>883</v>
      </c>
      <c r="F2" s="3184"/>
      <c r="G2" s="3184"/>
      <c r="H2" s="3184"/>
      <c r="I2" s="3184"/>
      <c r="J2" s="3184"/>
      <c r="K2" s="3184"/>
      <c r="L2" s="3184"/>
      <c r="M2" s="3184"/>
      <c r="N2" s="3184"/>
      <c r="O2" s="3184"/>
      <c r="P2" s="3184"/>
      <c r="Q2" s="3184"/>
      <c r="R2" s="3184"/>
      <c r="S2" s="3184"/>
      <c r="T2" s="3184"/>
      <c r="U2" s="1271"/>
      <c r="V2" s="1272"/>
      <c r="W2" s="841"/>
      <c r="X2" s="841"/>
      <c r="Y2" s="841"/>
      <c r="Z2" s="841"/>
      <c r="AA2" s="865"/>
      <c r="AB2" s="841"/>
      <c r="AC2" s="841"/>
      <c r="AD2" s="841"/>
      <c r="AE2" s="841"/>
      <c r="AF2" s="841"/>
      <c r="AG2" s="841"/>
      <c r="AH2" s="841"/>
      <c r="AI2" s="841"/>
      <c r="AJ2" s="841"/>
      <c r="AK2" s="841"/>
      <c r="AL2" s="841"/>
      <c r="AM2" s="841"/>
      <c r="AN2" s="841"/>
      <c r="AO2" s="841"/>
      <c r="AP2" s="841"/>
      <c r="AQ2" s="841"/>
      <c r="AR2" s="841"/>
      <c r="AS2" s="841"/>
      <c r="AT2" s="841"/>
      <c r="AU2" s="841"/>
      <c r="AV2" s="841"/>
      <c r="AW2" s="841"/>
      <c r="AX2" s="841"/>
      <c r="AY2" s="841"/>
      <c r="AZ2" s="841"/>
      <c r="BA2" s="841"/>
      <c r="BB2" s="841"/>
      <c r="BC2" s="841"/>
      <c r="BD2" s="841"/>
      <c r="BE2" s="841"/>
      <c r="BF2" s="841"/>
      <c r="BG2" s="841"/>
      <c r="BH2" s="841"/>
      <c r="BI2" s="841"/>
      <c r="BJ2" s="841"/>
      <c r="BK2" s="841"/>
      <c r="BL2" s="841"/>
      <c r="BM2" s="841"/>
      <c r="BN2" s="841"/>
      <c r="BO2" s="841"/>
      <c r="BP2" s="841"/>
      <c r="BQ2" s="841"/>
      <c r="BR2" s="841"/>
      <c r="BS2" s="841"/>
      <c r="BT2" s="841"/>
      <c r="BU2" s="841"/>
      <c r="BV2" s="841"/>
      <c r="BW2" s="841"/>
      <c r="BX2" s="841"/>
      <c r="BY2" s="841"/>
      <c r="BZ2" s="841"/>
      <c r="CA2" s="841"/>
      <c r="CB2" s="841"/>
      <c r="CC2" s="841"/>
      <c r="CD2" s="841"/>
      <c r="CE2" s="841"/>
      <c r="CF2" s="841"/>
      <c r="CG2" s="841"/>
      <c r="CH2" s="841"/>
      <c r="CI2" s="841"/>
      <c r="CJ2" s="841"/>
      <c r="CK2" s="841"/>
      <c r="CL2" s="841"/>
      <c r="CM2" s="841"/>
      <c r="CN2" s="841"/>
      <c r="CO2" s="841"/>
      <c r="CP2" s="841"/>
      <c r="CQ2" s="841"/>
      <c r="CR2" s="841"/>
      <c r="CS2" s="841"/>
      <c r="CT2" s="841"/>
      <c r="CU2" s="841"/>
      <c r="CV2" s="841"/>
      <c r="CW2" s="841"/>
      <c r="CX2" s="841"/>
      <c r="CY2" s="841"/>
      <c r="CZ2" s="841"/>
      <c r="DA2" s="841"/>
      <c r="DB2" s="841"/>
      <c r="DC2" s="841"/>
      <c r="DD2" s="841"/>
      <c r="DE2" s="841"/>
      <c r="DF2" s="841"/>
      <c r="DG2" s="841"/>
      <c r="DH2" s="841"/>
      <c r="DI2" s="841"/>
      <c r="DJ2" s="841"/>
      <c r="DK2" s="841"/>
      <c r="DL2" s="841"/>
      <c r="DM2" s="841"/>
      <c r="DN2" s="841"/>
      <c r="DO2" s="841"/>
      <c r="DP2" s="841"/>
      <c r="DQ2" s="841"/>
      <c r="DR2" s="841"/>
      <c r="DS2" s="841"/>
      <c r="DT2" s="841"/>
      <c r="DU2" s="841"/>
      <c r="DV2" s="841"/>
      <c r="DW2" s="841"/>
      <c r="DX2" s="841"/>
      <c r="DY2" s="841"/>
      <c r="DZ2" s="841"/>
      <c r="EA2" s="841"/>
      <c r="EB2" s="841"/>
      <c r="EC2" s="841"/>
      <c r="ED2" s="841"/>
      <c r="EE2" s="841"/>
      <c r="EF2" s="841"/>
      <c r="EG2" s="841"/>
      <c r="EH2" s="841"/>
      <c r="EI2" s="841"/>
      <c r="EJ2" s="841"/>
      <c r="EK2" s="841"/>
      <c r="EL2" s="841"/>
      <c r="EM2" s="841"/>
      <c r="EN2" s="841"/>
      <c r="EO2" s="841"/>
      <c r="EP2" s="841"/>
      <c r="EQ2" s="841"/>
      <c r="ER2" s="841"/>
      <c r="ES2" s="841"/>
      <c r="ET2" s="841"/>
      <c r="EU2" s="841"/>
      <c r="EV2" s="841"/>
      <c r="EW2" s="841"/>
      <c r="EX2" s="841"/>
      <c r="EY2" s="841"/>
      <c r="EZ2" s="841"/>
      <c r="FA2" s="841"/>
      <c r="FB2" s="841"/>
      <c r="FC2" s="841"/>
      <c r="FD2" s="841"/>
      <c r="FE2" s="841"/>
      <c r="FF2" s="841"/>
      <c r="FG2" s="841"/>
      <c r="FH2" s="841"/>
      <c r="FI2" s="841"/>
      <c r="FJ2" s="841"/>
      <c r="FK2" s="841"/>
      <c r="FL2" s="841"/>
      <c r="FM2" s="841"/>
      <c r="FN2" s="841"/>
      <c r="FO2" s="841"/>
      <c r="FP2" s="841"/>
      <c r="FQ2" s="841"/>
      <c r="FR2" s="841"/>
      <c r="FS2" s="841"/>
      <c r="FT2" s="841"/>
      <c r="FU2" s="841"/>
      <c r="FV2" s="841"/>
      <c r="FW2" s="841"/>
      <c r="FX2" s="841"/>
      <c r="FY2" s="841"/>
      <c r="FZ2" s="841"/>
      <c r="GA2" s="841"/>
      <c r="GB2" s="841"/>
      <c r="GC2" s="841"/>
      <c r="GD2" s="841"/>
      <c r="GE2" s="841"/>
      <c r="GF2" s="841"/>
      <c r="GG2" s="841"/>
      <c r="GH2" s="841"/>
      <c r="GI2" s="841"/>
      <c r="GJ2" s="841"/>
      <c r="GK2" s="841"/>
      <c r="GL2" s="841"/>
      <c r="GM2" s="841"/>
      <c r="GN2" s="841"/>
      <c r="GO2" s="841"/>
      <c r="GP2" s="841"/>
      <c r="GQ2" s="841"/>
      <c r="GR2" s="841"/>
      <c r="GS2" s="841"/>
      <c r="GT2" s="841"/>
      <c r="GU2" s="841"/>
      <c r="GV2" s="841"/>
      <c r="GW2" s="841"/>
      <c r="GX2" s="841"/>
      <c r="GY2" s="841"/>
      <c r="GZ2" s="841"/>
      <c r="HA2" s="841"/>
      <c r="HB2" s="841"/>
      <c r="HC2" s="841"/>
      <c r="HD2" s="841"/>
      <c r="HE2" s="841"/>
      <c r="HF2" s="841"/>
      <c r="HG2" s="841"/>
      <c r="HH2" s="841"/>
      <c r="HI2" s="841"/>
      <c r="HJ2" s="841"/>
      <c r="HK2" s="841"/>
      <c r="HL2" s="841"/>
      <c r="HM2" s="841"/>
      <c r="HN2" s="841"/>
      <c r="HO2" s="841"/>
      <c r="HP2" s="841"/>
      <c r="HQ2" s="841"/>
      <c r="HR2" s="841"/>
      <c r="HS2" s="841"/>
      <c r="HT2" s="841"/>
      <c r="HU2" s="841"/>
      <c r="HV2" s="841"/>
      <c r="HW2" s="841"/>
      <c r="HX2" s="841"/>
      <c r="HY2" s="841"/>
      <c r="HZ2" s="841"/>
      <c r="IA2" s="841"/>
      <c r="IB2" s="841"/>
      <c r="IC2" s="841"/>
      <c r="ID2" s="841"/>
      <c r="IE2" s="841"/>
      <c r="IF2" s="841"/>
      <c r="IG2" s="841"/>
      <c r="IH2" s="841"/>
      <c r="II2" s="841"/>
      <c r="IJ2" s="841"/>
      <c r="IK2" s="841"/>
      <c r="IL2" s="841"/>
      <c r="IM2" s="841"/>
      <c r="IN2" s="841"/>
      <c r="IO2" s="841"/>
      <c r="IP2" s="841"/>
      <c r="IQ2" s="841"/>
      <c r="IR2" s="841"/>
      <c r="IS2" s="841"/>
      <c r="IT2" s="841"/>
      <c r="IU2" s="841"/>
      <c r="IV2" s="841"/>
      <c r="IW2" s="841"/>
      <c r="IX2" s="841"/>
      <c r="IY2" s="841"/>
      <c r="IZ2" s="841"/>
      <c r="JA2" s="841"/>
      <c r="JB2" s="841"/>
      <c r="JC2" s="841"/>
      <c r="JD2" s="841"/>
      <c r="JE2" s="841"/>
      <c r="JF2" s="841"/>
      <c r="JG2" s="841"/>
      <c r="JH2" s="841"/>
      <c r="JI2" s="841"/>
      <c r="JJ2" s="841"/>
      <c r="JK2" s="841"/>
      <c r="JL2" s="841"/>
      <c r="JM2" s="841"/>
      <c r="JN2" s="841"/>
      <c r="JO2" s="841"/>
      <c r="JP2" s="841"/>
      <c r="JQ2" s="841"/>
      <c r="JR2" s="841"/>
      <c r="JS2" s="841"/>
      <c r="JT2" s="841"/>
      <c r="JU2" s="841"/>
      <c r="JV2" s="841"/>
      <c r="JW2" s="841"/>
      <c r="JX2" s="841"/>
      <c r="JY2" s="841"/>
      <c r="JZ2" s="841"/>
      <c r="KA2" s="841"/>
      <c r="KB2" s="841"/>
      <c r="KC2" s="841"/>
      <c r="KD2" s="841"/>
      <c r="KE2" s="841"/>
      <c r="KF2" s="841"/>
      <c r="KG2" s="841"/>
      <c r="KH2" s="841"/>
      <c r="KI2" s="841"/>
      <c r="KJ2" s="841"/>
      <c r="KK2" s="841"/>
      <c r="KL2" s="841"/>
      <c r="KM2" s="841"/>
      <c r="KN2" s="841"/>
      <c r="KO2" s="841"/>
      <c r="KP2" s="841"/>
      <c r="KQ2" s="841"/>
      <c r="KR2" s="841"/>
      <c r="KS2" s="841"/>
      <c r="KT2" s="841"/>
      <c r="KU2" s="841"/>
      <c r="KV2" s="841"/>
      <c r="KW2" s="841"/>
      <c r="KX2" s="841"/>
      <c r="KY2" s="841"/>
      <c r="KZ2" s="841"/>
      <c r="LA2" s="841"/>
      <c r="LB2" s="841"/>
      <c r="LC2" s="841"/>
      <c r="LD2" s="841"/>
      <c r="LE2" s="841"/>
      <c r="LF2" s="841"/>
      <c r="LG2" s="841"/>
      <c r="LH2" s="841"/>
      <c r="LI2" s="841"/>
      <c r="LJ2" s="841"/>
      <c r="LK2" s="841"/>
      <c r="LL2" s="841"/>
      <c r="LM2" s="841"/>
      <c r="LN2" s="841"/>
      <c r="LO2" s="841"/>
      <c r="LP2" s="841"/>
      <c r="LQ2" s="841"/>
      <c r="LR2" s="841"/>
      <c r="LS2" s="841"/>
      <c r="LT2" s="841"/>
      <c r="LU2" s="841"/>
      <c r="LV2" s="841"/>
      <c r="LW2" s="841"/>
      <c r="LX2" s="841"/>
      <c r="LY2" s="841"/>
      <c r="LZ2" s="841"/>
      <c r="MA2" s="841"/>
      <c r="MB2" s="841"/>
      <c r="MC2" s="841"/>
      <c r="MD2" s="841"/>
      <c r="ME2" s="841"/>
      <c r="MF2" s="841"/>
      <c r="MG2" s="841"/>
      <c r="MH2" s="841"/>
      <c r="MI2" s="841"/>
      <c r="MJ2" s="841"/>
      <c r="MK2" s="841"/>
      <c r="ML2" s="841"/>
      <c r="MM2" s="841"/>
      <c r="MN2" s="841"/>
      <c r="MO2" s="841"/>
      <c r="MP2" s="841"/>
      <c r="MQ2" s="841"/>
      <c r="MR2" s="841"/>
      <c r="MS2" s="841"/>
      <c r="MT2" s="841"/>
      <c r="MU2" s="841"/>
      <c r="MV2" s="841"/>
      <c r="MW2" s="841"/>
      <c r="MX2" s="841"/>
      <c r="MY2" s="841"/>
      <c r="MZ2" s="841"/>
      <c r="NA2" s="841"/>
      <c r="NB2" s="841"/>
      <c r="NC2" s="841"/>
      <c r="ND2" s="841"/>
      <c r="NE2" s="841"/>
      <c r="NF2" s="841"/>
      <c r="NG2" s="841"/>
      <c r="NH2" s="841"/>
      <c r="NI2" s="841"/>
      <c r="NJ2" s="841"/>
      <c r="NK2" s="841"/>
      <c r="NL2" s="841"/>
      <c r="NM2" s="841"/>
      <c r="NN2" s="841"/>
      <c r="NO2" s="841"/>
      <c r="NP2" s="841"/>
      <c r="NQ2" s="841"/>
      <c r="NR2" s="841"/>
      <c r="NS2" s="841"/>
      <c r="NT2" s="841"/>
      <c r="NU2" s="841"/>
      <c r="NV2" s="841"/>
      <c r="NW2" s="841"/>
      <c r="NX2" s="841"/>
      <c r="NY2" s="841"/>
      <c r="NZ2" s="841"/>
      <c r="OA2" s="841"/>
      <c r="OB2" s="841"/>
      <c r="OC2" s="841"/>
      <c r="OD2" s="841"/>
      <c r="OE2" s="841"/>
      <c r="OF2" s="841"/>
      <c r="OG2" s="841"/>
      <c r="OH2" s="841"/>
      <c r="OI2" s="841"/>
      <c r="OJ2" s="841"/>
      <c r="OK2" s="841"/>
      <c r="OL2" s="841"/>
      <c r="OM2" s="841"/>
      <c r="ON2" s="841"/>
      <c r="OO2" s="841"/>
      <c r="OP2" s="841"/>
      <c r="OQ2" s="841"/>
      <c r="OR2" s="841"/>
      <c r="OS2" s="841"/>
      <c r="OT2" s="841"/>
      <c r="OU2" s="841"/>
      <c r="OV2" s="841"/>
      <c r="OW2" s="841"/>
      <c r="OX2" s="841"/>
      <c r="OY2" s="841"/>
      <c r="OZ2" s="841"/>
      <c r="PA2" s="841"/>
      <c r="PB2" s="841"/>
      <c r="PC2" s="841"/>
      <c r="PD2" s="841"/>
      <c r="PE2" s="841"/>
      <c r="PF2" s="841"/>
      <c r="PG2" s="841"/>
      <c r="PH2" s="841"/>
      <c r="PI2" s="841"/>
      <c r="PJ2" s="841"/>
      <c r="PK2" s="841"/>
      <c r="PL2" s="841"/>
      <c r="PM2" s="841"/>
      <c r="PN2" s="841"/>
      <c r="PO2" s="841"/>
      <c r="PP2" s="841"/>
      <c r="PQ2" s="841"/>
      <c r="PR2" s="841"/>
      <c r="PS2" s="841"/>
      <c r="PT2" s="841"/>
      <c r="PU2" s="841"/>
      <c r="PV2" s="841"/>
      <c r="PW2" s="841"/>
      <c r="PX2" s="841"/>
      <c r="PY2" s="841"/>
      <c r="PZ2" s="841"/>
      <c r="QA2" s="841"/>
      <c r="QB2" s="841"/>
      <c r="QC2" s="841"/>
      <c r="QD2" s="841"/>
      <c r="QE2" s="841"/>
      <c r="QF2" s="841"/>
      <c r="QG2" s="841"/>
      <c r="QH2" s="841"/>
      <c r="QI2" s="841"/>
      <c r="QJ2" s="841"/>
      <c r="QK2" s="841"/>
      <c r="QL2" s="841"/>
      <c r="QM2" s="841"/>
      <c r="QN2" s="841"/>
      <c r="QO2" s="841"/>
      <c r="QP2" s="841"/>
      <c r="QQ2" s="841"/>
      <c r="QR2" s="841"/>
      <c r="QS2" s="841"/>
      <c r="QT2" s="841"/>
      <c r="QU2" s="841"/>
      <c r="QV2" s="841"/>
      <c r="QW2" s="841"/>
      <c r="QX2" s="841"/>
      <c r="QY2" s="841"/>
      <c r="QZ2" s="841"/>
      <c r="RA2" s="841"/>
      <c r="RB2" s="841"/>
      <c r="RC2" s="841"/>
      <c r="RD2" s="841"/>
      <c r="RE2" s="841"/>
      <c r="RF2" s="841"/>
      <c r="RG2" s="841"/>
      <c r="RH2" s="841"/>
      <c r="RI2" s="841"/>
      <c r="RJ2" s="841"/>
      <c r="RK2" s="841"/>
      <c r="RL2" s="841"/>
      <c r="RM2" s="841"/>
      <c r="RN2" s="841"/>
      <c r="RO2" s="841"/>
      <c r="RP2" s="841"/>
      <c r="RQ2" s="841"/>
      <c r="RR2" s="841"/>
      <c r="RS2" s="841"/>
      <c r="RT2" s="841"/>
      <c r="RU2" s="841"/>
      <c r="RV2" s="841"/>
      <c r="RW2" s="841"/>
      <c r="RX2" s="841"/>
      <c r="RY2" s="841"/>
      <c r="RZ2" s="841"/>
      <c r="SA2" s="841"/>
      <c r="SB2" s="841"/>
      <c r="SC2" s="841"/>
      <c r="SD2" s="841"/>
      <c r="SE2" s="841"/>
      <c r="SF2" s="841"/>
      <c r="SG2" s="841"/>
      <c r="SH2" s="841"/>
      <c r="SI2" s="841"/>
      <c r="SJ2" s="841"/>
      <c r="SK2" s="841"/>
      <c r="SL2" s="841"/>
      <c r="SM2" s="841"/>
      <c r="SN2" s="841"/>
      <c r="SO2" s="841"/>
      <c r="SP2" s="841"/>
      <c r="SQ2" s="841"/>
      <c r="SR2" s="841"/>
      <c r="SS2" s="841"/>
      <c r="ST2" s="841"/>
      <c r="SU2" s="841"/>
      <c r="SV2" s="841"/>
      <c r="SW2" s="841"/>
      <c r="SX2" s="841"/>
      <c r="SY2" s="841"/>
      <c r="SZ2" s="841"/>
      <c r="TA2" s="841"/>
      <c r="TB2" s="841"/>
      <c r="TC2" s="841"/>
      <c r="TD2" s="841"/>
      <c r="TE2" s="841"/>
      <c r="TF2" s="841"/>
      <c r="TG2" s="841"/>
      <c r="TH2" s="841"/>
      <c r="TI2" s="841"/>
      <c r="TJ2" s="841"/>
      <c r="TK2" s="841"/>
      <c r="TL2" s="841"/>
      <c r="TM2" s="841"/>
      <c r="TN2" s="841"/>
      <c r="TO2" s="841"/>
      <c r="TP2" s="841"/>
      <c r="TQ2" s="841"/>
      <c r="TR2" s="841"/>
      <c r="TS2" s="841"/>
      <c r="TT2" s="841"/>
      <c r="TU2" s="841"/>
      <c r="TV2" s="841"/>
      <c r="TW2" s="841"/>
      <c r="TX2" s="841"/>
      <c r="TY2" s="841"/>
      <c r="TZ2" s="841"/>
      <c r="UA2" s="841"/>
      <c r="UB2" s="841"/>
      <c r="UC2" s="841"/>
      <c r="UD2" s="841"/>
      <c r="UE2" s="841"/>
      <c r="UF2" s="841"/>
      <c r="UG2" s="841"/>
      <c r="UH2" s="841"/>
      <c r="UI2" s="841"/>
      <c r="UJ2" s="841"/>
      <c r="UK2" s="841"/>
      <c r="UL2" s="841"/>
      <c r="UM2" s="841"/>
      <c r="UN2" s="841"/>
      <c r="UO2" s="841"/>
      <c r="UP2" s="841"/>
      <c r="UQ2" s="841"/>
      <c r="UR2" s="841"/>
      <c r="US2" s="841"/>
      <c r="UT2" s="841"/>
      <c r="UU2" s="841"/>
      <c r="UV2" s="841"/>
      <c r="UW2" s="841"/>
      <c r="UX2" s="841"/>
      <c r="UY2" s="841"/>
      <c r="UZ2" s="841"/>
      <c r="VA2" s="841"/>
      <c r="VB2" s="841"/>
      <c r="VC2" s="841"/>
      <c r="VD2" s="841"/>
      <c r="VE2" s="841"/>
      <c r="VF2" s="841"/>
      <c r="VG2" s="841"/>
      <c r="VH2" s="841"/>
      <c r="VI2" s="841"/>
      <c r="VJ2" s="841"/>
      <c r="VK2" s="841"/>
      <c r="VL2" s="841"/>
      <c r="VM2" s="841"/>
      <c r="VN2" s="841"/>
      <c r="VO2" s="841"/>
      <c r="VP2" s="841"/>
      <c r="VQ2" s="841"/>
      <c r="VR2" s="841"/>
      <c r="VS2" s="841"/>
      <c r="VT2" s="841"/>
      <c r="VU2" s="841"/>
      <c r="VV2" s="841"/>
      <c r="VW2" s="841"/>
      <c r="VX2" s="841"/>
      <c r="VY2" s="841"/>
      <c r="VZ2" s="841"/>
      <c r="WA2" s="841"/>
      <c r="WB2" s="841"/>
      <c r="WC2" s="841"/>
      <c r="WD2" s="841"/>
      <c r="WE2" s="841"/>
      <c r="WF2" s="841"/>
      <c r="WG2" s="841"/>
      <c r="WH2" s="841"/>
      <c r="WI2" s="841"/>
      <c r="WJ2" s="841"/>
      <c r="WK2" s="841"/>
      <c r="WL2" s="841"/>
      <c r="WM2" s="841"/>
      <c r="WN2" s="841"/>
      <c r="WO2" s="841"/>
      <c r="WP2" s="841"/>
      <c r="WQ2" s="841"/>
      <c r="WR2" s="841"/>
      <c r="WS2" s="841"/>
      <c r="WT2" s="841"/>
      <c r="WU2" s="841"/>
      <c r="WV2" s="841"/>
      <c r="WW2" s="841"/>
      <c r="WX2" s="841"/>
      <c r="WY2" s="841"/>
      <c r="WZ2" s="841"/>
      <c r="XA2" s="841"/>
      <c r="XB2" s="841"/>
      <c r="XC2" s="841"/>
      <c r="XD2" s="841"/>
      <c r="XE2" s="841"/>
      <c r="XF2" s="841"/>
      <c r="XG2" s="841"/>
      <c r="XH2" s="841"/>
      <c r="XI2" s="841"/>
      <c r="XJ2" s="841"/>
      <c r="XK2" s="841"/>
      <c r="XL2" s="841"/>
      <c r="XM2" s="841"/>
      <c r="XN2" s="841"/>
      <c r="XO2" s="841"/>
      <c r="XP2" s="841"/>
      <c r="XQ2" s="841"/>
      <c r="XR2" s="841"/>
      <c r="XS2" s="841"/>
      <c r="XT2" s="841"/>
      <c r="XU2" s="841"/>
      <c r="XV2" s="841"/>
      <c r="XW2" s="841"/>
      <c r="XX2" s="841"/>
      <c r="XY2" s="841"/>
      <c r="XZ2" s="841"/>
      <c r="YA2" s="841"/>
      <c r="YB2" s="841"/>
      <c r="YC2" s="841"/>
      <c r="YD2" s="841"/>
      <c r="YE2" s="841"/>
      <c r="YF2" s="841"/>
      <c r="YG2" s="841"/>
      <c r="YH2" s="841"/>
      <c r="YI2" s="841"/>
      <c r="YJ2" s="841"/>
      <c r="YK2" s="841"/>
      <c r="YL2" s="841"/>
      <c r="YM2" s="841"/>
      <c r="YN2" s="841"/>
      <c r="YO2" s="841"/>
      <c r="YP2" s="841"/>
      <c r="YQ2" s="841"/>
      <c r="YR2" s="841"/>
      <c r="YS2" s="841"/>
      <c r="YT2" s="841"/>
      <c r="YU2" s="841"/>
      <c r="YV2" s="841"/>
      <c r="YW2" s="841"/>
      <c r="YX2" s="841"/>
      <c r="YY2" s="841"/>
      <c r="YZ2" s="841"/>
      <c r="ZA2" s="841"/>
      <c r="ZB2" s="841"/>
      <c r="ZC2" s="841"/>
      <c r="ZD2" s="841"/>
      <c r="ZE2" s="841"/>
      <c r="ZF2" s="841"/>
      <c r="ZG2" s="841"/>
      <c r="ZH2" s="841"/>
      <c r="ZI2" s="841"/>
      <c r="ZJ2" s="841"/>
      <c r="ZK2" s="841"/>
      <c r="ZL2" s="841"/>
      <c r="ZM2" s="841"/>
      <c r="ZN2" s="841"/>
      <c r="ZO2" s="841"/>
      <c r="ZP2" s="841"/>
      <c r="ZQ2" s="841"/>
      <c r="ZR2" s="841"/>
      <c r="ZS2" s="841"/>
      <c r="ZT2" s="841"/>
      <c r="ZU2" s="841"/>
      <c r="ZV2" s="841"/>
      <c r="ZW2" s="841"/>
      <c r="ZX2" s="841"/>
      <c r="ZY2" s="841"/>
      <c r="ZZ2" s="841"/>
      <c r="AAA2" s="841"/>
      <c r="AAB2" s="841"/>
      <c r="AAC2" s="841"/>
      <c r="AAD2" s="841"/>
      <c r="AAE2" s="841"/>
      <c r="AAF2" s="841"/>
      <c r="AAG2" s="841"/>
      <c r="AAH2" s="841"/>
      <c r="AAI2" s="841"/>
      <c r="AAJ2" s="841"/>
      <c r="AAK2" s="841"/>
      <c r="AAL2" s="841"/>
      <c r="AAM2" s="841"/>
      <c r="AAN2" s="841"/>
      <c r="AAO2" s="841"/>
      <c r="AAP2" s="841"/>
      <c r="AAQ2" s="841"/>
      <c r="AAR2" s="841"/>
      <c r="AAS2" s="841"/>
      <c r="AAT2" s="841"/>
      <c r="AAU2" s="841"/>
      <c r="AAV2" s="841"/>
      <c r="AAW2" s="841"/>
      <c r="AAX2" s="841"/>
      <c r="AAY2" s="841"/>
      <c r="AAZ2" s="841"/>
      <c r="ABA2" s="841"/>
      <c r="ABB2" s="841"/>
      <c r="ABC2" s="841"/>
      <c r="ABD2" s="841"/>
      <c r="ABE2" s="841"/>
      <c r="ABF2" s="841"/>
      <c r="ABG2" s="841"/>
      <c r="ABH2" s="841"/>
      <c r="ABI2" s="841"/>
      <c r="ABJ2" s="841"/>
      <c r="ABK2" s="841"/>
      <c r="ABL2" s="841"/>
      <c r="ABM2" s="841"/>
      <c r="ABN2" s="841"/>
      <c r="ABO2" s="841"/>
      <c r="ABP2" s="841"/>
      <c r="ABQ2" s="841"/>
      <c r="ABR2" s="841"/>
      <c r="ABS2" s="841"/>
      <c r="ABT2" s="841"/>
      <c r="ABU2" s="841"/>
      <c r="ABV2" s="841"/>
      <c r="ABW2" s="841"/>
      <c r="ABX2" s="841"/>
      <c r="ABY2" s="841"/>
      <c r="ABZ2" s="841"/>
      <c r="ACA2" s="841"/>
      <c r="ACB2" s="841"/>
      <c r="ACC2" s="841"/>
      <c r="ACD2" s="841"/>
      <c r="ACE2" s="841"/>
      <c r="ACF2" s="841"/>
      <c r="ACG2" s="841"/>
      <c r="ACH2" s="841"/>
      <c r="ACI2" s="841"/>
      <c r="ACJ2" s="841"/>
      <c r="ACK2" s="841"/>
      <c r="ACL2" s="841"/>
      <c r="ACM2" s="841"/>
      <c r="ACN2" s="841"/>
      <c r="ACO2" s="841"/>
      <c r="ACP2" s="841"/>
      <c r="ACQ2" s="841"/>
      <c r="ACR2" s="841"/>
      <c r="ACS2" s="841"/>
      <c r="ACT2" s="841"/>
      <c r="ACU2" s="841"/>
      <c r="ACV2" s="841"/>
      <c r="ACW2" s="841"/>
      <c r="ACX2" s="841"/>
      <c r="ACY2" s="841"/>
      <c r="ACZ2" s="841"/>
      <c r="ADA2" s="841"/>
      <c r="ADB2" s="841"/>
      <c r="ADC2" s="841"/>
      <c r="ADD2" s="841"/>
      <c r="ADE2" s="841"/>
      <c r="ADF2" s="841"/>
      <c r="ADG2" s="841"/>
      <c r="ADH2" s="841"/>
      <c r="ADI2" s="841"/>
      <c r="ADJ2" s="841"/>
      <c r="ADK2" s="841"/>
      <c r="ADL2" s="841"/>
      <c r="ADM2" s="841"/>
      <c r="ADN2" s="841"/>
      <c r="ADO2" s="841"/>
      <c r="ADP2" s="841"/>
      <c r="ADQ2" s="841"/>
      <c r="ADR2" s="841"/>
      <c r="ADS2" s="841"/>
      <c r="ADT2" s="841"/>
      <c r="ADU2" s="841"/>
      <c r="ADV2" s="841"/>
      <c r="ADW2" s="841"/>
      <c r="ADX2" s="841"/>
      <c r="ADY2" s="841"/>
      <c r="ADZ2" s="841"/>
      <c r="AEA2" s="841"/>
      <c r="AEB2" s="841"/>
      <c r="AEC2" s="841"/>
      <c r="AED2" s="841"/>
      <c r="AEE2" s="841"/>
      <c r="AEF2" s="841"/>
      <c r="AEG2" s="841"/>
      <c r="AEH2" s="841"/>
      <c r="AEI2" s="841"/>
      <c r="AEJ2" s="841"/>
      <c r="AEK2" s="841"/>
      <c r="AEL2" s="841"/>
      <c r="AEM2" s="841"/>
      <c r="AEN2" s="841"/>
      <c r="AEO2" s="841"/>
      <c r="AEP2" s="841"/>
      <c r="AEQ2" s="841"/>
      <c r="AER2" s="841"/>
      <c r="AES2" s="841"/>
      <c r="AET2" s="841"/>
      <c r="AEU2" s="841"/>
      <c r="AEV2" s="841"/>
      <c r="AEW2" s="841"/>
      <c r="AEX2" s="841"/>
      <c r="AEY2" s="841"/>
      <c r="AEZ2" s="841"/>
      <c r="AFA2" s="841"/>
      <c r="AFB2" s="841"/>
      <c r="AFC2" s="841"/>
      <c r="AFD2" s="841"/>
      <c r="AFE2" s="841"/>
      <c r="AFF2" s="841"/>
      <c r="AFG2" s="841"/>
      <c r="AFH2" s="841"/>
      <c r="AFI2" s="841"/>
      <c r="AFJ2" s="841"/>
      <c r="AFK2" s="841"/>
      <c r="AFL2" s="841"/>
      <c r="AFM2" s="841"/>
      <c r="AFN2" s="841"/>
      <c r="AFO2" s="841"/>
      <c r="AFP2" s="841"/>
      <c r="AFQ2" s="841"/>
      <c r="AFR2" s="841"/>
      <c r="AFS2" s="841"/>
      <c r="AFT2" s="841"/>
      <c r="AFU2" s="841"/>
      <c r="AFV2" s="841"/>
      <c r="AFW2" s="841"/>
      <c r="AFX2" s="841"/>
      <c r="AFY2" s="841"/>
      <c r="AFZ2" s="841"/>
      <c r="AGA2" s="841"/>
      <c r="AGB2" s="841"/>
      <c r="AGC2" s="841"/>
      <c r="AGD2" s="841"/>
      <c r="AGE2" s="841"/>
      <c r="AGF2" s="841"/>
      <c r="AGG2" s="841"/>
      <c r="AGH2" s="841"/>
      <c r="AGI2" s="841"/>
      <c r="AGJ2" s="841"/>
      <c r="AGK2" s="841"/>
      <c r="AGL2" s="841"/>
      <c r="AGM2" s="841"/>
      <c r="AGN2" s="841"/>
      <c r="AGO2" s="841"/>
      <c r="AGP2" s="841"/>
      <c r="AGQ2" s="841"/>
      <c r="AGR2" s="841"/>
      <c r="AGS2" s="841"/>
      <c r="AGT2" s="841"/>
      <c r="AGU2" s="841"/>
      <c r="AGV2" s="841"/>
      <c r="AGW2" s="841"/>
      <c r="AGX2" s="841"/>
      <c r="AGY2" s="841"/>
      <c r="AGZ2" s="841"/>
      <c r="AHA2" s="841"/>
      <c r="AHB2" s="841"/>
      <c r="AHC2" s="841"/>
      <c r="AHD2" s="841"/>
      <c r="AHE2" s="841"/>
      <c r="AHF2" s="841"/>
      <c r="AHG2" s="841"/>
      <c r="AHH2" s="841"/>
      <c r="AHI2" s="841"/>
      <c r="AHJ2" s="841"/>
      <c r="AHK2" s="841"/>
      <c r="AHL2" s="841"/>
      <c r="AHM2" s="841"/>
      <c r="AHN2" s="841"/>
      <c r="AHO2" s="841"/>
      <c r="AHP2" s="841"/>
      <c r="AHQ2" s="841"/>
      <c r="AHR2" s="841"/>
      <c r="AHS2" s="841"/>
      <c r="AHT2" s="841"/>
      <c r="AHU2" s="841"/>
      <c r="AHV2" s="841"/>
      <c r="AHW2" s="841"/>
      <c r="AHX2" s="841"/>
      <c r="AHY2" s="841"/>
      <c r="AHZ2" s="841"/>
      <c r="AIA2" s="841"/>
      <c r="AIB2" s="841"/>
      <c r="AIC2" s="841"/>
      <c r="AID2" s="841"/>
      <c r="AIE2" s="841"/>
      <c r="AIF2" s="841"/>
      <c r="AIG2" s="841"/>
      <c r="AIH2" s="841"/>
      <c r="AII2" s="841"/>
      <c r="AIJ2" s="841"/>
      <c r="AIK2" s="841"/>
      <c r="AIL2" s="841"/>
      <c r="AIM2" s="841"/>
      <c r="AIN2" s="841"/>
      <c r="AIO2" s="841"/>
      <c r="AIP2" s="841"/>
      <c r="AIQ2" s="841"/>
      <c r="AIR2" s="841"/>
      <c r="AIS2" s="841"/>
      <c r="AIT2" s="841"/>
      <c r="AIU2" s="841"/>
      <c r="AIV2" s="841"/>
      <c r="AIW2" s="841"/>
      <c r="AIX2" s="841"/>
      <c r="AIY2" s="841"/>
      <c r="AIZ2" s="841"/>
      <c r="AJA2" s="841"/>
      <c r="AJB2" s="841"/>
      <c r="AJC2" s="841"/>
      <c r="AJD2" s="841"/>
      <c r="AJE2" s="841"/>
      <c r="AJF2" s="841"/>
      <c r="AJG2" s="841"/>
      <c r="AJH2" s="841"/>
      <c r="AJI2" s="841"/>
      <c r="AJJ2" s="841"/>
      <c r="AJK2" s="841"/>
      <c r="AJL2" s="841"/>
      <c r="AJM2" s="841"/>
      <c r="AJN2" s="841"/>
      <c r="AJO2" s="841"/>
      <c r="AJP2" s="841"/>
      <c r="AJQ2" s="841"/>
      <c r="AJR2" s="841"/>
      <c r="AJS2" s="841"/>
      <c r="AJT2" s="841"/>
      <c r="AJU2" s="841"/>
      <c r="AJV2" s="841"/>
      <c r="AJW2" s="841"/>
      <c r="AJX2" s="841"/>
      <c r="AJY2" s="841"/>
      <c r="AJZ2" s="841"/>
      <c r="AKA2" s="841"/>
      <c r="AKB2" s="841"/>
      <c r="AKC2" s="841"/>
      <c r="AKD2" s="841"/>
      <c r="AKE2" s="841"/>
      <c r="AKF2" s="841"/>
      <c r="AKG2" s="841"/>
      <c r="AKH2" s="841"/>
      <c r="AKI2" s="841"/>
      <c r="AKJ2" s="841"/>
      <c r="AKK2" s="841"/>
      <c r="AKL2" s="841"/>
      <c r="AKM2" s="841"/>
      <c r="AKN2" s="841"/>
      <c r="AKO2" s="841"/>
      <c r="AKP2" s="841"/>
      <c r="AKQ2" s="841"/>
      <c r="AKR2" s="841"/>
      <c r="AKS2" s="841"/>
      <c r="AKT2" s="841"/>
      <c r="AKU2" s="841"/>
      <c r="AKV2" s="841"/>
      <c r="AKW2" s="841"/>
      <c r="AKX2" s="841"/>
      <c r="AKY2" s="841"/>
      <c r="AKZ2" s="841"/>
      <c r="ALA2" s="841"/>
      <c r="ALB2" s="841"/>
      <c r="ALC2" s="841"/>
      <c r="ALD2" s="841"/>
      <c r="ALE2" s="841"/>
      <c r="ALF2" s="841"/>
      <c r="ALG2" s="841"/>
      <c r="ALH2" s="841"/>
      <c r="ALI2" s="841"/>
      <c r="ALJ2" s="841"/>
      <c r="ALK2" s="841"/>
      <c r="ALL2" s="841"/>
      <c r="ALM2" s="841"/>
      <c r="ALN2" s="841"/>
      <c r="ALO2" s="841"/>
      <c r="ALP2" s="841"/>
      <c r="ALQ2" s="841"/>
      <c r="ALR2" s="841"/>
      <c r="ALS2" s="841"/>
      <c r="ALT2" s="841"/>
      <c r="ALU2" s="841"/>
      <c r="ALV2" s="841"/>
      <c r="ALW2" s="841"/>
      <c r="ALX2" s="841"/>
      <c r="ALY2" s="841"/>
      <c r="ALZ2" s="841"/>
      <c r="AMA2" s="841"/>
      <c r="AMB2" s="841"/>
      <c r="AMC2" s="841"/>
      <c r="AMD2" s="841"/>
      <c r="AME2" s="841"/>
      <c r="AMF2" s="841"/>
      <c r="AMG2" s="841"/>
      <c r="AMH2" s="841"/>
      <c r="AMI2" s="841"/>
      <c r="AMJ2" s="841"/>
      <c r="AMK2" s="841"/>
      <c r="AML2" s="841"/>
      <c r="AMM2" s="841"/>
      <c r="AMN2" s="841"/>
      <c r="AMO2" s="841"/>
      <c r="AMP2" s="841"/>
      <c r="AMQ2" s="841"/>
      <c r="AMR2" s="841"/>
      <c r="AMS2" s="841"/>
      <c r="AMT2" s="841"/>
      <c r="AMU2" s="841"/>
      <c r="AMV2" s="841"/>
      <c r="AMW2" s="841"/>
      <c r="AMX2" s="841"/>
      <c r="AMY2" s="841"/>
      <c r="AMZ2" s="841"/>
      <c r="ANA2" s="841"/>
      <c r="ANB2" s="841"/>
      <c r="ANC2" s="841"/>
      <c r="AND2" s="841"/>
      <c r="ANE2" s="841"/>
      <c r="ANF2" s="841"/>
      <c r="ANG2" s="841"/>
      <c r="ANH2" s="841"/>
      <c r="ANI2" s="841"/>
      <c r="ANJ2" s="841"/>
      <c r="ANK2" s="841"/>
      <c r="ANL2" s="841"/>
      <c r="ANM2" s="841"/>
      <c r="ANN2" s="841"/>
      <c r="ANO2" s="841"/>
      <c r="ANP2" s="841"/>
      <c r="ANQ2" s="841"/>
      <c r="ANR2" s="841"/>
      <c r="ANS2" s="841"/>
      <c r="ANT2" s="841"/>
      <c r="ANU2" s="841"/>
      <c r="ANV2" s="841"/>
      <c r="ANW2" s="841"/>
      <c r="ANX2" s="841"/>
      <c r="ANY2" s="841"/>
      <c r="ANZ2" s="841"/>
      <c r="AOA2" s="841"/>
      <c r="AOB2" s="841"/>
      <c r="AOC2" s="841"/>
      <c r="AOD2" s="841"/>
      <c r="AOE2" s="841"/>
      <c r="AOF2" s="841"/>
      <c r="AOG2" s="841"/>
      <c r="AOH2" s="841"/>
      <c r="AOI2" s="841"/>
      <c r="AOJ2" s="841"/>
      <c r="AOK2" s="841"/>
      <c r="AOL2" s="841"/>
      <c r="AOM2" s="841"/>
      <c r="AON2" s="841"/>
      <c r="AOO2" s="841"/>
      <c r="AOP2" s="841"/>
      <c r="AOQ2" s="841"/>
      <c r="AOR2" s="841"/>
      <c r="AOS2" s="841"/>
      <c r="AOT2" s="841"/>
      <c r="AOU2" s="841"/>
      <c r="AOV2" s="841"/>
      <c r="AOW2" s="841"/>
      <c r="AOX2" s="841"/>
      <c r="AOY2" s="841"/>
      <c r="AOZ2" s="841"/>
      <c r="APA2" s="841"/>
      <c r="APB2" s="841"/>
      <c r="APC2" s="841"/>
      <c r="APD2" s="841"/>
      <c r="APE2" s="841"/>
      <c r="APF2" s="841"/>
      <c r="APG2" s="841"/>
      <c r="APH2" s="841"/>
      <c r="API2" s="841"/>
      <c r="APJ2" s="841"/>
      <c r="APK2" s="841"/>
      <c r="APL2" s="841"/>
      <c r="APM2" s="841"/>
      <c r="APN2" s="841"/>
      <c r="APO2" s="841"/>
      <c r="APP2" s="841"/>
      <c r="APQ2" s="841"/>
      <c r="APR2" s="841"/>
      <c r="APS2" s="841"/>
      <c r="APT2" s="841"/>
      <c r="APU2" s="841"/>
      <c r="APV2" s="841"/>
      <c r="APW2" s="841"/>
      <c r="APX2" s="841"/>
      <c r="APY2" s="841"/>
      <c r="APZ2" s="841"/>
      <c r="AQA2" s="841"/>
      <c r="AQB2" s="841"/>
      <c r="AQC2" s="841"/>
      <c r="AQD2" s="841"/>
      <c r="AQE2" s="841"/>
      <c r="AQF2" s="841"/>
      <c r="AQG2" s="841"/>
      <c r="AQH2" s="841"/>
      <c r="AQI2" s="841"/>
      <c r="AQJ2" s="841"/>
      <c r="AQK2" s="841"/>
      <c r="AQL2" s="841"/>
      <c r="AQM2" s="841"/>
      <c r="AQN2" s="841"/>
      <c r="AQO2" s="841"/>
      <c r="AQP2" s="841"/>
      <c r="AQQ2" s="841"/>
      <c r="AQR2" s="841"/>
      <c r="AQS2" s="841"/>
      <c r="AQT2" s="841"/>
      <c r="AQU2" s="841"/>
      <c r="AQV2" s="841"/>
      <c r="AQW2" s="841"/>
      <c r="AQX2" s="841"/>
      <c r="AQY2" s="841"/>
      <c r="AQZ2" s="841"/>
      <c r="ARA2" s="841"/>
      <c r="ARB2" s="841"/>
      <c r="ARC2" s="841"/>
      <c r="ARD2" s="841"/>
      <c r="ARE2" s="841"/>
      <c r="ARF2" s="841"/>
      <c r="ARG2" s="841"/>
      <c r="ARH2" s="841"/>
      <c r="ARI2" s="841"/>
      <c r="ARJ2" s="841"/>
      <c r="ARK2" s="841"/>
      <c r="ARL2" s="841"/>
      <c r="ARM2" s="841"/>
      <c r="ARN2" s="841"/>
      <c r="ARO2" s="841"/>
      <c r="ARP2" s="841"/>
      <c r="ARQ2" s="841"/>
      <c r="ARR2" s="841"/>
      <c r="ARS2" s="841"/>
      <c r="ART2" s="841"/>
      <c r="ARU2" s="841"/>
      <c r="ARV2" s="841"/>
      <c r="ARW2" s="841"/>
      <c r="ARX2" s="841"/>
      <c r="ARY2" s="841"/>
      <c r="ARZ2" s="841"/>
      <c r="ASA2" s="841"/>
      <c r="ASB2" s="841"/>
      <c r="ASC2" s="841"/>
      <c r="ASD2" s="841"/>
      <c r="ASE2" s="841"/>
      <c r="ASF2" s="841"/>
      <c r="ASG2" s="841"/>
      <c r="ASH2" s="841"/>
      <c r="ASI2" s="841"/>
      <c r="ASJ2" s="841"/>
      <c r="ASK2" s="841"/>
      <c r="ASL2" s="841"/>
      <c r="ASM2" s="841"/>
      <c r="ASN2" s="841"/>
      <c r="ASO2" s="841"/>
      <c r="ASP2" s="841"/>
      <c r="ASQ2" s="841"/>
      <c r="ASR2" s="841"/>
      <c r="ASS2" s="841"/>
      <c r="AST2" s="841"/>
      <c r="ASU2" s="841"/>
      <c r="ASV2" s="841"/>
      <c r="ASW2" s="841"/>
      <c r="ASX2" s="841"/>
      <c r="ASY2" s="841"/>
      <c r="ASZ2" s="841"/>
      <c r="ATA2" s="841"/>
      <c r="ATB2" s="841"/>
      <c r="ATC2" s="841"/>
      <c r="ATD2" s="841"/>
      <c r="ATE2" s="841"/>
      <c r="ATF2" s="841"/>
      <c r="ATG2" s="841"/>
      <c r="ATH2" s="841"/>
      <c r="ATI2" s="841"/>
      <c r="ATJ2" s="841"/>
      <c r="ATK2" s="841"/>
      <c r="ATL2" s="841"/>
      <c r="ATM2" s="841"/>
      <c r="ATN2" s="841"/>
      <c r="ATO2" s="841"/>
      <c r="ATP2" s="841"/>
      <c r="ATQ2" s="841"/>
      <c r="ATR2" s="841"/>
      <c r="ATS2" s="841"/>
      <c r="ATT2" s="841"/>
      <c r="ATU2" s="841"/>
      <c r="ATV2" s="841"/>
      <c r="ATW2" s="841"/>
      <c r="ATX2" s="841"/>
      <c r="ATY2" s="841"/>
      <c r="ATZ2" s="841"/>
      <c r="AUA2" s="841"/>
      <c r="AUB2" s="841"/>
      <c r="AUC2" s="841"/>
      <c r="AUD2" s="841"/>
      <c r="AUE2" s="841"/>
      <c r="AUF2" s="841"/>
      <c r="AUG2" s="841"/>
      <c r="AUH2" s="841"/>
      <c r="AUI2" s="841"/>
      <c r="AUJ2" s="841"/>
      <c r="AUK2" s="841"/>
      <c r="AUL2" s="841"/>
      <c r="AUM2" s="841"/>
      <c r="AUN2" s="841"/>
      <c r="AUO2" s="841"/>
      <c r="AUP2" s="841"/>
      <c r="AUQ2" s="841"/>
      <c r="AUR2" s="841"/>
      <c r="AUS2" s="841"/>
      <c r="AUT2" s="841"/>
      <c r="AUU2" s="841"/>
      <c r="AUV2" s="841"/>
      <c r="AUW2" s="841"/>
      <c r="AUX2" s="841"/>
      <c r="AUY2" s="841"/>
      <c r="AUZ2" s="841"/>
      <c r="AVA2" s="841"/>
      <c r="AVB2" s="841"/>
      <c r="AVC2" s="841"/>
      <c r="AVD2" s="841"/>
      <c r="AVE2" s="841"/>
      <c r="AVF2" s="841"/>
      <c r="AVG2" s="841"/>
      <c r="AVH2" s="841"/>
      <c r="AVI2" s="841"/>
      <c r="AVJ2" s="841"/>
      <c r="AVK2" s="841"/>
      <c r="AVL2" s="841"/>
      <c r="AVM2" s="841"/>
      <c r="AVN2" s="841"/>
      <c r="AVO2" s="841"/>
      <c r="AVP2" s="841"/>
      <c r="AVQ2" s="841"/>
      <c r="AVR2" s="841"/>
      <c r="AVS2" s="841"/>
      <c r="AVT2" s="841"/>
      <c r="AVU2" s="841"/>
      <c r="AVV2" s="841"/>
      <c r="AVW2" s="841"/>
      <c r="AVX2" s="841"/>
      <c r="AVY2" s="841"/>
      <c r="AVZ2" s="841"/>
      <c r="AWA2" s="841"/>
      <c r="AWB2" s="841"/>
      <c r="AWC2" s="841"/>
      <c r="AWD2" s="841"/>
      <c r="AWE2" s="841"/>
      <c r="AWF2" s="841"/>
      <c r="AWG2" s="841"/>
      <c r="AWH2" s="841"/>
      <c r="AWI2" s="841"/>
      <c r="AWJ2" s="841"/>
      <c r="AWK2" s="841"/>
      <c r="AWL2" s="841"/>
      <c r="AWM2" s="841"/>
      <c r="AWN2" s="841"/>
      <c r="AWO2" s="841"/>
      <c r="AWP2" s="841"/>
      <c r="AWQ2" s="841"/>
      <c r="AWR2" s="841"/>
      <c r="AWS2" s="841"/>
      <c r="AWT2" s="841"/>
      <c r="AWU2" s="841"/>
      <c r="AWV2" s="841"/>
      <c r="AWW2" s="841"/>
      <c r="AWX2" s="841"/>
      <c r="AWY2" s="841"/>
      <c r="AWZ2" s="841"/>
      <c r="AXA2" s="841"/>
      <c r="AXB2" s="841"/>
      <c r="AXC2" s="841"/>
      <c r="AXD2" s="841"/>
      <c r="AXE2" s="841"/>
      <c r="AXF2" s="841"/>
      <c r="AXG2" s="841"/>
      <c r="AXH2" s="841"/>
      <c r="AXI2" s="841"/>
      <c r="AXJ2" s="841"/>
      <c r="AXK2" s="841"/>
      <c r="AXL2" s="841"/>
      <c r="AXM2" s="841"/>
      <c r="AXN2" s="841"/>
      <c r="AXO2" s="841"/>
      <c r="AXP2" s="841"/>
      <c r="AXQ2" s="841"/>
      <c r="AXR2" s="841"/>
      <c r="AXS2" s="841"/>
      <c r="AXT2" s="841"/>
      <c r="AXU2" s="841"/>
      <c r="AXV2" s="841"/>
      <c r="AXW2" s="841"/>
      <c r="AXX2" s="841"/>
      <c r="AXY2" s="841"/>
      <c r="AXZ2" s="841"/>
      <c r="AYA2" s="841"/>
      <c r="AYB2" s="841"/>
      <c r="AYC2" s="841"/>
      <c r="AYD2" s="841"/>
      <c r="AYE2" s="841"/>
      <c r="AYF2" s="841"/>
      <c r="AYG2" s="841"/>
      <c r="AYH2" s="841"/>
      <c r="AYI2" s="841"/>
      <c r="AYJ2" s="841"/>
      <c r="AYK2" s="841"/>
      <c r="AYL2" s="841"/>
      <c r="AYM2" s="841"/>
      <c r="AYN2" s="841"/>
      <c r="AYO2" s="841"/>
      <c r="AYP2" s="841"/>
      <c r="AYQ2" s="841"/>
      <c r="AYR2" s="841"/>
      <c r="AYS2" s="841"/>
      <c r="AYT2" s="841"/>
      <c r="AYU2" s="841"/>
      <c r="AYV2" s="841"/>
      <c r="AYW2" s="841"/>
      <c r="AYX2" s="841"/>
      <c r="AYY2" s="841"/>
      <c r="AYZ2" s="841"/>
      <c r="AZA2" s="841"/>
      <c r="AZB2" s="841"/>
      <c r="AZC2" s="841"/>
      <c r="AZD2" s="841"/>
      <c r="AZE2" s="841"/>
      <c r="AZF2" s="841"/>
      <c r="AZG2" s="841"/>
      <c r="AZH2" s="841"/>
      <c r="AZI2" s="841"/>
      <c r="AZJ2" s="841"/>
      <c r="AZK2" s="841"/>
      <c r="AZL2" s="841"/>
      <c r="AZM2" s="841"/>
      <c r="AZN2" s="841"/>
      <c r="AZO2" s="841"/>
      <c r="AZP2" s="841"/>
      <c r="AZQ2" s="841"/>
      <c r="AZR2" s="841"/>
      <c r="AZS2" s="841"/>
      <c r="AZT2" s="841"/>
      <c r="AZU2" s="841"/>
      <c r="AZV2" s="841"/>
      <c r="AZW2" s="841"/>
      <c r="AZX2" s="841"/>
      <c r="AZY2" s="841"/>
      <c r="AZZ2" s="841"/>
      <c r="BAA2" s="841"/>
      <c r="BAB2" s="841"/>
      <c r="BAC2" s="841"/>
      <c r="BAD2" s="841"/>
      <c r="BAE2" s="841"/>
      <c r="BAF2" s="841"/>
      <c r="BAG2" s="841"/>
      <c r="BAH2" s="841"/>
      <c r="BAI2" s="841"/>
      <c r="BAJ2" s="841"/>
      <c r="BAK2" s="841"/>
      <c r="BAL2" s="841"/>
      <c r="BAM2" s="841"/>
      <c r="BAN2" s="841"/>
      <c r="BAO2" s="841"/>
      <c r="BAP2" s="841"/>
      <c r="BAQ2" s="841"/>
      <c r="BAR2" s="841"/>
      <c r="BAS2" s="841"/>
      <c r="BAT2" s="841"/>
      <c r="BAU2" s="841"/>
      <c r="BAV2" s="841"/>
      <c r="BAW2" s="841"/>
      <c r="BAX2" s="841"/>
      <c r="BAY2" s="841"/>
      <c r="BAZ2" s="841"/>
      <c r="BBA2" s="841"/>
      <c r="BBB2" s="841"/>
      <c r="BBC2" s="841"/>
      <c r="BBD2" s="841"/>
      <c r="BBE2" s="841"/>
      <c r="BBF2" s="841"/>
      <c r="BBG2" s="841"/>
      <c r="BBH2" s="841"/>
      <c r="BBI2" s="841"/>
      <c r="BBJ2" s="841"/>
      <c r="BBK2" s="841"/>
      <c r="BBL2" s="841"/>
      <c r="BBM2" s="841"/>
      <c r="BBN2" s="841"/>
      <c r="BBO2" s="841"/>
      <c r="BBP2" s="841"/>
      <c r="BBQ2" s="841"/>
      <c r="BBR2" s="841"/>
      <c r="BBS2" s="841"/>
      <c r="BBT2" s="841"/>
      <c r="BBU2" s="841"/>
      <c r="BBV2" s="841"/>
      <c r="BBW2" s="841"/>
      <c r="BBX2" s="841"/>
      <c r="BBY2" s="841"/>
      <c r="BBZ2" s="841"/>
      <c r="BCA2" s="841"/>
      <c r="BCB2" s="841"/>
      <c r="BCC2" s="841"/>
      <c r="BCD2" s="841"/>
      <c r="BCE2" s="841"/>
      <c r="BCF2" s="841"/>
      <c r="BCG2" s="841"/>
      <c r="BCH2" s="841"/>
      <c r="BCI2" s="841"/>
      <c r="BCJ2" s="841"/>
      <c r="BCK2" s="841"/>
      <c r="BCL2" s="841"/>
      <c r="BCM2" s="841"/>
      <c r="BCN2" s="841"/>
      <c r="BCO2" s="841"/>
      <c r="BCP2" s="841"/>
      <c r="BCQ2" s="841"/>
      <c r="BCR2" s="841"/>
      <c r="BCS2" s="841"/>
      <c r="BCT2" s="841"/>
      <c r="BCU2" s="841"/>
      <c r="BCV2" s="841"/>
      <c r="BCW2" s="841"/>
      <c r="BCX2" s="841"/>
      <c r="BCY2" s="841"/>
      <c r="BCZ2" s="841"/>
      <c r="BDA2" s="841"/>
      <c r="BDB2" s="841"/>
      <c r="BDC2" s="841"/>
      <c r="BDD2" s="841"/>
      <c r="BDE2" s="841"/>
      <c r="BDF2" s="841"/>
      <c r="BDG2" s="841"/>
      <c r="BDH2" s="841"/>
      <c r="BDI2" s="841"/>
      <c r="BDJ2" s="841"/>
      <c r="BDK2" s="841"/>
      <c r="BDL2" s="841"/>
      <c r="BDM2" s="841"/>
      <c r="BDN2" s="841"/>
      <c r="BDO2" s="841"/>
      <c r="BDP2" s="841"/>
      <c r="BDQ2" s="841"/>
      <c r="BDR2" s="841"/>
      <c r="BDS2" s="841"/>
      <c r="BDT2" s="841"/>
      <c r="BDU2" s="841"/>
      <c r="BDV2" s="841"/>
      <c r="BDW2" s="841"/>
      <c r="BDX2" s="841"/>
      <c r="BDY2" s="841"/>
      <c r="BDZ2" s="841"/>
      <c r="BEA2" s="841"/>
      <c r="BEB2" s="841"/>
      <c r="BEC2" s="841"/>
      <c r="BED2" s="841"/>
      <c r="BEE2" s="841"/>
      <c r="BEF2" s="841"/>
      <c r="BEG2" s="841"/>
      <c r="BEH2" s="841"/>
      <c r="BEI2" s="841"/>
      <c r="BEJ2" s="841"/>
      <c r="BEK2" s="841"/>
      <c r="BEL2" s="841"/>
      <c r="BEM2" s="841"/>
      <c r="BEN2" s="841"/>
      <c r="BEO2" s="841"/>
      <c r="BEP2" s="841"/>
      <c r="BEQ2" s="841"/>
      <c r="BER2" s="841"/>
      <c r="BES2" s="841"/>
      <c r="BET2" s="841"/>
      <c r="BEU2" s="841"/>
      <c r="BEV2" s="841"/>
      <c r="BEW2" s="841"/>
      <c r="BEX2" s="841"/>
      <c r="BEY2" s="841"/>
      <c r="BEZ2" s="841"/>
      <c r="BFA2" s="841"/>
      <c r="BFB2" s="841"/>
      <c r="BFC2" s="841"/>
      <c r="BFD2" s="841"/>
      <c r="BFE2" s="841"/>
      <c r="BFF2" s="841"/>
      <c r="BFG2" s="841"/>
      <c r="BFH2" s="841"/>
      <c r="BFI2" s="841"/>
      <c r="BFJ2" s="841"/>
      <c r="BFK2" s="841"/>
      <c r="BFL2" s="841"/>
      <c r="BFM2" s="841"/>
      <c r="BFN2" s="841"/>
      <c r="BFO2" s="841"/>
      <c r="BFP2" s="841"/>
      <c r="BFQ2" s="841"/>
      <c r="BFR2" s="841"/>
      <c r="BFS2" s="841"/>
      <c r="BFT2" s="841"/>
      <c r="BFU2" s="841"/>
      <c r="BFV2" s="841"/>
      <c r="BFW2" s="841"/>
      <c r="BFX2" s="841"/>
      <c r="BFY2" s="841"/>
      <c r="BFZ2" s="841"/>
      <c r="BGA2" s="841"/>
      <c r="BGB2" s="841"/>
      <c r="BGC2" s="841"/>
      <c r="BGD2" s="841"/>
      <c r="BGE2" s="841"/>
      <c r="BGF2" s="841"/>
      <c r="BGG2" s="841"/>
      <c r="BGH2" s="841"/>
      <c r="BGI2" s="841"/>
      <c r="BGJ2" s="841"/>
      <c r="BGK2" s="841"/>
      <c r="BGL2" s="841"/>
      <c r="BGM2" s="841"/>
      <c r="BGN2" s="841"/>
      <c r="BGO2" s="841"/>
      <c r="BGP2" s="841"/>
      <c r="BGQ2" s="841"/>
      <c r="BGR2" s="841"/>
      <c r="BGS2" s="841"/>
      <c r="BGT2" s="841"/>
      <c r="BGU2" s="841"/>
      <c r="BGV2" s="841"/>
      <c r="BGW2" s="841"/>
      <c r="BGX2" s="841"/>
      <c r="BGY2" s="841"/>
      <c r="BGZ2" s="841"/>
      <c r="BHA2" s="841"/>
      <c r="BHB2" s="841"/>
      <c r="BHC2" s="841"/>
      <c r="BHD2" s="841"/>
      <c r="BHE2" s="841"/>
      <c r="BHF2" s="841"/>
      <c r="BHG2" s="841"/>
      <c r="BHH2" s="841"/>
      <c r="BHI2" s="841"/>
      <c r="BHJ2" s="841"/>
      <c r="BHK2" s="841"/>
      <c r="BHL2" s="841"/>
      <c r="BHM2" s="841"/>
      <c r="BHN2" s="841"/>
      <c r="BHO2" s="841"/>
      <c r="BHP2" s="841"/>
      <c r="BHQ2" s="841"/>
      <c r="BHR2" s="841"/>
      <c r="BHS2" s="841"/>
      <c r="BHT2" s="841"/>
      <c r="BHU2" s="841"/>
      <c r="BHV2" s="841"/>
      <c r="BHW2" s="841"/>
      <c r="BHX2" s="841"/>
      <c r="BHY2" s="841"/>
      <c r="BHZ2" s="841"/>
      <c r="BIA2" s="841"/>
      <c r="BIB2" s="841"/>
      <c r="BIC2" s="841"/>
      <c r="BID2" s="841"/>
      <c r="BIE2" s="841"/>
      <c r="BIF2" s="841"/>
      <c r="BIG2" s="841"/>
      <c r="BIH2" s="841"/>
      <c r="BII2" s="841"/>
      <c r="BIJ2" s="841"/>
      <c r="BIK2" s="841"/>
      <c r="BIL2" s="841"/>
      <c r="BIM2" s="841"/>
      <c r="BIN2" s="841"/>
      <c r="BIO2" s="841"/>
      <c r="BIP2" s="841"/>
      <c r="BIQ2" s="841"/>
      <c r="BIR2" s="841"/>
      <c r="BIS2" s="841"/>
      <c r="BIT2" s="841"/>
      <c r="BIU2" s="841"/>
      <c r="BIV2" s="841"/>
      <c r="BIW2" s="841"/>
      <c r="BIX2" s="841"/>
      <c r="BIY2" s="841"/>
      <c r="BIZ2" s="841"/>
      <c r="BJA2" s="841"/>
      <c r="BJB2" s="841"/>
      <c r="BJC2" s="841"/>
      <c r="BJD2" s="841"/>
      <c r="BJE2" s="841"/>
      <c r="BJF2" s="841"/>
      <c r="BJG2" s="841"/>
      <c r="BJH2" s="841"/>
      <c r="BJI2" s="841"/>
      <c r="BJJ2" s="841"/>
      <c r="BJK2" s="841"/>
      <c r="BJL2" s="841"/>
      <c r="BJM2" s="841"/>
      <c r="BJN2" s="841"/>
      <c r="BJO2" s="841"/>
      <c r="BJP2" s="841"/>
      <c r="BJQ2" s="841"/>
      <c r="BJR2" s="841"/>
      <c r="BJS2" s="841"/>
      <c r="BJT2" s="841"/>
      <c r="BJU2" s="841"/>
      <c r="BJV2" s="841"/>
      <c r="BJW2" s="841"/>
      <c r="BJX2" s="841"/>
      <c r="BJY2" s="841"/>
      <c r="BJZ2" s="841"/>
      <c r="BKA2" s="841"/>
      <c r="BKB2" s="841"/>
      <c r="BKC2" s="841"/>
      <c r="BKD2" s="841"/>
      <c r="BKE2" s="841"/>
      <c r="BKF2" s="841"/>
      <c r="BKG2" s="841"/>
      <c r="BKH2" s="841"/>
      <c r="BKI2" s="841"/>
      <c r="BKJ2" s="841"/>
      <c r="BKK2" s="841"/>
      <c r="BKL2" s="841"/>
      <c r="BKM2" s="841"/>
      <c r="BKN2" s="841"/>
      <c r="BKO2" s="841"/>
      <c r="BKP2" s="841"/>
      <c r="BKQ2" s="841"/>
      <c r="BKR2" s="841"/>
      <c r="BKS2" s="841"/>
      <c r="BKT2" s="841"/>
      <c r="BKU2" s="841"/>
      <c r="BKV2" s="841"/>
      <c r="BKW2" s="841"/>
      <c r="BKX2" s="841"/>
      <c r="BKY2" s="841"/>
      <c r="BKZ2" s="841"/>
      <c r="BLA2" s="841"/>
      <c r="BLB2" s="841"/>
      <c r="BLC2" s="841"/>
      <c r="BLD2" s="841"/>
      <c r="BLE2" s="841"/>
      <c r="BLF2" s="841"/>
      <c r="BLG2" s="841"/>
      <c r="BLH2" s="841"/>
      <c r="BLI2" s="841"/>
      <c r="BLJ2" s="841"/>
      <c r="BLK2" s="841"/>
      <c r="BLL2" s="841"/>
      <c r="BLM2" s="841"/>
      <c r="BLN2" s="841"/>
      <c r="BLO2" s="841"/>
      <c r="BLP2" s="841"/>
      <c r="BLQ2" s="841"/>
      <c r="BLR2" s="841"/>
      <c r="BLS2" s="841"/>
      <c r="BLT2" s="841"/>
      <c r="BLU2" s="841"/>
      <c r="BLV2" s="841"/>
      <c r="BLW2" s="841"/>
      <c r="BLX2" s="841"/>
      <c r="BLY2" s="841"/>
      <c r="BLZ2" s="841"/>
      <c r="BMA2" s="841"/>
      <c r="BMB2" s="841"/>
      <c r="BMC2" s="841"/>
      <c r="BMD2" s="841"/>
      <c r="BME2" s="841"/>
      <c r="BMF2" s="841"/>
      <c r="BMG2" s="841"/>
      <c r="BMH2" s="841"/>
      <c r="BMI2" s="841"/>
      <c r="BMJ2" s="841"/>
      <c r="BMK2" s="841"/>
      <c r="BML2" s="841"/>
      <c r="BMM2" s="841"/>
      <c r="BMN2" s="841"/>
      <c r="BMO2" s="841"/>
      <c r="BMP2" s="841"/>
      <c r="BMQ2" s="841"/>
      <c r="BMR2" s="841"/>
      <c r="BMS2" s="841"/>
      <c r="BMT2" s="841"/>
      <c r="BMU2" s="841"/>
      <c r="BMV2" s="841"/>
      <c r="BMW2" s="841"/>
      <c r="BMX2" s="841"/>
      <c r="BMY2" s="841"/>
      <c r="BMZ2" s="841"/>
      <c r="BNA2" s="841"/>
      <c r="BNB2" s="841"/>
      <c r="BNC2" s="841"/>
      <c r="BND2" s="841"/>
      <c r="BNE2" s="841"/>
      <c r="BNF2" s="841"/>
      <c r="BNG2" s="841"/>
      <c r="BNH2" s="841"/>
      <c r="BNI2" s="841"/>
      <c r="BNJ2" s="841"/>
      <c r="BNK2" s="841"/>
      <c r="BNL2" s="841"/>
      <c r="BNM2" s="841"/>
      <c r="BNN2" s="841"/>
      <c r="BNO2" s="841"/>
      <c r="BNP2" s="841"/>
      <c r="BNQ2" s="841"/>
      <c r="BNR2" s="841"/>
      <c r="BNS2" s="841"/>
      <c r="BNT2" s="841"/>
      <c r="BNU2" s="841"/>
      <c r="BNV2" s="841"/>
      <c r="BNW2" s="841"/>
      <c r="BNX2" s="841"/>
      <c r="BNY2" s="841"/>
      <c r="BNZ2" s="841"/>
      <c r="BOA2" s="841"/>
      <c r="BOB2" s="841"/>
      <c r="BOC2" s="841"/>
      <c r="BOD2" s="841"/>
      <c r="BOE2" s="841"/>
      <c r="BOF2" s="841"/>
      <c r="BOG2" s="841"/>
      <c r="BOH2" s="841"/>
      <c r="BOI2" s="841"/>
      <c r="BOJ2" s="841"/>
      <c r="BOK2" s="841"/>
      <c r="BOL2" s="841"/>
      <c r="BOM2" s="841"/>
      <c r="BON2" s="841"/>
      <c r="BOO2" s="841"/>
      <c r="BOP2" s="841"/>
      <c r="BOQ2" s="841"/>
      <c r="BOR2" s="841"/>
      <c r="BOS2" s="841"/>
      <c r="BOT2" s="841"/>
      <c r="BOU2" s="841"/>
      <c r="BOV2" s="841"/>
      <c r="BOW2" s="841"/>
      <c r="BOX2" s="841"/>
      <c r="BOY2" s="841"/>
      <c r="BOZ2" s="841"/>
      <c r="BPA2" s="841"/>
      <c r="BPB2" s="841"/>
      <c r="BPC2" s="841"/>
      <c r="BPD2" s="841"/>
      <c r="BPE2" s="841"/>
      <c r="BPF2" s="841"/>
      <c r="BPG2" s="841"/>
      <c r="BPH2" s="841"/>
      <c r="BPI2" s="841"/>
      <c r="BPJ2" s="841"/>
      <c r="BPK2" s="841"/>
      <c r="BPL2" s="841"/>
      <c r="BPM2" s="841"/>
      <c r="BPN2" s="841"/>
      <c r="BPO2" s="841"/>
      <c r="BPP2" s="841"/>
      <c r="BPQ2" s="841"/>
      <c r="BPR2" s="841"/>
      <c r="BPS2" s="841"/>
      <c r="BPT2" s="841"/>
      <c r="BPU2" s="841"/>
      <c r="BPV2" s="841"/>
      <c r="BPW2" s="841"/>
      <c r="BPX2" s="841"/>
      <c r="BPY2" s="841"/>
      <c r="BPZ2" s="841"/>
      <c r="BQA2" s="841"/>
      <c r="BQB2" s="841"/>
      <c r="BQC2" s="841"/>
      <c r="BQD2" s="841"/>
      <c r="BQE2" s="841"/>
      <c r="BQF2" s="841"/>
      <c r="BQG2" s="841"/>
      <c r="BQH2" s="841"/>
      <c r="BQI2" s="841"/>
      <c r="BQJ2" s="841"/>
      <c r="BQK2" s="841"/>
      <c r="BQL2" s="841"/>
      <c r="BQM2" s="841"/>
      <c r="BQN2" s="841"/>
      <c r="BQO2" s="841"/>
      <c r="BQP2" s="841"/>
      <c r="BQQ2" s="841"/>
      <c r="BQR2" s="841"/>
      <c r="BQS2" s="841"/>
      <c r="BQT2" s="841"/>
      <c r="BQU2" s="841"/>
      <c r="BQV2" s="841"/>
      <c r="BQW2" s="841"/>
      <c r="BQX2" s="841"/>
      <c r="BQY2" s="841"/>
      <c r="BQZ2" s="841"/>
      <c r="BRA2" s="841"/>
      <c r="BRB2" s="841"/>
      <c r="BRC2" s="841"/>
      <c r="BRD2" s="841"/>
      <c r="BRE2" s="841"/>
      <c r="BRF2" s="841"/>
      <c r="BRG2" s="841"/>
      <c r="BRH2" s="841"/>
      <c r="BRI2" s="841"/>
      <c r="BRJ2" s="841"/>
      <c r="BRK2" s="841"/>
      <c r="BRL2" s="841"/>
      <c r="BRM2" s="841"/>
      <c r="BRN2" s="841"/>
      <c r="BRO2" s="841"/>
      <c r="BRP2" s="841"/>
      <c r="BRQ2" s="841"/>
      <c r="BRR2" s="841"/>
      <c r="BRS2" s="841"/>
      <c r="BRT2" s="841"/>
      <c r="BRU2" s="841"/>
      <c r="BRV2" s="841"/>
      <c r="BRW2" s="841"/>
      <c r="BRX2" s="841"/>
      <c r="BRY2" s="841"/>
      <c r="BRZ2" s="841"/>
      <c r="BSA2" s="841"/>
      <c r="BSB2" s="841"/>
      <c r="BSC2" s="841"/>
      <c r="BSD2" s="841"/>
      <c r="BSE2" s="841"/>
      <c r="BSF2" s="841"/>
      <c r="BSG2" s="841"/>
      <c r="BSH2" s="841"/>
      <c r="BSI2" s="841"/>
      <c r="BSJ2" s="841"/>
      <c r="BSK2" s="841"/>
      <c r="BSL2" s="841"/>
      <c r="BSM2" s="841"/>
      <c r="BSN2" s="841"/>
      <c r="BSO2" s="841"/>
      <c r="BSP2" s="841"/>
      <c r="BSQ2" s="841"/>
      <c r="BSR2" s="841"/>
      <c r="BSS2" s="841"/>
      <c r="BST2" s="841"/>
    </row>
    <row r="3" spans="1:1866" s="824" customFormat="1" ht="21.9" customHeight="1" x14ac:dyDescent="0.25">
      <c r="A3" s="827"/>
      <c r="B3" s="3188" t="s">
        <v>816</v>
      </c>
      <c r="C3" s="3189"/>
      <c r="D3" s="3190"/>
      <c r="E3" s="1276" t="str">
        <f>IF(ISBLANK(départ)," ",départ)</f>
        <v xml:space="preserve"> </v>
      </c>
      <c r="F3" s="1277" t="str">
        <f t="shared" ref="F3:V3" si="0">IF(ISBLANK(départ)," ",EOMONTH(E3,1))</f>
        <v xml:space="preserve"> </v>
      </c>
      <c r="G3" s="1277" t="str">
        <f t="shared" si="0"/>
        <v xml:space="preserve"> </v>
      </c>
      <c r="H3" s="1277" t="str">
        <f t="shared" si="0"/>
        <v xml:space="preserve"> </v>
      </c>
      <c r="I3" s="1277" t="str">
        <f t="shared" si="0"/>
        <v xml:space="preserve"> </v>
      </c>
      <c r="J3" s="1277" t="str">
        <f t="shared" si="0"/>
        <v xml:space="preserve"> </v>
      </c>
      <c r="K3" s="1277" t="str">
        <f t="shared" si="0"/>
        <v xml:space="preserve"> </v>
      </c>
      <c r="L3" s="1277" t="str">
        <f t="shared" si="0"/>
        <v xml:space="preserve"> </v>
      </c>
      <c r="M3" s="1277" t="str">
        <f t="shared" si="0"/>
        <v xml:space="preserve"> </v>
      </c>
      <c r="N3" s="1277" t="str">
        <f t="shared" si="0"/>
        <v xml:space="preserve"> </v>
      </c>
      <c r="O3" s="1277" t="str">
        <f t="shared" si="0"/>
        <v xml:space="preserve"> </v>
      </c>
      <c r="P3" s="1277" t="str">
        <f t="shared" si="0"/>
        <v xml:space="preserve"> </v>
      </c>
      <c r="Q3" s="1277" t="str">
        <f t="shared" si="0"/>
        <v xml:space="preserve"> </v>
      </c>
      <c r="R3" s="1277" t="str">
        <f t="shared" si="0"/>
        <v xml:space="preserve"> </v>
      </c>
      <c r="S3" s="1277" t="str">
        <f t="shared" si="0"/>
        <v xml:space="preserve"> </v>
      </c>
      <c r="T3" s="1277" t="str">
        <f t="shared" si="0"/>
        <v xml:space="preserve"> </v>
      </c>
      <c r="U3" s="1277" t="str">
        <f t="shared" si="0"/>
        <v xml:space="preserve"> </v>
      </c>
      <c r="V3" s="1278" t="str">
        <f t="shared" si="0"/>
        <v xml:space="preserve"> </v>
      </c>
      <c r="W3" s="827"/>
      <c r="X3" s="827"/>
      <c r="Y3" s="827"/>
      <c r="Z3" s="827"/>
      <c r="AA3" s="866"/>
      <c r="AB3" s="827"/>
      <c r="AC3" s="827"/>
      <c r="AD3" s="827"/>
      <c r="AE3" s="827"/>
      <c r="AF3" s="827"/>
      <c r="AG3" s="827"/>
      <c r="AH3" s="827"/>
      <c r="AI3" s="827"/>
      <c r="AJ3" s="827"/>
      <c r="AK3" s="827"/>
      <c r="AL3" s="827"/>
      <c r="AM3" s="827"/>
      <c r="AN3" s="827"/>
      <c r="AO3" s="827"/>
      <c r="AP3" s="827"/>
      <c r="AQ3" s="827"/>
      <c r="AR3" s="827"/>
      <c r="AS3" s="827"/>
      <c r="AT3" s="827"/>
      <c r="AU3" s="827"/>
      <c r="AV3" s="827"/>
      <c r="AW3" s="827"/>
      <c r="AX3" s="827"/>
      <c r="AY3" s="827"/>
      <c r="AZ3" s="827"/>
      <c r="BA3" s="827"/>
      <c r="BB3" s="827"/>
      <c r="BC3" s="827"/>
      <c r="BD3" s="827"/>
      <c r="BE3" s="827"/>
      <c r="BF3" s="827"/>
      <c r="BG3" s="827"/>
      <c r="BH3" s="827"/>
      <c r="BI3" s="827"/>
      <c r="BJ3" s="827"/>
      <c r="BK3" s="827"/>
      <c r="BL3" s="827"/>
      <c r="BM3" s="827"/>
      <c r="BN3" s="827"/>
      <c r="BO3" s="827"/>
      <c r="BP3" s="827"/>
      <c r="BQ3" s="827"/>
      <c r="BR3" s="827"/>
      <c r="BS3" s="827"/>
      <c r="BT3" s="827"/>
      <c r="BU3" s="827"/>
      <c r="BV3" s="827"/>
      <c r="BW3" s="827"/>
      <c r="BX3" s="827"/>
      <c r="BY3" s="827"/>
      <c r="BZ3" s="827"/>
      <c r="CA3" s="827"/>
      <c r="CB3" s="827"/>
      <c r="CC3" s="827"/>
      <c r="CD3" s="827"/>
      <c r="CE3" s="827"/>
      <c r="CF3" s="827"/>
      <c r="CG3" s="827"/>
      <c r="CH3" s="827"/>
      <c r="CI3" s="827"/>
      <c r="CJ3" s="827"/>
      <c r="CK3" s="827"/>
      <c r="CL3" s="827"/>
      <c r="CM3" s="827"/>
      <c r="CN3" s="827"/>
      <c r="CO3" s="827"/>
      <c r="CP3" s="827"/>
      <c r="CQ3" s="827"/>
      <c r="CR3" s="827"/>
      <c r="CS3" s="827"/>
      <c r="CT3" s="827"/>
      <c r="CU3" s="827"/>
      <c r="CV3" s="827"/>
      <c r="CW3" s="827"/>
      <c r="CX3" s="827"/>
      <c r="CY3" s="827"/>
      <c r="CZ3" s="827"/>
      <c r="DA3" s="827"/>
      <c r="DB3" s="827"/>
      <c r="DC3" s="827"/>
      <c r="DD3" s="827"/>
      <c r="DE3" s="827"/>
      <c r="DF3" s="827"/>
      <c r="DG3" s="827"/>
      <c r="DH3" s="827"/>
      <c r="DI3" s="827"/>
      <c r="DJ3" s="827"/>
      <c r="DK3" s="827"/>
      <c r="DL3" s="827"/>
      <c r="DM3" s="827"/>
      <c r="DN3" s="827"/>
      <c r="DO3" s="827"/>
      <c r="DP3" s="827"/>
      <c r="DQ3" s="827"/>
      <c r="DR3" s="827"/>
      <c r="DS3" s="827"/>
      <c r="DT3" s="827"/>
      <c r="DU3" s="827"/>
      <c r="DV3" s="827"/>
      <c r="DW3" s="827"/>
      <c r="DX3" s="827"/>
      <c r="DY3" s="827"/>
      <c r="DZ3" s="827"/>
      <c r="EA3" s="827"/>
      <c r="EB3" s="827"/>
      <c r="EC3" s="827"/>
      <c r="ED3" s="827"/>
      <c r="EE3" s="827"/>
      <c r="EF3" s="827"/>
      <c r="EG3" s="827"/>
      <c r="EH3" s="827"/>
      <c r="EI3" s="827"/>
      <c r="EJ3" s="827"/>
      <c r="EK3" s="827"/>
      <c r="EL3" s="827"/>
      <c r="EM3" s="827"/>
      <c r="EN3" s="827"/>
      <c r="EO3" s="827"/>
      <c r="EP3" s="827"/>
      <c r="EQ3" s="827"/>
      <c r="ER3" s="827"/>
      <c r="ES3" s="827"/>
      <c r="ET3" s="827"/>
      <c r="EU3" s="827"/>
      <c r="EV3" s="827"/>
      <c r="EW3" s="827"/>
      <c r="EX3" s="827"/>
      <c r="EY3" s="827"/>
      <c r="EZ3" s="827"/>
      <c r="FA3" s="827"/>
      <c r="FB3" s="827"/>
      <c r="FC3" s="827"/>
      <c r="FD3" s="827"/>
      <c r="FE3" s="827"/>
      <c r="FF3" s="827"/>
      <c r="FG3" s="827"/>
      <c r="FH3" s="827"/>
      <c r="FI3" s="827"/>
      <c r="FJ3" s="827"/>
      <c r="FK3" s="827"/>
      <c r="FL3" s="827"/>
      <c r="FM3" s="827"/>
      <c r="FN3" s="827"/>
      <c r="FO3" s="827"/>
      <c r="FP3" s="827"/>
      <c r="FQ3" s="827"/>
      <c r="FR3" s="827"/>
      <c r="FS3" s="827"/>
      <c r="FT3" s="827"/>
      <c r="FU3" s="827"/>
      <c r="FV3" s="827"/>
      <c r="FW3" s="827"/>
      <c r="FX3" s="827"/>
      <c r="FY3" s="827"/>
      <c r="FZ3" s="827"/>
      <c r="GA3" s="827"/>
      <c r="GB3" s="827"/>
      <c r="GC3" s="827"/>
      <c r="GD3" s="827"/>
      <c r="GE3" s="827"/>
      <c r="GF3" s="827"/>
      <c r="GG3" s="827"/>
      <c r="GH3" s="827"/>
      <c r="GI3" s="827"/>
      <c r="GJ3" s="827"/>
      <c r="GK3" s="827"/>
      <c r="GL3" s="827"/>
      <c r="GM3" s="827"/>
      <c r="GN3" s="827"/>
      <c r="GO3" s="827"/>
      <c r="GP3" s="827"/>
      <c r="GQ3" s="827"/>
      <c r="GR3" s="827"/>
      <c r="GS3" s="827"/>
      <c r="GT3" s="827"/>
      <c r="GU3" s="827"/>
      <c r="GV3" s="827"/>
      <c r="GW3" s="827"/>
      <c r="GX3" s="827"/>
      <c r="GY3" s="827"/>
      <c r="GZ3" s="827"/>
      <c r="HA3" s="827"/>
      <c r="HB3" s="827"/>
      <c r="HC3" s="827"/>
      <c r="HD3" s="827"/>
      <c r="HE3" s="827"/>
      <c r="HF3" s="827"/>
      <c r="HG3" s="827"/>
      <c r="HH3" s="827"/>
      <c r="HI3" s="827"/>
      <c r="HJ3" s="827"/>
      <c r="HK3" s="827"/>
      <c r="HL3" s="827"/>
      <c r="HM3" s="827"/>
      <c r="HN3" s="827"/>
      <c r="HO3" s="827"/>
      <c r="HP3" s="827"/>
      <c r="HQ3" s="827"/>
      <c r="HR3" s="827"/>
      <c r="HS3" s="827"/>
      <c r="HT3" s="827"/>
      <c r="HU3" s="827"/>
      <c r="HV3" s="827"/>
      <c r="HW3" s="827"/>
      <c r="HX3" s="827"/>
      <c r="HY3" s="827"/>
      <c r="HZ3" s="827"/>
      <c r="IA3" s="827"/>
      <c r="IB3" s="827"/>
      <c r="IC3" s="827"/>
      <c r="ID3" s="827"/>
      <c r="IE3" s="827"/>
      <c r="IF3" s="827"/>
      <c r="IG3" s="827"/>
      <c r="IH3" s="827"/>
      <c r="II3" s="827"/>
      <c r="IJ3" s="827"/>
      <c r="IK3" s="827"/>
      <c r="IL3" s="827"/>
      <c r="IM3" s="827"/>
      <c r="IN3" s="827"/>
      <c r="IO3" s="827"/>
      <c r="IP3" s="827"/>
      <c r="IQ3" s="827"/>
      <c r="IR3" s="827"/>
      <c r="IS3" s="827"/>
      <c r="IT3" s="827"/>
      <c r="IU3" s="827"/>
      <c r="IV3" s="827"/>
      <c r="IW3" s="827"/>
      <c r="IX3" s="827"/>
      <c r="IY3" s="827"/>
      <c r="IZ3" s="827"/>
      <c r="JA3" s="827"/>
      <c r="JB3" s="827"/>
      <c r="JC3" s="827"/>
      <c r="JD3" s="827"/>
      <c r="JE3" s="827"/>
      <c r="JF3" s="827"/>
      <c r="JG3" s="827"/>
      <c r="JH3" s="827"/>
      <c r="JI3" s="827"/>
      <c r="JJ3" s="827"/>
      <c r="JK3" s="827"/>
      <c r="JL3" s="827"/>
      <c r="JM3" s="827"/>
      <c r="JN3" s="827"/>
      <c r="JO3" s="827"/>
      <c r="JP3" s="827"/>
      <c r="JQ3" s="827"/>
      <c r="JR3" s="827"/>
      <c r="JS3" s="827"/>
      <c r="JT3" s="827"/>
      <c r="JU3" s="827"/>
      <c r="JV3" s="827"/>
      <c r="JW3" s="827"/>
      <c r="JX3" s="827"/>
      <c r="JY3" s="827"/>
      <c r="JZ3" s="827"/>
      <c r="KA3" s="827"/>
      <c r="KB3" s="827"/>
      <c r="KC3" s="827"/>
      <c r="KD3" s="827"/>
      <c r="KE3" s="827"/>
      <c r="KF3" s="827"/>
      <c r="KG3" s="827"/>
      <c r="KH3" s="827"/>
      <c r="KI3" s="827"/>
      <c r="KJ3" s="827"/>
      <c r="KK3" s="827"/>
      <c r="KL3" s="827"/>
      <c r="KM3" s="827"/>
      <c r="KN3" s="827"/>
      <c r="KO3" s="827"/>
      <c r="KP3" s="827"/>
      <c r="KQ3" s="827"/>
      <c r="KR3" s="827"/>
      <c r="KS3" s="827"/>
      <c r="KT3" s="827"/>
      <c r="KU3" s="827"/>
      <c r="KV3" s="827"/>
      <c r="KW3" s="827"/>
      <c r="KX3" s="827"/>
      <c r="KY3" s="827"/>
      <c r="KZ3" s="827"/>
      <c r="LA3" s="827"/>
      <c r="LB3" s="827"/>
      <c r="LC3" s="827"/>
      <c r="LD3" s="827"/>
      <c r="LE3" s="827"/>
      <c r="LF3" s="827"/>
      <c r="LG3" s="827"/>
      <c r="LH3" s="827"/>
      <c r="LI3" s="827"/>
      <c r="LJ3" s="827"/>
      <c r="LK3" s="827"/>
      <c r="LL3" s="827"/>
      <c r="LM3" s="827"/>
      <c r="LN3" s="827"/>
      <c r="LO3" s="827"/>
      <c r="LP3" s="827"/>
      <c r="LQ3" s="827"/>
      <c r="LR3" s="827"/>
      <c r="LS3" s="827"/>
      <c r="LT3" s="827"/>
      <c r="LU3" s="827"/>
      <c r="LV3" s="827"/>
      <c r="LW3" s="827"/>
      <c r="LX3" s="827"/>
      <c r="LY3" s="827"/>
      <c r="LZ3" s="827"/>
      <c r="MA3" s="827"/>
      <c r="MB3" s="827"/>
      <c r="MC3" s="827"/>
      <c r="MD3" s="827"/>
      <c r="ME3" s="827"/>
      <c r="MF3" s="827"/>
      <c r="MG3" s="827"/>
      <c r="MH3" s="827"/>
      <c r="MI3" s="827"/>
      <c r="MJ3" s="827"/>
      <c r="MK3" s="827"/>
      <c r="ML3" s="827"/>
      <c r="MM3" s="827"/>
      <c r="MN3" s="827"/>
      <c r="MO3" s="827"/>
      <c r="MP3" s="827"/>
      <c r="MQ3" s="827"/>
      <c r="MR3" s="827"/>
      <c r="MS3" s="827"/>
      <c r="MT3" s="827"/>
      <c r="MU3" s="827"/>
      <c r="MV3" s="827"/>
      <c r="MW3" s="827"/>
      <c r="MX3" s="827"/>
      <c r="MY3" s="827"/>
      <c r="MZ3" s="827"/>
      <c r="NA3" s="827"/>
      <c r="NB3" s="827"/>
      <c r="NC3" s="827"/>
      <c r="ND3" s="827"/>
      <c r="NE3" s="827"/>
      <c r="NF3" s="827"/>
      <c r="NG3" s="827"/>
      <c r="NH3" s="827"/>
      <c r="NI3" s="827"/>
      <c r="NJ3" s="827"/>
      <c r="NK3" s="827"/>
      <c r="NL3" s="827"/>
      <c r="NM3" s="827"/>
      <c r="NN3" s="827"/>
      <c r="NO3" s="827"/>
      <c r="NP3" s="827"/>
      <c r="NQ3" s="827"/>
      <c r="NR3" s="827"/>
      <c r="NS3" s="827"/>
      <c r="NT3" s="827"/>
      <c r="NU3" s="827"/>
      <c r="NV3" s="827"/>
      <c r="NW3" s="827"/>
      <c r="NX3" s="827"/>
      <c r="NY3" s="827"/>
      <c r="NZ3" s="827"/>
      <c r="OA3" s="827"/>
      <c r="OB3" s="827"/>
      <c r="OC3" s="827"/>
      <c r="OD3" s="827"/>
      <c r="OE3" s="827"/>
      <c r="OF3" s="827"/>
      <c r="OG3" s="827"/>
      <c r="OH3" s="827"/>
      <c r="OI3" s="827"/>
      <c r="OJ3" s="827"/>
      <c r="OK3" s="827"/>
      <c r="OL3" s="827"/>
      <c r="OM3" s="827"/>
      <c r="ON3" s="827"/>
      <c r="OO3" s="827"/>
      <c r="OP3" s="827"/>
      <c r="OQ3" s="827"/>
      <c r="OR3" s="827"/>
      <c r="OS3" s="827"/>
      <c r="OT3" s="827"/>
      <c r="OU3" s="827"/>
      <c r="OV3" s="827"/>
      <c r="OW3" s="827"/>
      <c r="OX3" s="827"/>
      <c r="OY3" s="827"/>
      <c r="OZ3" s="827"/>
      <c r="PA3" s="827"/>
      <c r="PB3" s="827"/>
      <c r="PC3" s="827"/>
      <c r="PD3" s="827"/>
      <c r="PE3" s="827"/>
      <c r="PF3" s="827"/>
      <c r="PG3" s="827"/>
      <c r="PH3" s="827"/>
      <c r="PI3" s="827"/>
      <c r="PJ3" s="827"/>
      <c r="PK3" s="827"/>
      <c r="PL3" s="827"/>
      <c r="PM3" s="827"/>
      <c r="PN3" s="827"/>
      <c r="PO3" s="827"/>
      <c r="PP3" s="827"/>
      <c r="PQ3" s="827"/>
      <c r="PR3" s="827"/>
      <c r="PS3" s="827"/>
      <c r="PT3" s="827"/>
      <c r="PU3" s="827"/>
      <c r="PV3" s="827"/>
      <c r="PW3" s="827"/>
      <c r="PX3" s="827"/>
      <c r="PY3" s="827"/>
      <c r="PZ3" s="827"/>
      <c r="QA3" s="827"/>
      <c r="QB3" s="827"/>
      <c r="QC3" s="827"/>
      <c r="QD3" s="827"/>
      <c r="QE3" s="827"/>
      <c r="QF3" s="827"/>
      <c r="QG3" s="827"/>
      <c r="QH3" s="827"/>
      <c r="QI3" s="827"/>
      <c r="QJ3" s="827"/>
      <c r="QK3" s="827"/>
      <c r="QL3" s="827"/>
      <c r="QM3" s="827"/>
      <c r="QN3" s="827"/>
      <c r="QO3" s="827"/>
      <c r="QP3" s="827"/>
      <c r="QQ3" s="827"/>
      <c r="QR3" s="827"/>
      <c r="QS3" s="827"/>
      <c r="QT3" s="827"/>
      <c r="QU3" s="827"/>
      <c r="QV3" s="827"/>
      <c r="QW3" s="827"/>
      <c r="QX3" s="827"/>
      <c r="QY3" s="827"/>
      <c r="QZ3" s="827"/>
      <c r="RA3" s="827"/>
      <c r="RB3" s="827"/>
      <c r="RC3" s="827"/>
      <c r="RD3" s="827"/>
      <c r="RE3" s="827"/>
      <c r="RF3" s="827"/>
      <c r="RG3" s="827"/>
      <c r="RH3" s="827"/>
      <c r="RI3" s="827"/>
      <c r="RJ3" s="827"/>
      <c r="RK3" s="827"/>
      <c r="RL3" s="827"/>
      <c r="RM3" s="827"/>
      <c r="RN3" s="827"/>
      <c r="RO3" s="827"/>
      <c r="RP3" s="827"/>
      <c r="RQ3" s="827"/>
      <c r="RR3" s="827"/>
      <c r="RS3" s="827"/>
      <c r="RT3" s="827"/>
      <c r="RU3" s="827"/>
      <c r="RV3" s="827"/>
      <c r="RW3" s="827"/>
      <c r="RX3" s="827"/>
      <c r="RY3" s="827"/>
      <c r="RZ3" s="827"/>
      <c r="SA3" s="827"/>
      <c r="SB3" s="827"/>
      <c r="SC3" s="827"/>
      <c r="SD3" s="827"/>
      <c r="SE3" s="827"/>
      <c r="SF3" s="827"/>
      <c r="SG3" s="827"/>
      <c r="SH3" s="827"/>
      <c r="SI3" s="827"/>
      <c r="SJ3" s="827"/>
      <c r="SK3" s="827"/>
      <c r="SL3" s="827"/>
      <c r="SM3" s="827"/>
      <c r="SN3" s="827"/>
      <c r="SO3" s="827"/>
      <c r="SP3" s="827"/>
      <c r="SQ3" s="827"/>
      <c r="SR3" s="827"/>
      <c r="SS3" s="827"/>
      <c r="ST3" s="827"/>
      <c r="SU3" s="827"/>
      <c r="SV3" s="827"/>
      <c r="SW3" s="827"/>
      <c r="SX3" s="827"/>
      <c r="SY3" s="827"/>
      <c r="SZ3" s="827"/>
      <c r="TA3" s="827"/>
      <c r="TB3" s="827"/>
      <c r="TC3" s="827"/>
      <c r="TD3" s="827"/>
      <c r="TE3" s="827"/>
      <c r="TF3" s="827"/>
      <c r="TG3" s="827"/>
      <c r="TH3" s="827"/>
      <c r="TI3" s="827"/>
      <c r="TJ3" s="827"/>
      <c r="TK3" s="827"/>
      <c r="TL3" s="827"/>
      <c r="TM3" s="827"/>
      <c r="TN3" s="827"/>
      <c r="TO3" s="827"/>
      <c r="TP3" s="827"/>
      <c r="TQ3" s="827"/>
      <c r="TR3" s="827"/>
      <c r="TS3" s="827"/>
      <c r="TT3" s="827"/>
      <c r="TU3" s="827"/>
      <c r="TV3" s="827"/>
      <c r="TW3" s="827"/>
      <c r="TX3" s="827"/>
      <c r="TY3" s="827"/>
      <c r="TZ3" s="827"/>
      <c r="UA3" s="827"/>
      <c r="UB3" s="827"/>
      <c r="UC3" s="827"/>
      <c r="UD3" s="827"/>
      <c r="UE3" s="827"/>
      <c r="UF3" s="827"/>
      <c r="UG3" s="827"/>
      <c r="UH3" s="827"/>
      <c r="UI3" s="827"/>
      <c r="UJ3" s="827"/>
      <c r="UK3" s="827"/>
      <c r="UL3" s="827"/>
      <c r="UM3" s="827"/>
      <c r="UN3" s="827"/>
      <c r="UO3" s="827"/>
      <c r="UP3" s="827"/>
      <c r="UQ3" s="827"/>
      <c r="UR3" s="827"/>
      <c r="US3" s="827"/>
      <c r="UT3" s="827"/>
      <c r="UU3" s="827"/>
      <c r="UV3" s="827"/>
      <c r="UW3" s="827"/>
      <c r="UX3" s="827"/>
      <c r="UY3" s="827"/>
      <c r="UZ3" s="827"/>
      <c r="VA3" s="827"/>
      <c r="VB3" s="827"/>
      <c r="VC3" s="827"/>
      <c r="VD3" s="827"/>
      <c r="VE3" s="827"/>
      <c r="VF3" s="827"/>
      <c r="VG3" s="827"/>
      <c r="VH3" s="827"/>
      <c r="VI3" s="827"/>
      <c r="VJ3" s="827"/>
      <c r="VK3" s="827"/>
      <c r="VL3" s="827"/>
      <c r="VM3" s="827"/>
      <c r="VN3" s="827"/>
      <c r="VO3" s="827"/>
      <c r="VP3" s="827"/>
      <c r="VQ3" s="827"/>
      <c r="VR3" s="827"/>
      <c r="VS3" s="827"/>
      <c r="VT3" s="827"/>
      <c r="VU3" s="827"/>
      <c r="VV3" s="827"/>
      <c r="VW3" s="827"/>
      <c r="VX3" s="827"/>
      <c r="VY3" s="827"/>
      <c r="VZ3" s="827"/>
      <c r="WA3" s="827"/>
      <c r="WB3" s="827"/>
      <c r="WC3" s="827"/>
      <c r="WD3" s="827"/>
      <c r="WE3" s="827"/>
      <c r="WF3" s="827"/>
      <c r="WG3" s="827"/>
      <c r="WH3" s="827"/>
      <c r="WI3" s="827"/>
      <c r="WJ3" s="827"/>
      <c r="WK3" s="827"/>
      <c r="WL3" s="827"/>
      <c r="WM3" s="827"/>
      <c r="WN3" s="827"/>
      <c r="WO3" s="827"/>
      <c r="WP3" s="827"/>
      <c r="WQ3" s="827"/>
      <c r="WR3" s="827"/>
      <c r="WS3" s="827"/>
      <c r="WT3" s="827"/>
      <c r="WU3" s="827"/>
      <c r="WV3" s="827"/>
      <c r="WW3" s="827"/>
      <c r="WX3" s="827"/>
      <c r="WY3" s="827"/>
      <c r="WZ3" s="827"/>
      <c r="XA3" s="827"/>
      <c r="XB3" s="827"/>
      <c r="XC3" s="827"/>
      <c r="XD3" s="827"/>
      <c r="XE3" s="827"/>
      <c r="XF3" s="827"/>
      <c r="XG3" s="827"/>
      <c r="XH3" s="827"/>
      <c r="XI3" s="827"/>
      <c r="XJ3" s="827"/>
      <c r="XK3" s="827"/>
      <c r="XL3" s="827"/>
      <c r="XM3" s="827"/>
      <c r="XN3" s="827"/>
      <c r="XO3" s="827"/>
      <c r="XP3" s="827"/>
      <c r="XQ3" s="827"/>
      <c r="XR3" s="827"/>
      <c r="XS3" s="827"/>
      <c r="XT3" s="827"/>
      <c r="XU3" s="827"/>
      <c r="XV3" s="827"/>
      <c r="XW3" s="827"/>
      <c r="XX3" s="827"/>
      <c r="XY3" s="827"/>
      <c r="XZ3" s="827"/>
      <c r="YA3" s="827"/>
      <c r="YB3" s="827"/>
      <c r="YC3" s="827"/>
      <c r="YD3" s="827"/>
      <c r="YE3" s="827"/>
      <c r="YF3" s="827"/>
      <c r="YG3" s="827"/>
      <c r="YH3" s="827"/>
      <c r="YI3" s="827"/>
      <c r="YJ3" s="827"/>
      <c r="YK3" s="827"/>
      <c r="YL3" s="827"/>
      <c r="YM3" s="827"/>
      <c r="YN3" s="827"/>
      <c r="YO3" s="827"/>
      <c r="YP3" s="827"/>
      <c r="YQ3" s="827"/>
      <c r="YR3" s="827"/>
      <c r="YS3" s="827"/>
      <c r="YT3" s="827"/>
      <c r="YU3" s="827"/>
      <c r="YV3" s="827"/>
      <c r="YW3" s="827"/>
      <c r="YX3" s="827"/>
      <c r="YY3" s="827"/>
      <c r="YZ3" s="827"/>
      <c r="ZA3" s="827"/>
      <c r="ZB3" s="827"/>
      <c r="ZC3" s="827"/>
      <c r="ZD3" s="827"/>
      <c r="ZE3" s="827"/>
      <c r="ZF3" s="827"/>
      <c r="ZG3" s="827"/>
      <c r="ZH3" s="827"/>
      <c r="ZI3" s="827"/>
      <c r="ZJ3" s="827"/>
      <c r="ZK3" s="827"/>
      <c r="ZL3" s="827"/>
      <c r="ZM3" s="827"/>
      <c r="ZN3" s="827"/>
      <c r="ZO3" s="827"/>
      <c r="ZP3" s="827"/>
      <c r="ZQ3" s="827"/>
      <c r="ZR3" s="827"/>
      <c r="ZS3" s="827"/>
      <c r="ZT3" s="827"/>
      <c r="ZU3" s="827"/>
      <c r="ZV3" s="827"/>
      <c r="ZW3" s="827"/>
      <c r="ZX3" s="827"/>
      <c r="ZY3" s="827"/>
      <c r="ZZ3" s="827"/>
      <c r="AAA3" s="827"/>
      <c r="AAB3" s="827"/>
      <c r="AAC3" s="827"/>
      <c r="AAD3" s="827"/>
      <c r="AAE3" s="827"/>
      <c r="AAF3" s="827"/>
      <c r="AAG3" s="827"/>
      <c r="AAH3" s="827"/>
      <c r="AAI3" s="827"/>
      <c r="AAJ3" s="827"/>
      <c r="AAK3" s="827"/>
      <c r="AAL3" s="827"/>
      <c r="AAM3" s="827"/>
      <c r="AAN3" s="827"/>
      <c r="AAO3" s="827"/>
      <c r="AAP3" s="827"/>
      <c r="AAQ3" s="827"/>
      <c r="AAR3" s="827"/>
      <c r="AAS3" s="827"/>
      <c r="AAT3" s="827"/>
      <c r="AAU3" s="827"/>
      <c r="AAV3" s="827"/>
      <c r="AAW3" s="827"/>
      <c r="AAX3" s="827"/>
      <c r="AAY3" s="827"/>
      <c r="AAZ3" s="827"/>
      <c r="ABA3" s="827"/>
      <c r="ABB3" s="827"/>
      <c r="ABC3" s="827"/>
      <c r="ABD3" s="827"/>
      <c r="ABE3" s="827"/>
      <c r="ABF3" s="827"/>
      <c r="ABG3" s="827"/>
      <c r="ABH3" s="827"/>
      <c r="ABI3" s="827"/>
      <c r="ABJ3" s="827"/>
      <c r="ABK3" s="827"/>
      <c r="ABL3" s="827"/>
      <c r="ABM3" s="827"/>
      <c r="ABN3" s="827"/>
      <c r="ABO3" s="827"/>
      <c r="ABP3" s="827"/>
      <c r="ABQ3" s="827"/>
      <c r="ABR3" s="827"/>
      <c r="ABS3" s="827"/>
      <c r="ABT3" s="827"/>
      <c r="ABU3" s="827"/>
      <c r="ABV3" s="827"/>
      <c r="ABW3" s="827"/>
      <c r="ABX3" s="827"/>
      <c r="ABY3" s="827"/>
      <c r="ABZ3" s="827"/>
      <c r="ACA3" s="827"/>
      <c r="ACB3" s="827"/>
      <c r="ACC3" s="827"/>
      <c r="ACD3" s="827"/>
      <c r="ACE3" s="827"/>
      <c r="ACF3" s="827"/>
      <c r="ACG3" s="827"/>
      <c r="ACH3" s="827"/>
      <c r="ACI3" s="827"/>
      <c r="ACJ3" s="827"/>
      <c r="ACK3" s="827"/>
      <c r="ACL3" s="827"/>
      <c r="ACM3" s="827"/>
      <c r="ACN3" s="827"/>
      <c r="ACO3" s="827"/>
      <c r="ACP3" s="827"/>
      <c r="ACQ3" s="827"/>
      <c r="ACR3" s="827"/>
      <c r="ACS3" s="827"/>
      <c r="ACT3" s="827"/>
      <c r="ACU3" s="827"/>
      <c r="ACV3" s="827"/>
      <c r="ACW3" s="827"/>
      <c r="ACX3" s="827"/>
      <c r="ACY3" s="827"/>
      <c r="ACZ3" s="827"/>
      <c r="ADA3" s="827"/>
      <c r="ADB3" s="827"/>
      <c r="ADC3" s="827"/>
      <c r="ADD3" s="827"/>
      <c r="ADE3" s="827"/>
      <c r="ADF3" s="827"/>
      <c r="ADG3" s="827"/>
      <c r="ADH3" s="827"/>
      <c r="ADI3" s="827"/>
      <c r="ADJ3" s="827"/>
      <c r="ADK3" s="827"/>
      <c r="ADL3" s="827"/>
      <c r="ADM3" s="827"/>
      <c r="ADN3" s="827"/>
      <c r="ADO3" s="827"/>
      <c r="ADP3" s="827"/>
      <c r="ADQ3" s="827"/>
      <c r="ADR3" s="827"/>
      <c r="ADS3" s="827"/>
      <c r="ADT3" s="827"/>
      <c r="ADU3" s="827"/>
      <c r="ADV3" s="827"/>
      <c r="ADW3" s="827"/>
      <c r="ADX3" s="827"/>
      <c r="ADY3" s="827"/>
      <c r="ADZ3" s="827"/>
      <c r="AEA3" s="827"/>
      <c r="AEB3" s="827"/>
      <c r="AEC3" s="827"/>
      <c r="AED3" s="827"/>
      <c r="AEE3" s="827"/>
      <c r="AEF3" s="827"/>
      <c r="AEG3" s="827"/>
      <c r="AEH3" s="827"/>
      <c r="AEI3" s="827"/>
      <c r="AEJ3" s="827"/>
      <c r="AEK3" s="827"/>
      <c r="AEL3" s="827"/>
      <c r="AEM3" s="827"/>
      <c r="AEN3" s="827"/>
      <c r="AEO3" s="827"/>
      <c r="AEP3" s="827"/>
      <c r="AEQ3" s="827"/>
      <c r="AER3" s="827"/>
      <c r="AES3" s="827"/>
      <c r="AET3" s="827"/>
      <c r="AEU3" s="827"/>
      <c r="AEV3" s="827"/>
      <c r="AEW3" s="827"/>
      <c r="AEX3" s="827"/>
      <c r="AEY3" s="827"/>
      <c r="AEZ3" s="827"/>
      <c r="AFA3" s="827"/>
      <c r="AFB3" s="827"/>
      <c r="AFC3" s="827"/>
      <c r="AFD3" s="827"/>
      <c r="AFE3" s="827"/>
      <c r="AFF3" s="827"/>
      <c r="AFG3" s="827"/>
      <c r="AFH3" s="827"/>
      <c r="AFI3" s="827"/>
      <c r="AFJ3" s="827"/>
      <c r="AFK3" s="827"/>
      <c r="AFL3" s="827"/>
      <c r="AFM3" s="827"/>
      <c r="AFN3" s="827"/>
      <c r="AFO3" s="827"/>
      <c r="AFP3" s="827"/>
      <c r="AFQ3" s="827"/>
      <c r="AFR3" s="827"/>
      <c r="AFS3" s="827"/>
      <c r="AFT3" s="827"/>
      <c r="AFU3" s="827"/>
      <c r="AFV3" s="827"/>
      <c r="AFW3" s="827"/>
      <c r="AFX3" s="827"/>
      <c r="AFY3" s="827"/>
      <c r="AFZ3" s="827"/>
      <c r="AGA3" s="827"/>
      <c r="AGB3" s="827"/>
      <c r="AGC3" s="827"/>
      <c r="AGD3" s="827"/>
      <c r="AGE3" s="827"/>
      <c r="AGF3" s="827"/>
      <c r="AGG3" s="827"/>
      <c r="AGH3" s="827"/>
      <c r="AGI3" s="827"/>
      <c r="AGJ3" s="827"/>
      <c r="AGK3" s="827"/>
      <c r="AGL3" s="827"/>
      <c r="AGM3" s="827"/>
      <c r="AGN3" s="827"/>
      <c r="AGO3" s="827"/>
      <c r="AGP3" s="827"/>
      <c r="AGQ3" s="827"/>
      <c r="AGR3" s="827"/>
      <c r="AGS3" s="827"/>
      <c r="AGT3" s="827"/>
      <c r="AGU3" s="827"/>
      <c r="AGV3" s="827"/>
      <c r="AGW3" s="827"/>
      <c r="AGX3" s="827"/>
      <c r="AGY3" s="827"/>
      <c r="AGZ3" s="827"/>
      <c r="AHA3" s="827"/>
      <c r="AHB3" s="827"/>
      <c r="AHC3" s="827"/>
      <c r="AHD3" s="827"/>
      <c r="AHE3" s="827"/>
      <c r="AHF3" s="827"/>
      <c r="AHG3" s="827"/>
      <c r="AHH3" s="827"/>
      <c r="AHI3" s="827"/>
      <c r="AHJ3" s="827"/>
      <c r="AHK3" s="827"/>
      <c r="AHL3" s="827"/>
      <c r="AHM3" s="827"/>
      <c r="AHN3" s="827"/>
      <c r="AHO3" s="827"/>
      <c r="AHP3" s="827"/>
      <c r="AHQ3" s="827"/>
      <c r="AHR3" s="827"/>
      <c r="AHS3" s="827"/>
      <c r="AHT3" s="827"/>
      <c r="AHU3" s="827"/>
      <c r="AHV3" s="827"/>
      <c r="AHW3" s="827"/>
      <c r="AHX3" s="827"/>
      <c r="AHY3" s="827"/>
      <c r="AHZ3" s="827"/>
      <c r="AIA3" s="827"/>
      <c r="AIB3" s="827"/>
      <c r="AIC3" s="827"/>
      <c r="AID3" s="827"/>
      <c r="AIE3" s="827"/>
      <c r="AIF3" s="827"/>
      <c r="AIG3" s="827"/>
      <c r="AIH3" s="827"/>
      <c r="AII3" s="827"/>
      <c r="AIJ3" s="827"/>
      <c r="AIK3" s="827"/>
      <c r="AIL3" s="827"/>
      <c r="AIM3" s="827"/>
      <c r="AIN3" s="827"/>
      <c r="AIO3" s="827"/>
      <c r="AIP3" s="827"/>
      <c r="AIQ3" s="827"/>
      <c r="AIR3" s="827"/>
      <c r="AIS3" s="827"/>
      <c r="AIT3" s="827"/>
      <c r="AIU3" s="827"/>
      <c r="AIV3" s="827"/>
      <c r="AIW3" s="827"/>
      <c r="AIX3" s="827"/>
      <c r="AIY3" s="827"/>
      <c r="AIZ3" s="827"/>
      <c r="AJA3" s="827"/>
      <c r="AJB3" s="827"/>
      <c r="AJC3" s="827"/>
      <c r="AJD3" s="827"/>
      <c r="AJE3" s="827"/>
      <c r="AJF3" s="827"/>
      <c r="AJG3" s="827"/>
      <c r="AJH3" s="827"/>
      <c r="AJI3" s="827"/>
      <c r="AJJ3" s="827"/>
      <c r="AJK3" s="827"/>
      <c r="AJL3" s="827"/>
      <c r="AJM3" s="827"/>
      <c r="AJN3" s="827"/>
      <c r="AJO3" s="827"/>
      <c r="AJP3" s="827"/>
      <c r="AJQ3" s="827"/>
      <c r="AJR3" s="827"/>
      <c r="AJS3" s="827"/>
      <c r="AJT3" s="827"/>
      <c r="AJU3" s="827"/>
      <c r="AJV3" s="827"/>
      <c r="AJW3" s="827"/>
      <c r="AJX3" s="827"/>
      <c r="AJY3" s="827"/>
      <c r="AJZ3" s="827"/>
      <c r="AKA3" s="827"/>
      <c r="AKB3" s="827"/>
      <c r="AKC3" s="827"/>
      <c r="AKD3" s="827"/>
      <c r="AKE3" s="827"/>
      <c r="AKF3" s="827"/>
      <c r="AKG3" s="827"/>
      <c r="AKH3" s="827"/>
      <c r="AKI3" s="827"/>
      <c r="AKJ3" s="827"/>
      <c r="AKK3" s="827"/>
      <c r="AKL3" s="827"/>
      <c r="AKM3" s="827"/>
      <c r="AKN3" s="827"/>
      <c r="AKO3" s="827"/>
      <c r="AKP3" s="827"/>
      <c r="AKQ3" s="827"/>
      <c r="AKR3" s="827"/>
      <c r="AKS3" s="827"/>
      <c r="AKT3" s="827"/>
      <c r="AKU3" s="827"/>
      <c r="AKV3" s="827"/>
      <c r="AKW3" s="827"/>
      <c r="AKX3" s="827"/>
      <c r="AKY3" s="827"/>
      <c r="AKZ3" s="827"/>
      <c r="ALA3" s="827"/>
      <c r="ALB3" s="827"/>
      <c r="ALC3" s="827"/>
      <c r="ALD3" s="827"/>
      <c r="ALE3" s="827"/>
      <c r="ALF3" s="827"/>
      <c r="ALG3" s="827"/>
      <c r="ALH3" s="827"/>
      <c r="ALI3" s="827"/>
      <c r="ALJ3" s="827"/>
      <c r="ALK3" s="827"/>
      <c r="ALL3" s="827"/>
      <c r="ALM3" s="827"/>
      <c r="ALN3" s="827"/>
      <c r="ALO3" s="827"/>
      <c r="ALP3" s="827"/>
      <c r="ALQ3" s="827"/>
      <c r="ALR3" s="827"/>
      <c r="ALS3" s="827"/>
      <c r="ALT3" s="827"/>
      <c r="ALU3" s="827"/>
      <c r="ALV3" s="827"/>
      <c r="ALW3" s="827"/>
      <c r="ALX3" s="827"/>
      <c r="ALY3" s="827"/>
      <c r="ALZ3" s="827"/>
      <c r="AMA3" s="827"/>
      <c r="AMB3" s="827"/>
      <c r="AMC3" s="827"/>
      <c r="AMD3" s="827"/>
      <c r="AME3" s="827"/>
      <c r="AMF3" s="827"/>
      <c r="AMG3" s="827"/>
      <c r="AMH3" s="827"/>
      <c r="AMI3" s="827"/>
      <c r="AMJ3" s="827"/>
      <c r="AMK3" s="827"/>
      <c r="AML3" s="827"/>
      <c r="AMM3" s="827"/>
      <c r="AMN3" s="827"/>
      <c r="AMO3" s="827"/>
      <c r="AMP3" s="827"/>
      <c r="AMQ3" s="827"/>
      <c r="AMR3" s="827"/>
      <c r="AMS3" s="827"/>
      <c r="AMT3" s="827"/>
      <c r="AMU3" s="827"/>
      <c r="AMV3" s="827"/>
      <c r="AMW3" s="827"/>
      <c r="AMX3" s="827"/>
      <c r="AMY3" s="827"/>
      <c r="AMZ3" s="827"/>
      <c r="ANA3" s="827"/>
      <c r="ANB3" s="827"/>
      <c r="ANC3" s="827"/>
      <c r="AND3" s="827"/>
      <c r="ANE3" s="827"/>
      <c r="ANF3" s="827"/>
      <c r="ANG3" s="827"/>
      <c r="ANH3" s="827"/>
      <c r="ANI3" s="827"/>
      <c r="ANJ3" s="827"/>
      <c r="ANK3" s="827"/>
      <c r="ANL3" s="827"/>
      <c r="ANM3" s="827"/>
      <c r="ANN3" s="827"/>
      <c r="ANO3" s="827"/>
      <c r="ANP3" s="827"/>
      <c r="ANQ3" s="827"/>
      <c r="ANR3" s="827"/>
      <c r="ANS3" s="827"/>
      <c r="ANT3" s="827"/>
      <c r="ANU3" s="827"/>
      <c r="ANV3" s="827"/>
      <c r="ANW3" s="827"/>
      <c r="ANX3" s="827"/>
      <c r="ANY3" s="827"/>
      <c r="ANZ3" s="827"/>
      <c r="AOA3" s="827"/>
      <c r="AOB3" s="827"/>
      <c r="AOC3" s="827"/>
      <c r="AOD3" s="827"/>
      <c r="AOE3" s="827"/>
      <c r="AOF3" s="827"/>
      <c r="AOG3" s="827"/>
      <c r="AOH3" s="827"/>
      <c r="AOI3" s="827"/>
      <c r="AOJ3" s="827"/>
      <c r="AOK3" s="827"/>
      <c r="AOL3" s="827"/>
      <c r="AOM3" s="827"/>
      <c r="AON3" s="827"/>
      <c r="AOO3" s="827"/>
      <c r="AOP3" s="827"/>
      <c r="AOQ3" s="827"/>
      <c r="AOR3" s="827"/>
      <c r="AOS3" s="827"/>
      <c r="AOT3" s="827"/>
      <c r="AOU3" s="827"/>
      <c r="AOV3" s="827"/>
      <c r="AOW3" s="827"/>
      <c r="AOX3" s="827"/>
      <c r="AOY3" s="827"/>
      <c r="AOZ3" s="827"/>
      <c r="APA3" s="827"/>
      <c r="APB3" s="827"/>
      <c r="APC3" s="827"/>
      <c r="APD3" s="827"/>
      <c r="APE3" s="827"/>
      <c r="APF3" s="827"/>
      <c r="APG3" s="827"/>
      <c r="APH3" s="827"/>
      <c r="API3" s="827"/>
      <c r="APJ3" s="827"/>
      <c r="APK3" s="827"/>
      <c r="APL3" s="827"/>
      <c r="APM3" s="827"/>
      <c r="APN3" s="827"/>
      <c r="APO3" s="827"/>
      <c r="APP3" s="827"/>
      <c r="APQ3" s="827"/>
      <c r="APR3" s="827"/>
      <c r="APS3" s="827"/>
      <c r="APT3" s="827"/>
      <c r="APU3" s="827"/>
      <c r="APV3" s="827"/>
      <c r="APW3" s="827"/>
      <c r="APX3" s="827"/>
      <c r="APY3" s="827"/>
      <c r="APZ3" s="827"/>
      <c r="AQA3" s="827"/>
      <c r="AQB3" s="827"/>
      <c r="AQC3" s="827"/>
      <c r="AQD3" s="827"/>
      <c r="AQE3" s="827"/>
      <c r="AQF3" s="827"/>
      <c r="AQG3" s="827"/>
      <c r="AQH3" s="827"/>
      <c r="AQI3" s="827"/>
      <c r="AQJ3" s="827"/>
      <c r="AQK3" s="827"/>
      <c r="AQL3" s="827"/>
      <c r="AQM3" s="827"/>
      <c r="AQN3" s="827"/>
      <c r="AQO3" s="827"/>
      <c r="AQP3" s="827"/>
      <c r="AQQ3" s="827"/>
      <c r="AQR3" s="827"/>
      <c r="AQS3" s="827"/>
      <c r="AQT3" s="827"/>
      <c r="AQU3" s="827"/>
      <c r="AQV3" s="827"/>
      <c r="AQW3" s="827"/>
      <c r="AQX3" s="827"/>
      <c r="AQY3" s="827"/>
      <c r="AQZ3" s="827"/>
      <c r="ARA3" s="827"/>
      <c r="ARB3" s="827"/>
      <c r="ARC3" s="827"/>
      <c r="ARD3" s="827"/>
      <c r="ARE3" s="827"/>
      <c r="ARF3" s="827"/>
      <c r="ARG3" s="827"/>
      <c r="ARH3" s="827"/>
      <c r="ARI3" s="827"/>
      <c r="ARJ3" s="827"/>
      <c r="ARK3" s="827"/>
      <c r="ARL3" s="827"/>
      <c r="ARM3" s="827"/>
      <c r="ARN3" s="827"/>
      <c r="ARO3" s="827"/>
      <c r="ARP3" s="827"/>
      <c r="ARQ3" s="827"/>
      <c r="ARR3" s="827"/>
      <c r="ARS3" s="827"/>
      <c r="ART3" s="827"/>
      <c r="ARU3" s="827"/>
      <c r="ARV3" s="827"/>
      <c r="ARW3" s="827"/>
      <c r="ARX3" s="827"/>
      <c r="ARY3" s="827"/>
      <c r="ARZ3" s="827"/>
      <c r="ASA3" s="827"/>
      <c r="ASB3" s="827"/>
      <c r="ASC3" s="827"/>
      <c r="ASD3" s="827"/>
      <c r="ASE3" s="827"/>
      <c r="ASF3" s="827"/>
      <c r="ASG3" s="827"/>
      <c r="ASH3" s="827"/>
      <c r="ASI3" s="827"/>
      <c r="ASJ3" s="827"/>
      <c r="ASK3" s="827"/>
      <c r="ASL3" s="827"/>
      <c r="ASM3" s="827"/>
      <c r="ASN3" s="827"/>
      <c r="ASO3" s="827"/>
      <c r="ASP3" s="827"/>
      <c r="ASQ3" s="827"/>
      <c r="ASR3" s="827"/>
      <c r="ASS3" s="827"/>
      <c r="AST3" s="827"/>
      <c r="ASU3" s="827"/>
      <c r="ASV3" s="827"/>
      <c r="ASW3" s="827"/>
      <c r="ASX3" s="827"/>
      <c r="ASY3" s="827"/>
      <c r="ASZ3" s="827"/>
      <c r="ATA3" s="827"/>
      <c r="ATB3" s="827"/>
      <c r="ATC3" s="827"/>
      <c r="ATD3" s="827"/>
      <c r="ATE3" s="827"/>
      <c r="ATF3" s="827"/>
      <c r="ATG3" s="827"/>
      <c r="ATH3" s="827"/>
      <c r="ATI3" s="827"/>
      <c r="ATJ3" s="827"/>
      <c r="ATK3" s="827"/>
      <c r="ATL3" s="827"/>
      <c r="ATM3" s="827"/>
      <c r="ATN3" s="827"/>
      <c r="ATO3" s="827"/>
      <c r="ATP3" s="827"/>
      <c r="ATQ3" s="827"/>
      <c r="ATR3" s="827"/>
      <c r="ATS3" s="827"/>
      <c r="ATT3" s="827"/>
      <c r="ATU3" s="827"/>
      <c r="ATV3" s="827"/>
      <c r="ATW3" s="827"/>
      <c r="ATX3" s="827"/>
      <c r="ATY3" s="827"/>
      <c r="ATZ3" s="827"/>
      <c r="AUA3" s="827"/>
      <c r="AUB3" s="827"/>
      <c r="AUC3" s="827"/>
      <c r="AUD3" s="827"/>
      <c r="AUE3" s="827"/>
      <c r="AUF3" s="827"/>
      <c r="AUG3" s="827"/>
      <c r="AUH3" s="827"/>
      <c r="AUI3" s="827"/>
      <c r="AUJ3" s="827"/>
      <c r="AUK3" s="827"/>
      <c r="AUL3" s="827"/>
      <c r="AUM3" s="827"/>
      <c r="AUN3" s="827"/>
      <c r="AUO3" s="827"/>
      <c r="AUP3" s="827"/>
      <c r="AUQ3" s="827"/>
      <c r="AUR3" s="827"/>
      <c r="AUS3" s="827"/>
      <c r="AUT3" s="827"/>
      <c r="AUU3" s="827"/>
      <c r="AUV3" s="827"/>
      <c r="AUW3" s="827"/>
      <c r="AUX3" s="827"/>
      <c r="AUY3" s="827"/>
      <c r="AUZ3" s="827"/>
      <c r="AVA3" s="827"/>
      <c r="AVB3" s="827"/>
      <c r="AVC3" s="827"/>
      <c r="AVD3" s="827"/>
      <c r="AVE3" s="827"/>
      <c r="AVF3" s="827"/>
      <c r="AVG3" s="827"/>
      <c r="AVH3" s="827"/>
      <c r="AVI3" s="827"/>
      <c r="AVJ3" s="827"/>
      <c r="AVK3" s="827"/>
      <c r="AVL3" s="827"/>
      <c r="AVM3" s="827"/>
      <c r="AVN3" s="827"/>
      <c r="AVO3" s="827"/>
      <c r="AVP3" s="827"/>
      <c r="AVQ3" s="827"/>
      <c r="AVR3" s="827"/>
      <c r="AVS3" s="827"/>
      <c r="AVT3" s="827"/>
      <c r="AVU3" s="827"/>
      <c r="AVV3" s="827"/>
      <c r="AVW3" s="827"/>
      <c r="AVX3" s="827"/>
      <c r="AVY3" s="827"/>
      <c r="AVZ3" s="827"/>
      <c r="AWA3" s="827"/>
      <c r="AWB3" s="827"/>
      <c r="AWC3" s="827"/>
      <c r="AWD3" s="827"/>
      <c r="AWE3" s="827"/>
      <c r="AWF3" s="827"/>
      <c r="AWG3" s="827"/>
      <c r="AWH3" s="827"/>
      <c r="AWI3" s="827"/>
      <c r="AWJ3" s="827"/>
      <c r="AWK3" s="827"/>
      <c r="AWL3" s="827"/>
      <c r="AWM3" s="827"/>
      <c r="AWN3" s="827"/>
      <c r="AWO3" s="827"/>
      <c r="AWP3" s="827"/>
      <c r="AWQ3" s="827"/>
      <c r="AWR3" s="827"/>
      <c r="AWS3" s="827"/>
      <c r="AWT3" s="827"/>
      <c r="AWU3" s="827"/>
      <c r="AWV3" s="827"/>
      <c r="AWW3" s="827"/>
      <c r="AWX3" s="827"/>
      <c r="AWY3" s="827"/>
      <c r="AWZ3" s="827"/>
      <c r="AXA3" s="827"/>
      <c r="AXB3" s="827"/>
      <c r="AXC3" s="827"/>
      <c r="AXD3" s="827"/>
      <c r="AXE3" s="827"/>
      <c r="AXF3" s="827"/>
      <c r="AXG3" s="827"/>
      <c r="AXH3" s="827"/>
      <c r="AXI3" s="827"/>
      <c r="AXJ3" s="827"/>
      <c r="AXK3" s="827"/>
      <c r="AXL3" s="827"/>
      <c r="AXM3" s="827"/>
      <c r="AXN3" s="827"/>
      <c r="AXO3" s="827"/>
      <c r="AXP3" s="827"/>
      <c r="AXQ3" s="827"/>
      <c r="AXR3" s="827"/>
      <c r="AXS3" s="827"/>
      <c r="AXT3" s="827"/>
      <c r="AXU3" s="827"/>
      <c r="AXV3" s="827"/>
      <c r="AXW3" s="827"/>
      <c r="AXX3" s="827"/>
      <c r="AXY3" s="827"/>
      <c r="AXZ3" s="827"/>
      <c r="AYA3" s="827"/>
      <c r="AYB3" s="827"/>
      <c r="AYC3" s="827"/>
      <c r="AYD3" s="827"/>
      <c r="AYE3" s="827"/>
      <c r="AYF3" s="827"/>
      <c r="AYG3" s="827"/>
      <c r="AYH3" s="827"/>
      <c r="AYI3" s="827"/>
      <c r="AYJ3" s="827"/>
      <c r="AYK3" s="827"/>
      <c r="AYL3" s="827"/>
      <c r="AYM3" s="827"/>
      <c r="AYN3" s="827"/>
      <c r="AYO3" s="827"/>
      <c r="AYP3" s="827"/>
      <c r="AYQ3" s="827"/>
      <c r="AYR3" s="827"/>
      <c r="AYS3" s="827"/>
      <c r="AYT3" s="827"/>
      <c r="AYU3" s="827"/>
      <c r="AYV3" s="827"/>
      <c r="AYW3" s="827"/>
      <c r="AYX3" s="827"/>
      <c r="AYY3" s="827"/>
      <c r="AYZ3" s="827"/>
      <c r="AZA3" s="827"/>
      <c r="AZB3" s="827"/>
      <c r="AZC3" s="827"/>
      <c r="AZD3" s="827"/>
      <c r="AZE3" s="827"/>
      <c r="AZF3" s="827"/>
      <c r="AZG3" s="827"/>
      <c r="AZH3" s="827"/>
      <c r="AZI3" s="827"/>
      <c r="AZJ3" s="827"/>
      <c r="AZK3" s="827"/>
      <c r="AZL3" s="827"/>
      <c r="AZM3" s="827"/>
      <c r="AZN3" s="827"/>
      <c r="AZO3" s="827"/>
      <c r="AZP3" s="827"/>
      <c r="AZQ3" s="827"/>
      <c r="AZR3" s="827"/>
      <c r="AZS3" s="827"/>
      <c r="AZT3" s="827"/>
      <c r="AZU3" s="827"/>
      <c r="AZV3" s="827"/>
      <c r="AZW3" s="827"/>
      <c r="AZX3" s="827"/>
      <c r="AZY3" s="827"/>
      <c r="AZZ3" s="827"/>
      <c r="BAA3" s="827"/>
      <c r="BAB3" s="827"/>
      <c r="BAC3" s="827"/>
      <c r="BAD3" s="827"/>
      <c r="BAE3" s="827"/>
      <c r="BAF3" s="827"/>
      <c r="BAG3" s="827"/>
      <c r="BAH3" s="827"/>
      <c r="BAI3" s="827"/>
      <c r="BAJ3" s="827"/>
      <c r="BAK3" s="827"/>
      <c r="BAL3" s="827"/>
      <c r="BAM3" s="827"/>
      <c r="BAN3" s="827"/>
      <c r="BAO3" s="827"/>
      <c r="BAP3" s="827"/>
      <c r="BAQ3" s="827"/>
      <c r="BAR3" s="827"/>
      <c r="BAS3" s="827"/>
      <c r="BAT3" s="827"/>
      <c r="BAU3" s="827"/>
      <c r="BAV3" s="827"/>
      <c r="BAW3" s="827"/>
      <c r="BAX3" s="827"/>
      <c r="BAY3" s="827"/>
      <c r="BAZ3" s="827"/>
      <c r="BBA3" s="827"/>
      <c r="BBB3" s="827"/>
      <c r="BBC3" s="827"/>
      <c r="BBD3" s="827"/>
      <c r="BBE3" s="827"/>
      <c r="BBF3" s="827"/>
      <c r="BBG3" s="827"/>
      <c r="BBH3" s="827"/>
      <c r="BBI3" s="827"/>
      <c r="BBJ3" s="827"/>
      <c r="BBK3" s="827"/>
      <c r="BBL3" s="827"/>
      <c r="BBM3" s="827"/>
      <c r="BBN3" s="827"/>
      <c r="BBO3" s="827"/>
      <c r="BBP3" s="827"/>
      <c r="BBQ3" s="827"/>
      <c r="BBR3" s="827"/>
      <c r="BBS3" s="827"/>
      <c r="BBT3" s="827"/>
      <c r="BBU3" s="827"/>
      <c r="BBV3" s="827"/>
      <c r="BBW3" s="827"/>
      <c r="BBX3" s="827"/>
      <c r="BBY3" s="827"/>
      <c r="BBZ3" s="827"/>
      <c r="BCA3" s="827"/>
      <c r="BCB3" s="827"/>
      <c r="BCC3" s="827"/>
      <c r="BCD3" s="827"/>
      <c r="BCE3" s="827"/>
      <c r="BCF3" s="827"/>
      <c r="BCG3" s="827"/>
      <c r="BCH3" s="827"/>
      <c r="BCI3" s="827"/>
      <c r="BCJ3" s="827"/>
      <c r="BCK3" s="827"/>
      <c r="BCL3" s="827"/>
      <c r="BCM3" s="827"/>
      <c r="BCN3" s="827"/>
      <c r="BCO3" s="827"/>
      <c r="BCP3" s="827"/>
      <c r="BCQ3" s="827"/>
      <c r="BCR3" s="827"/>
      <c r="BCS3" s="827"/>
      <c r="BCT3" s="827"/>
      <c r="BCU3" s="827"/>
      <c r="BCV3" s="827"/>
      <c r="BCW3" s="827"/>
      <c r="BCX3" s="827"/>
      <c r="BCY3" s="827"/>
      <c r="BCZ3" s="827"/>
      <c r="BDA3" s="827"/>
      <c r="BDB3" s="827"/>
      <c r="BDC3" s="827"/>
      <c r="BDD3" s="827"/>
      <c r="BDE3" s="827"/>
      <c r="BDF3" s="827"/>
      <c r="BDG3" s="827"/>
      <c r="BDH3" s="827"/>
      <c r="BDI3" s="827"/>
      <c r="BDJ3" s="827"/>
      <c r="BDK3" s="827"/>
      <c r="BDL3" s="827"/>
      <c r="BDM3" s="827"/>
      <c r="BDN3" s="827"/>
      <c r="BDO3" s="827"/>
      <c r="BDP3" s="827"/>
      <c r="BDQ3" s="827"/>
      <c r="BDR3" s="827"/>
      <c r="BDS3" s="827"/>
      <c r="BDT3" s="827"/>
      <c r="BDU3" s="827"/>
      <c r="BDV3" s="827"/>
      <c r="BDW3" s="827"/>
      <c r="BDX3" s="827"/>
      <c r="BDY3" s="827"/>
      <c r="BDZ3" s="827"/>
      <c r="BEA3" s="827"/>
      <c r="BEB3" s="827"/>
      <c r="BEC3" s="827"/>
      <c r="BED3" s="827"/>
      <c r="BEE3" s="827"/>
      <c r="BEF3" s="827"/>
      <c r="BEG3" s="827"/>
      <c r="BEH3" s="827"/>
      <c r="BEI3" s="827"/>
      <c r="BEJ3" s="827"/>
      <c r="BEK3" s="827"/>
      <c r="BEL3" s="827"/>
      <c r="BEM3" s="827"/>
      <c r="BEN3" s="827"/>
      <c r="BEO3" s="827"/>
      <c r="BEP3" s="827"/>
      <c r="BEQ3" s="827"/>
      <c r="BER3" s="827"/>
      <c r="BES3" s="827"/>
      <c r="BET3" s="827"/>
      <c r="BEU3" s="827"/>
      <c r="BEV3" s="827"/>
      <c r="BEW3" s="827"/>
      <c r="BEX3" s="827"/>
      <c r="BEY3" s="827"/>
      <c r="BEZ3" s="827"/>
      <c r="BFA3" s="827"/>
      <c r="BFB3" s="827"/>
      <c r="BFC3" s="827"/>
      <c r="BFD3" s="827"/>
      <c r="BFE3" s="827"/>
      <c r="BFF3" s="827"/>
      <c r="BFG3" s="827"/>
      <c r="BFH3" s="827"/>
      <c r="BFI3" s="827"/>
      <c r="BFJ3" s="827"/>
      <c r="BFK3" s="827"/>
      <c r="BFL3" s="827"/>
      <c r="BFM3" s="827"/>
      <c r="BFN3" s="827"/>
      <c r="BFO3" s="827"/>
      <c r="BFP3" s="827"/>
      <c r="BFQ3" s="827"/>
      <c r="BFR3" s="827"/>
      <c r="BFS3" s="827"/>
      <c r="BFT3" s="827"/>
      <c r="BFU3" s="827"/>
      <c r="BFV3" s="827"/>
      <c r="BFW3" s="827"/>
      <c r="BFX3" s="827"/>
      <c r="BFY3" s="827"/>
      <c r="BFZ3" s="827"/>
      <c r="BGA3" s="827"/>
      <c r="BGB3" s="827"/>
      <c r="BGC3" s="827"/>
      <c r="BGD3" s="827"/>
      <c r="BGE3" s="827"/>
      <c r="BGF3" s="827"/>
      <c r="BGG3" s="827"/>
      <c r="BGH3" s="827"/>
      <c r="BGI3" s="827"/>
      <c r="BGJ3" s="827"/>
      <c r="BGK3" s="827"/>
      <c r="BGL3" s="827"/>
      <c r="BGM3" s="827"/>
      <c r="BGN3" s="827"/>
      <c r="BGO3" s="827"/>
      <c r="BGP3" s="827"/>
      <c r="BGQ3" s="827"/>
      <c r="BGR3" s="827"/>
      <c r="BGS3" s="827"/>
      <c r="BGT3" s="827"/>
      <c r="BGU3" s="827"/>
      <c r="BGV3" s="827"/>
      <c r="BGW3" s="827"/>
      <c r="BGX3" s="827"/>
      <c r="BGY3" s="827"/>
      <c r="BGZ3" s="827"/>
      <c r="BHA3" s="827"/>
      <c r="BHB3" s="827"/>
      <c r="BHC3" s="827"/>
      <c r="BHD3" s="827"/>
      <c r="BHE3" s="827"/>
      <c r="BHF3" s="827"/>
      <c r="BHG3" s="827"/>
      <c r="BHH3" s="827"/>
      <c r="BHI3" s="827"/>
      <c r="BHJ3" s="827"/>
      <c r="BHK3" s="827"/>
      <c r="BHL3" s="827"/>
      <c r="BHM3" s="827"/>
      <c r="BHN3" s="827"/>
      <c r="BHO3" s="827"/>
      <c r="BHP3" s="827"/>
      <c r="BHQ3" s="827"/>
      <c r="BHR3" s="827"/>
      <c r="BHS3" s="827"/>
      <c r="BHT3" s="827"/>
      <c r="BHU3" s="827"/>
      <c r="BHV3" s="827"/>
      <c r="BHW3" s="827"/>
      <c r="BHX3" s="827"/>
      <c r="BHY3" s="827"/>
      <c r="BHZ3" s="827"/>
      <c r="BIA3" s="827"/>
      <c r="BIB3" s="827"/>
      <c r="BIC3" s="827"/>
      <c r="BID3" s="827"/>
      <c r="BIE3" s="827"/>
      <c r="BIF3" s="827"/>
      <c r="BIG3" s="827"/>
      <c r="BIH3" s="827"/>
      <c r="BII3" s="827"/>
      <c r="BIJ3" s="827"/>
      <c r="BIK3" s="827"/>
      <c r="BIL3" s="827"/>
      <c r="BIM3" s="827"/>
      <c r="BIN3" s="827"/>
      <c r="BIO3" s="827"/>
      <c r="BIP3" s="827"/>
      <c r="BIQ3" s="827"/>
      <c r="BIR3" s="827"/>
      <c r="BIS3" s="827"/>
      <c r="BIT3" s="827"/>
      <c r="BIU3" s="827"/>
      <c r="BIV3" s="827"/>
      <c r="BIW3" s="827"/>
      <c r="BIX3" s="827"/>
      <c r="BIY3" s="827"/>
      <c r="BIZ3" s="827"/>
      <c r="BJA3" s="827"/>
      <c r="BJB3" s="827"/>
      <c r="BJC3" s="827"/>
      <c r="BJD3" s="827"/>
      <c r="BJE3" s="827"/>
      <c r="BJF3" s="827"/>
      <c r="BJG3" s="827"/>
      <c r="BJH3" s="827"/>
      <c r="BJI3" s="827"/>
      <c r="BJJ3" s="827"/>
      <c r="BJK3" s="827"/>
      <c r="BJL3" s="827"/>
      <c r="BJM3" s="827"/>
      <c r="BJN3" s="827"/>
      <c r="BJO3" s="827"/>
      <c r="BJP3" s="827"/>
      <c r="BJQ3" s="827"/>
      <c r="BJR3" s="827"/>
      <c r="BJS3" s="827"/>
      <c r="BJT3" s="827"/>
      <c r="BJU3" s="827"/>
      <c r="BJV3" s="827"/>
      <c r="BJW3" s="827"/>
      <c r="BJX3" s="827"/>
      <c r="BJY3" s="827"/>
      <c r="BJZ3" s="827"/>
      <c r="BKA3" s="827"/>
      <c r="BKB3" s="827"/>
      <c r="BKC3" s="827"/>
      <c r="BKD3" s="827"/>
      <c r="BKE3" s="827"/>
      <c r="BKF3" s="827"/>
      <c r="BKG3" s="827"/>
      <c r="BKH3" s="827"/>
      <c r="BKI3" s="827"/>
      <c r="BKJ3" s="827"/>
      <c r="BKK3" s="827"/>
      <c r="BKL3" s="827"/>
      <c r="BKM3" s="827"/>
      <c r="BKN3" s="827"/>
      <c r="BKO3" s="827"/>
      <c r="BKP3" s="827"/>
      <c r="BKQ3" s="827"/>
      <c r="BKR3" s="827"/>
      <c r="BKS3" s="827"/>
      <c r="BKT3" s="827"/>
      <c r="BKU3" s="827"/>
      <c r="BKV3" s="827"/>
      <c r="BKW3" s="827"/>
      <c r="BKX3" s="827"/>
      <c r="BKY3" s="827"/>
      <c r="BKZ3" s="827"/>
      <c r="BLA3" s="827"/>
      <c r="BLB3" s="827"/>
      <c r="BLC3" s="827"/>
      <c r="BLD3" s="827"/>
      <c r="BLE3" s="827"/>
      <c r="BLF3" s="827"/>
      <c r="BLG3" s="827"/>
      <c r="BLH3" s="827"/>
      <c r="BLI3" s="827"/>
      <c r="BLJ3" s="827"/>
      <c r="BLK3" s="827"/>
      <c r="BLL3" s="827"/>
      <c r="BLM3" s="827"/>
      <c r="BLN3" s="827"/>
      <c r="BLO3" s="827"/>
      <c r="BLP3" s="827"/>
      <c r="BLQ3" s="827"/>
      <c r="BLR3" s="827"/>
      <c r="BLS3" s="827"/>
      <c r="BLT3" s="827"/>
      <c r="BLU3" s="827"/>
      <c r="BLV3" s="827"/>
      <c r="BLW3" s="827"/>
      <c r="BLX3" s="827"/>
      <c r="BLY3" s="827"/>
      <c r="BLZ3" s="827"/>
      <c r="BMA3" s="827"/>
      <c r="BMB3" s="827"/>
      <c r="BMC3" s="827"/>
      <c r="BMD3" s="827"/>
      <c r="BME3" s="827"/>
      <c r="BMF3" s="827"/>
      <c r="BMG3" s="827"/>
      <c r="BMH3" s="827"/>
      <c r="BMI3" s="827"/>
      <c r="BMJ3" s="827"/>
      <c r="BMK3" s="827"/>
      <c r="BML3" s="827"/>
      <c r="BMM3" s="827"/>
      <c r="BMN3" s="827"/>
      <c r="BMO3" s="827"/>
      <c r="BMP3" s="827"/>
      <c r="BMQ3" s="827"/>
      <c r="BMR3" s="827"/>
      <c r="BMS3" s="827"/>
      <c r="BMT3" s="827"/>
      <c r="BMU3" s="827"/>
      <c r="BMV3" s="827"/>
      <c r="BMW3" s="827"/>
      <c r="BMX3" s="827"/>
      <c r="BMY3" s="827"/>
      <c r="BMZ3" s="827"/>
      <c r="BNA3" s="827"/>
      <c r="BNB3" s="827"/>
      <c r="BNC3" s="827"/>
      <c r="BND3" s="827"/>
      <c r="BNE3" s="827"/>
      <c r="BNF3" s="827"/>
      <c r="BNG3" s="827"/>
      <c r="BNH3" s="827"/>
      <c r="BNI3" s="827"/>
      <c r="BNJ3" s="827"/>
      <c r="BNK3" s="827"/>
      <c r="BNL3" s="827"/>
      <c r="BNM3" s="827"/>
      <c r="BNN3" s="827"/>
      <c r="BNO3" s="827"/>
      <c r="BNP3" s="827"/>
      <c r="BNQ3" s="827"/>
      <c r="BNR3" s="827"/>
      <c r="BNS3" s="827"/>
      <c r="BNT3" s="827"/>
      <c r="BNU3" s="827"/>
      <c r="BNV3" s="827"/>
      <c r="BNW3" s="827"/>
      <c r="BNX3" s="827"/>
      <c r="BNY3" s="827"/>
      <c r="BNZ3" s="827"/>
      <c r="BOA3" s="827"/>
      <c r="BOB3" s="827"/>
      <c r="BOC3" s="827"/>
      <c r="BOD3" s="827"/>
      <c r="BOE3" s="827"/>
      <c r="BOF3" s="827"/>
      <c r="BOG3" s="827"/>
      <c r="BOH3" s="827"/>
      <c r="BOI3" s="827"/>
      <c r="BOJ3" s="827"/>
      <c r="BOK3" s="827"/>
      <c r="BOL3" s="827"/>
      <c r="BOM3" s="827"/>
      <c r="BON3" s="827"/>
      <c r="BOO3" s="827"/>
      <c r="BOP3" s="827"/>
      <c r="BOQ3" s="827"/>
      <c r="BOR3" s="827"/>
      <c r="BOS3" s="827"/>
      <c r="BOT3" s="827"/>
      <c r="BOU3" s="827"/>
      <c r="BOV3" s="827"/>
      <c r="BOW3" s="827"/>
      <c r="BOX3" s="827"/>
      <c r="BOY3" s="827"/>
      <c r="BOZ3" s="827"/>
      <c r="BPA3" s="827"/>
      <c r="BPB3" s="827"/>
      <c r="BPC3" s="827"/>
      <c r="BPD3" s="827"/>
      <c r="BPE3" s="827"/>
      <c r="BPF3" s="827"/>
      <c r="BPG3" s="827"/>
      <c r="BPH3" s="827"/>
      <c r="BPI3" s="827"/>
      <c r="BPJ3" s="827"/>
      <c r="BPK3" s="827"/>
      <c r="BPL3" s="827"/>
      <c r="BPM3" s="827"/>
      <c r="BPN3" s="827"/>
      <c r="BPO3" s="827"/>
      <c r="BPP3" s="827"/>
      <c r="BPQ3" s="827"/>
      <c r="BPR3" s="827"/>
      <c r="BPS3" s="827"/>
      <c r="BPT3" s="827"/>
      <c r="BPU3" s="827"/>
      <c r="BPV3" s="827"/>
      <c r="BPW3" s="827"/>
      <c r="BPX3" s="827"/>
      <c r="BPY3" s="827"/>
      <c r="BPZ3" s="827"/>
      <c r="BQA3" s="827"/>
      <c r="BQB3" s="827"/>
      <c r="BQC3" s="827"/>
      <c r="BQD3" s="827"/>
      <c r="BQE3" s="827"/>
      <c r="BQF3" s="827"/>
      <c r="BQG3" s="827"/>
      <c r="BQH3" s="827"/>
      <c r="BQI3" s="827"/>
      <c r="BQJ3" s="827"/>
      <c r="BQK3" s="827"/>
      <c r="BQL3" s="827"/>
      <c r="BQM3" s="827"/>
      <c r="BQN3" s="827"/>
      <c r="BQO3" s="827"/>
      <c r="BQP3" s="827"/>
      <c r="BQQ3" s="827"/>
      <c r="BQR3" s="827"/>
      <c r="BQS3" s="827"/>
      <c r="BQT3" s="827"/>
      <c r="BQU3" s="827"/>
      <c r="BQV3" s="827"/>
      <c r="BQW3" s="827"/>
      <c r="BQX3" s="827"/>
      <c r="BQY3" s="827"/>
      <c r="BQZ3" s="827"/>
      <c r="BRA3" s="827"/>
      <c r="BRB3" s="827"/>
      <c r="BRC3" s="827"/>
      <c r="BRD3" s="827"/>
      <c r="BRE3" s="827"/>
      <c r="BRF3" s="827"/>
      <c r="BRG3" s="827"/>
      <c r="BRH3" s="827"/>
      <c r="BRI3" s="827"/>
      <c r="BRJ3" s="827"/>
      <c r="BRK3" s="827"/>
      <c r="BRL3" s="827"/>
      <c r="BRM3" s="827"/>
      <c r="BRN3" s="827"/>
      <c r="BRO3" s="827"/>
      <c r="BRP3" s="827"/>
      <c r="BRQ3" s="827"/>
      <c r="BRR3" s="827"/>
      <c r="BRS3" s="827"/>
      <c r="BRT3" s="827"/>
      <c r="BRU3" s="827"/>
      <c r="BRV3" s="827"/>
      <c r="BRW3" s="827"/>
      <c r="BRX3" s="827"/>
      <c r="BRY3" s="827"/>
      <c r="BRZ3" s="827"/>
      <c r="BSA3" s="827"/>
      <c r="BSB3" s="827"/>
      <c r="BSC3" s="827"/>
      <c r="BSD3" s="827"/>
      <c r="BSE3" s="827"/>
      <c r="BSF3" s="827"/>
      <c r="BSG3" s="827"/>
      <c r="BSH3" s="827"/>
      <c r="BSI3" s="827"/>
      <c r="BSJ3" s="827"/>
      <c r="BSK3" s="827"/>
      <c r="BSL3" s="827"/>
      <c r="BSM3" s="827"/>
      <c r="BSN3" s="827"/>
      <c r="BSO3" s="827"/>
      <c r="BSP3" s="827"/>
      <c r="BSQ3" s="827"/>
      <c r="BSR3" s="827"/>
      <c r="BSS3" s="827"/>
      <c r="BST3" s="827"/>
    </row>
    <row r="4" spans="1:1866" s="824" customFormat="1" ht="21.9" customHeight="1" x14ac:dyDescent="0.25">
      <c r="A4" s="827"/>
      <c r="B4" s="3152" t="s">
        <v>853</v>
      </c>
      <c r="C4" s="3153"/>
      <c r="D4" s="3154"/>
      <c r="E4" s="1456"/>
      <c r="F4" s="1457">
        <f>E47</f>
        <v>0</v>
      </c>
      <c r="G4" s="1457">
        <f t="shared" ref="G4:V4" si="1">F47</f>
        <v>0</v>
      </c>
      <c r="H4" s="1457">
        <f t="shared" si="1"/>
        <v>0</v>
      </c>
      <c r="I4" s="1457">
        <f t="shared" si="1"/>
        <v>0</v>
      </c>
      <c r="J4" s="1457">
        <f t="shared" si="1"/>
        <v>0</v>
      </c>
      <c r="K4" s="1457">
        <f t="shared" si="1"/>
        <v>0</v>
      </c>
      <c r="L4" s="1457">
        <f t="shared" si="1"/>
        <v>0</v>
      </c>
      <c r="M4" s="1457">
        <f t="shared" si="1"/>
        <v>0</v>
      </c>
      <c r="N4" s="1457">
        <f t="shared" si="1"/>
        <v>0</v>
      </c>
      <c r="O4" s="1457">
        <f t="shared" si="1"/>
        <v>0</v>
      </c>
      <c r="P4" s="1457">
        <f t="shared" si="1"/>
        <v>0</v>
      </c>
      <c r="Q4" s="1457">
        <f t="shared" si="1"/>
        <v>0</v>
      </c>
      <c r="R4" s="1457">
        <f t="shared" si="1"/>
        <v>0</v>
      </c>
      <c r="S4" s="1457">
        <f t="shared" si="1"/>
        <v>0</v>
      </c>
      <c r="T4" s="1457">
        <f t="shared" si="1"/>
        <v>0</v>
      </c>
      <c r="U4" s="1457">
        <f t="shared" si="1"/>
        <v>0</v>
      </c>
      <c r="V4" s="1458">
        <f t="shared" si="1"/>
        <v>0</v>
      </c>
      <c r="W4" s="827"/>
      <c r="X4" s="827"/>
      <c r="Y4" s="827"/>
      <c r="Z4" s="827"/>
      <c r="AA4" s="866"/>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7"/>
      <c r="BJ4" s="827"/>
      <c r="BK4" s="827"/>
      <c r="BL4" s="827"/>
      <c r="BM4" s="827"/>
      <c r="BN4" s="827"/>
      <c r="BO4" s="827"/>
      <c r="BP4" s="827"/>
      <c r="BQ4" s="827"/>
      <c r="BR4" s="827"/>
      <c r="BS4" s="827"/>
      <c r="BT4" s="827"/>
      <c r="BU4" s="827"/>
      <c r="BV4" s="827"/>
      <c r="BW4" s="827"/>
      <c r="BX4" s="827"/>
      <c r="BY4" s="827"/>
      <c r="BZ4" s="827"/>
      <c r="CA4" s="827"/>
      <c r="CB4" s="827"/>
      <c r="CC4" s="827"/>
      <c r="CD4" s="827"/>
      <c r="CE4" s="827"/>
      <c r="CF4" s="827"/>
      <c r="CG4" s="827"/>
      <c r="CH4" s="827"/>
      <c r="CI4" s="827"/>
      <c r="CJ4" s="827"/>
      <c r="CK4" s="827"/>
      <c r="CL4" s="827"/>
      <c r="CM4" s="827"/>
      <c r="CN4" s="827"/>
      <c r="CO4" s="827"/>
      <c r="CP4" s="827"/>
      <c r="CQ4" s="827"/>
      <c r="CR4" s="827"/>
      <c r="CS4" s="827"/>
      <c r="CT4" s="827"/>
      <c r="CU4" s="827"/>
      <c r="CV4" s="827"/>
      <c r="CW4" s="827"/>
      <c r="CX4" s="827"/>
      <c r="CY4" s="827"/>
      <c r="CZ4" s="827"/>
      <c r="DA4" s="827"/>
      <c r="DB4" s="827"/>
      <c r="DC4" s="827"/>
      <c r="DD4" s="827"/>
      <c r="DE4" s="827"/>
      <c r="DF4" s="827"/>
      <c r="DG4" s="827"/>
      <c r="DH4" s="827"/>
      <c r="DI4" s="827"/>
      <c r="DJ4" s="827"/>
      <c r="DK4" s="827"/>
      <c r="DL4" s="827"/>
      <c r="DM4" s="827"/>
      <c r="DN4" s="827"/>
      <c r="DO4" s="827"/>
      <c r="DP4" s="827"/>
      <c r="DQ4" s="827"/>
      <c r="DR4" s="827"/>
      <c r="DS4" s="827"/>
      <c r="DT4" s="827"/>
      <c r="DU4" s="827"/>
      <c r="DV4" s="827"/>
      <c r="DW4" s="827"/>
      <c r="DX4" s="827"/>
      <c r="DY4" s="827"/>
      <c r="DZ4" s="827"/>
      <c r="EA4" s="827"/>
      <c r="EB4" s="827"/>
      <c r="EC4" s="827"/>
      <c r="ED4" s="827"/>
      <c r="EE4" s="827"/>
      <c r="EF4" s="827"/>
      <c r="EG4" s="827"/>
      <c r="EH4" s="827"/>
      <c r="EI4" s="827"/>
      <c r="EJ4" s="827"/>
      <c r="EK4" s="827"/>
      <c r="EL4" s="827"/>
      <c r="EM4" s="827"/>
      <c r="EN4" s="827"/>
      <c r="EO4" s="827"/>
      <c r="EP4" s="827"/>
      <c r="EQ4" s="827"/>
      <c r="ER4" s="827"/>
      <c r="ES4" s="827"/>
      <c r="ET4" s="827"/>
      <c r="EU4" s="827"/>
      <c r="EV4" s="827"/>
      <c r="EW4" s="827"/>
      <c r="EX4" s="827"/>
      <c r="EY4" s="827"/>
      <c r="EZ4" s="827"/>
      <c r="FA4" s="827"/>
      <c r="FB4" s="827"/>
      <c r="FC4" s="827"/>
      <c r="FD4" s="827"/>
      <c r="FE4" s="827"/>
      <c r="FF4" s="827"/>
      <c r="FG4" s="827"/>
      <c r="FH4" s="827"/>
      <c r="FI4" s="827"/>
      <c r="FJ4" s="827"/>
      <c r="FK4" s="827"/>
      <c r="FL4" s="827"/>
      <c r="FM4" s="827"/>
      <c r="FN4" s="827"/>
      <c r="FO4" s="827"/>
      <c r="FP4" s="827"/>
      <c r="FQ4" s="827"/>
      <c r="FR4" s="827"/>
      <c r="FS4" s="827"/>
      <c r="FT4" s="827"/>
      <c r="FU4" s="827"/>
      <c r="FV4" s="827"/>
      <c r="FW4" s="827"/>
      <c r="FX4" s="827"/>
      <c r="FY4" s="827"/>
      <c r="FZ4" s="827"/>
      <c r="GA4" s="827"/>
      <c r="GB4" s="827"/>
      <c r="GC4" s="827"/>
      <c r="GD4" s="827"/>
      <c r="GE4" s="827"/>
      <c r="GF4" s="827"/>
      <c r="GG4" s="827"/>
      <c r="GH4" s="827"/>
      <c r="GI4" s="827"/>
      <c r="GJ4" s="827"/>
      <c r="GK4" s="827"/>
      <c r="GL4" s="827"/>
      <c r="GM4" s="827"/>
      <c r="GN4" s="827"/>
      <c r="GO4" s="827"/>
      <c r="GP4" s="827"/>
      <c r="GQ4" s="827"/>
      <c r="GR4" s="827"/>
      <c r="GS4" s="827"/>
      <c r="GT4" s="827"/>
      <c r="GU4" s="827"/>
      <c r="GV4" s="827"/>
      <c r="GW4" s="827"/>
      <c r="GX4" s="827"/>
      <c r="GY4" s="827"/>
      <c r="GZ4" s="827"/>
      <c r="HA4" s="827"/>
      <c r="HB4" s="827"/>
      <c r="HC4" s="827"/>
      <c r="HD4" s="827"/>
      <c r="HE4" s="827"/>
      <c r="HF4" s="827"/>
      <c r="HG4" s="827"/>
      <c r="HH4" s="827"/>
      <c r="HI4" s="827"/>
      <c r="HJ4" s="827"/>
      <c r="HK4" s="827"/>
      <c r="HL4" s="827"/>
      <c r="HM4" s="827"/>
      <c r="HN4" s="827"/>
      <c r="HO4" s="827"/>
      <c r="HP4" s="827"/>
      <c r="HQ4" s="827"/>
      <c r="HR4" s="827"/>
      <c r="HS4" s="827"/>
      <c r="HT4" s="827"/>
      <c r="HU4" s="827"/>
      <c r="HV4" s="827"/>
      <c r="HW4" s="827"/>
      <c r="HX4" s="827"/>
      <c r="HY4" s="827"/>
      <c r="HZ4" s="827"/>
      <c r="IA4" s="827"/>
      <c r="IB4" s="827"/>
      <c r="IC4" s="827"/>
      <c r="ID4" s="827"/>
      <c r="IE4" s="827"/>
      <c r="IF4" s="827"/>
      <c r="IG4" s="827"/>
      <c r="IH4" s="827"/>
      <c r="II4" s="827"/>
      <c r="IJ4" s="827"/>
      <c r="IK4" s="827"/>
      <c r="IL4" s="827"/>
      <c r="IM4" s="827"/>
      <c r="IN4" s="827"/>
      <c r="IO4" s="827"/>
      <c r="IP4" s="827"/>
      <c r="IQ4" s="827"/>
      <c r="IR4" s="827"/>
      <c r="IS4" s="827"/>
      <c r="IT4" s="827"/>
      <c r="IU4" s="827"/>
      <c r="IV4" s="827"/>
      <c r="IW4" s="827"/>
      <c r="IX4" s="827"/>
      <c r="IY4" s="827"/>
      <c r="IZ4" s="827"/>
      <c r="JA4" s="827"/>
      <c r="JB4" s="827"/>
      <c r="JC4" s="827"/>
      <c r="JD4" s="827"/>
      <c r="JE4" s="827"/>
      <c r="JF4" s="827"/>
      <c r="JG4" s="827"/>
      <c r="JH4" s="827"/>
      <c r="JI4" s="827"/>
      <c r="JJ4" s="827"/>
      <c r="JK4" s="827"/>
      <c r="JL4" s="827"/>
      <c r="JM4" s="827"/>
      <c r="JN4" s="827"/>
      <c r="JO4" s="827"/>
      <c r="JP4" s="827"/>
      <c r="JQ4" s="827"/>
      <c r="JR4" s="827"/>
      <c r="JS4" s="827"/>
      <c r="JT4" s="827"/>
      <c r="JU4" s="827"/>
      <c r="JV4" s="827"/>
      <c r="JW4" s="827"/>
      <c r="JX4" s="827"/>
      <c r="JY4" s="827"/>
      <c r="JZ4" s="827"/>
      <c r="KA4" s="827"/>
      <c r="KB4" s="827"/>
      <c r="KC4" s="827"/>
      <c r="KD4" s="827"/>
      <c r="KE4" s="827"/>
      <c r="KF4" s="827"/>
      <c r="KG4" s="827"/>
      <c r="KH4" s="827"/>
      <c r="KI4" s="827"/>
      <c r="KJ4" s="827"/>
      <c r="KK4" s="827"/>
      <c r="KL4" s="827"/>
      <c r="KM4" s="827"/>
      <c r="KN4" s="827"/>
      <c r="KO4" s="827"/>
      <c r="KP4" s="827"/>
      <c r="KQ4" s="827"/>
      <c r="KR4" s="827"/>
      <c r="KS4" s="827"/>
      <c r="KT4" s="827"/>
      <c r="KU4" s="827"/>
      <c r="KV4" s="827"/>
      <c r="KW4" s="827"/>
      <c r="KX4" s="827"/>
      <c r="KY4" s="827"/>
      <c r="KZ4" s="827"/>
      <c r="LA4" s="827"/>
      <c r="LB4" s="827"/>
      <c r="LC4" s="827"/>
      <c r="LD4" s="827"/>
      <c r="LE4" s="827"/>
      <c r="LF4" s="827"/>
      <c r="LG4" s="827"/>
      <c r="LH4" s="827"/>
      <c r="LI4" s="827"/>
      <c r="LJ4" s="827"/>
      <c r="LK4" s="827"/>
      <c r="LL4" s="827"/>
      <c r="LM4" s="827"/>
      <c r="LN4" s="827"/>
      <c r="LO4" s="827"/>
      <c r="LP4" s="827"/>
      <c r="LQ4" s="827"/>
      <c r="LR4" s="827"/>
      <c r="LS4" s="827"/>
      <c r="LT4" s="827"/>
      <c r="LU4" s="827"/>
      <c r="LV4" s="827"/>
      <c r="LW4" s="827"/>
      <c r="LX4" s="827"/>
      <c r="LY4" s="827"/>
      <c r="LZ4" s="827"/>
      <c r="MA4" s="827"/>
      <c r="MB4" s="827"/>
      <c r="MC4" s="827"/>
      <c r="MD4" s="827"/>
      <c r="ME4" s="827"/>
      <c r="MF4" s="827"/>
      <c r="MG4" s="827"/>
      <c r="MH4" s="827"/>
      <c r="MI4" s="827"/>
      <c r="MJ4" s="827"/>
      <c r="MK4" s="827"/>
      <c r="ML4" s="827"/>
      <c r="MM4" s="827"/>
      <c r="MN4" s="827"/>
      <c r="MO4" s="827"/>
      <c r="MP4" s="827"/>
      <c r="MQ4" s="827"/>
      <c r="MR4" s="827"/>
      <c r="MS4" s="827"/>
      <c r="MT4" s="827"/>
      <c r="MU4" s="827"/>
      <c r="MV4" s="827"/>
      <c r="MW4" s="827"/>
      <c r="MX4" s="827"/>
      <c r="MY4" s="827"/>
      <c r="MZ4" s="827"/>
      <c r="NA4" s="827"/>
      <c r="NB4" s="827"/>
      <c r="NC4" s="827"/>
      <c r="ND4" s="827"/>
      <c r="NE4" s="827"/>
      <c r="NF4" s="827"/>
      <c r="NG4" s="827"/>
      <c r="NH4" s="827"/>
      <c r="NI4" s="827"/>
      <c r="NJ4" s="827"/>
      <c r="NK4" s="827"/>
      <c r="NL4" s="827"/>
      <c r="NM4" s="827"/>
      <c r="NN4" s="827"/>
      <c r="NO4" s="827"/>
      <c r="NP4" s="827"/>
      <c r="NQ4" s="827"/>
      <c r="NR4" s="827"/>
      <c r="NS4" s="827"/>
      <c r="NT4" s="827"/>
      <c r="NU4" s="827"/>
      <c r="NV4" s="827"/>
      <c r="NW4" s="827"/>
      <c r="NX4" s="827"/>
      <c r="NY4" s="827"/>
      <c r="NZ4" s="827"/>
      <c r="OA4" s="827"/>
      <c r="OB4" s="827"/>
      <c r="OC4" s="827"/>
      <c r="OD4" s="827"/>
      <c r="OE4" s="827"/>
      <c r="OF4" s="827"/>
      <c r="OG4" s="827"/>
      <c r="OH4" s="827"/>
      <c r="OI4" s="827"/>
      <c r="OJ4" s="827"/>
      <c r="OK4" s="827"/>
      <c r="OL4" s="827"/>
      <c r="OM4" s="827"/>
      <c r="ON4" s="827"/>
      <c r="OO4" s="827"/>
      <c r="OP4" s="827"/>
      <c r="OQ4" s="827"/>
      <c r="OR4" s="827"/>
      <c r="OS4" s="827"/>
      <c r="OT4" s="827"/>
      <c r="OU4" s="827"/>
      <c r="OV4" s="827"/>
      <c r="OW4" s="827"/>
      <c r="OX4" s="827"/>
      <c r="OY4" s="827"/>
      <c r="OZ4" s="827"/>
      <c r="PA4" s="827"/>
      <c r="PB4" s="827"/>
      <c r="PC4" s="827"/>
      <c r="PD4" s="827"/>
      <c r="PE4" s="827"/>
      <c r="PF4" s="827"/>
      <c r="PG4" s="827"/>
      <c r="PH4" s="827"/>
      <c r="PI4" s="827"/>
      <c r="PJ4" s="827"/>
      <c r="PK4" s="827"/>
      <c r="PL4" s="827"/>
      <c r="PM4" s="827"/>
      <c r="PN4" s="827"/>
      <c r="PO4" s="827"/>
      <c r="PP4" s="827"/>
      <c r="PQ4" s="827"/>
      <c r="PR4" s="827"/>
      <c r="PS4" s="827"/>
      <c r="PT4" s="827"/>
      <c r="PU4" s="827"/>
      <c r="PV4" s="827"/>
      <c r="PW4" s="827"/>
      <c r="PX4" s="827"/>
      <c r="PY4" s="827"/>
      <c r="PZ4" s="827"/>
      <c r="QA4" s="827"/>
      <c r="QB4" s="827"/>
      <c r="QC4" s="827"/>
      <c r="QD4" s="827"/>
      <c r="QE4" s="827"/>
      <c r="QF4" s="827"/>
      <c r="QG4" s="827"/>
      <c r="QH4" s="827"/>
      <c r="QI4" s="827"/>
      <c r="QJ4" s="827"/>
      <c r="QK4" s="827"/>
      <c r="QL4" s="827"/>
      <c r="QM4" s="827"/>
      <c r="QN4" s="827"/>
      <c r="QO4" s="827"/>
      <c r="QP4" s="827"/>
      <c r="QQ4" s="827"/>
      <c r="QR4" s="827"/>
      <c r="QS4" s="827"/>
      <c r="QT4" s="827"/>
      <c r="QU4" s="827"/>
      <c r="QV4" s="827"/>
      <c r="QW4" s="827"/>
      <c r="QX4" s="827"/>
      <c r="QY4" s="827"/>
      <c r="QZ4" s="827"/>
      <c r="RA4" s="827"/>
      <c r="RB4" s="827"/>
      <c r="RC4" s="827"/>
      <c r="RD4" s="827"/>
      <c r="RE4" s="827"/>
      <c r="RF4" s="827"/>
      <c r="RG4" s="827"/>
      <c r="RH4" s="827"/>
      <c r="RI4" s="827"/>
      <c r="RJ4" s="827"/>
      <c r="RK4" s="827"/>
      <c r="RL4" s="827"/>
      <c r="RM4" s="827"/>
      <c r="RN4" s="827"/>
      <c r="RO4" s="827"/>
      <c r="RP4" s="827"/>
      <c r="RQ4" s="827"/>
      <c r="RR4" s="827"/>
      <c r="RS4" s="827"/>
      <c r="RT4" s="827"/>
      <c r="RU4" s="827"/>
      <c r="RV4" s="827"/>
      <c r="RW4" s="827"/>
      <c r="RX4" s="827"/>
      <c r="RY4" s="827"/>
      <c r="RZ4" s="827"/>
      <c r="SA4" s="827"/>
      <c r="SB4" s="827"/>
      <c r="SC4" s="827"/>
      <c r="SD4" s="827"/>
      <c r="SE4" s="827"/>
      <c r="SF4" s="827"/>
      <c r="SG4" s="827"/>
      <c r="SH4" s="827"/>
      <c r="SI4" s="827"/>
      <c r="SJ4" s="827"/>
      <c r="SK4" s="827"/>
      <c r="SL4" s="827"/>
      <c r="SM4" s="827"/>
      <c r="SN4" s="827"/>
      <c r="SO4" s="827"/>
      <c r="SP4" s="827"/>
      <c r="SQ4" s="827"/>
      <c r="SR4" s="827"/>
      <c r="SS4" s="827"/>
      <c r="ST4" s="827"/>
      <c r="SU4" s="827"/>
      <c r="SV4" s="827"/>
      <c r="SW4" s="827"/>
      <c r="SX4" s="827"/>
      <c r="SY4" s="827"/>
      <c r="SZ4" s="827"/>
      <c r="TA4" s="827"/>
      <c r="TB4" s="827"/>
      <c r="TC4" s="827"/>
      <c r="TD4" s="827"/>
      <c r="TE4" s="827"/>
      <c r="TF4" s="827"/>
      <c r="TG4" s="827"/>
      <c r="TH4" s="827"/>
      <c r="TI4" s="827"/>
      <c r="TJ4" s="827"/>
      <c r="TK4" s="827"/>
      <c r="TL4" s="827"/>
      <c r="TM4" s="827"/>
      <c r="TN4" s="827"/>
      <c r="TO4" s="827"/>
      <c r="TP4" s="827"/>
      <c r="TQ4" s="827"/>
      <c r="TR4" s="827"/>
      <c r="TS4" s="827"/>
      <c r="TT4" s="827"/>
      <c r="TU4" s="827"/>
      <c r="TV4" s="827"/>
      <c r="TW4" s="827"/>
      <c r="TX4" s="827"/>
      <c r="TY4" s="827"/>
      <c r="TZ4" s="827"/>
      <c r="UA4" s="827"/>
      <c r="UB4" s="827"/>
      <c r="UC4" s="827"/>
      <c r="UD4" s="827"/>
      <c r="UE4" s="827"/>
      <c r="UF4" s="827"/>
      <c r="UG4" s="827"/>
      <c r="UH4" s="827"/>
      <c r="UI4" s="827"/>
      <c r="UJ4" s="827"/>
      <c r="UK4" s="827"/>
      <c r="UL4" s="827"/>
      <c r="UM4" s="827"/>
      <c r="UN4" s="827"/>
      <c r="UO4" s="827"/>
      <c r="UP4" s="827"/>
      <c r="UQ4" s="827"/>
      <c r="UR4" s="827"/>
      <c r="US4" s="827"/>
      <c r="UT4" s="827"/>
      <c r="UU4" s="827"/>
      <c r="UV4" s="827"/>
      <c r="UW4" s="827"/>
      <c r="UX4" s="827"/>
      <c r="UY4" s="827"/>
      <c r="UZ4" s="827"/>
      <c r="VA4" s="827"/>
      <c r="VB4" s="827"/>
      <c r="VC4" s="827"/>
      <c r="VD4" s="827"/>
      <c r="VE4" s="827"/>
      <c r="VF4" s="827"/>
      <c r="VG4" s="827"/>
      <c r="VH4" s="827"/>
      <c r="VI4" s="827"/>
      <c r="VJ4" s="827"/>
      <c r="VK4" s="827"/>
      <c r="VL4" s="827"/>
      <c r="VM4" s="827"/>
      <c r="VN4" s="827"/>
      <c r="VO4" s="827"/>
      <c r="VP4" s="827"/>
      <c r="VQ4" s="827"/>
      <c r="VR4" s="827"/>
      <c r="VS4" s="827"/>
      <c r="VT4" s="827"/>
      <c r="VU4" s="827"/>
      <c r="VV4" s="827"/>
      <c r="VW4" s="827"/>
      <c r="VX4" s="827"/>
      <c r="VY4" s="827"/>
      <c r="VZ4" s="827"/>
      <c r="WA4" s="827"/>
      <c r="WB4" s="827"/>
      <c r="WC4" s="827"/>
      <c r="WD4" s="827"/>
      <c r="WE4" s="827"/>
      <c r="WF4" s="827"/>
      <c r="WG4" s="827"/>
      <c r="WH4" s="827"/>
      <c r="WI4" s="827"/>
      <c r="WJ4" s="827"/>
      <c r="WK4" s="827"/>
      <c r="WL4" s="827"/>
      <c r="WM4" s="827"/>
      <c r="WN4" s="827"/>
      <c r="WO4" s="827"/>
      <c r="WP4" s="827"/>
      <c r="WQ4" s="827"/>
      <c r="WR4" s="827"/>
      <c r="WS4" s="827"/>
      <c r="WT4" s="827"/>
      <c r="WU4" s="827"/>
      <c r="WV4" s="827"/>
      <c r="WW4" s="827"/>
      <c r="WX4" s="827"/>
      <c r="WY4" s="827"/>
      <c r="WZ4" s="827"/>
      <c r="XA4" s="827"/>
      <c r="XB4" s="827"/>
      <c r="XC4" s="827"/>
      <c r="XD4" s="827"/>
      <c r="XE4" s="827"/>
      <c r="XF4" s="827"/>
      <c r="XG4" s="827"/>
      <c r="XH4" s="827"/>
      <c r="XI4" s="827"/>
      <c r="XJ4" s="827"/>
      <c r="XK4" s="827"/>
      <c r="XL4" s="827"/>
      <c r="XM4" s="827"/>
      <c r="XN4" s="827"/>
      <c r="XO4" s="827"/>
      <c r="XP4" s="827"/>
      <c r="XQ4" s="827"/>
      <c r="XR4" s="827"/>
      <c r="XS4" s="827"/>
      <c r="XT4" s="827"/>
      <c r="XU4" s="827"/>
      <c r="XV4" s="827"/>
      <c r="XW4" s="827"/>
      <c r="XX4" s="827"/>
      <c r="XY4" s="827"/>
      <c r="XZ4" s="827"/>
      <c r="YA4" s="827"/>
      <c r="YB4" s="827"/>
      <c r="YC4" s="827"/>
      <c r="YD4" s="827"/>
      <c r="YE4" s="827"/>
      <c r="YF4" s="827"/>
      <c r="YG4" s="827"/>
      <c r="YH4" s="827"/>
      <c r="YI4" s="827"/>
      <c r="YJ4" s="827"/>
      <c r="YK4" s="827"/>
      <c r="YL4" s="827"/>
      <c r="YM4" s="827"/>
      <c r="YN4" s="827"/>
      <c r="YO4" s="827"/>
      <c r="YP4" s="827"/>
      <c r="YQ4" s="827"/>
      <c r="YR4" s="827"/>
      <c r="YS4" s="827"/>
      <c r="YT4" s="827"/>
      <c r="YU4" s="827"/>
      <c r="YV4" s="827"/>
      <c r="YW4" s="827"/>
      <c r="YX4" s="827"/>
      <c r="YY4" s="827"/>
      <c r="YZ4" s="827"/>
      <c r="ZA4" s="827"/>
      <c r="ZB4" s="827"/>
      <c r="ZC4" s="827"/>
      <c r="ZD4" s="827"/>
      <c r="ZE4" s="827"/>
      <c r="ZF4" s="827"/>
      <c r="ZG4" s="827"/>
      <c r="ZH4" s="827"/>
      <c r="ZI4" s="827"/>
      <c r="ZJ4" s="827"/>
      <c r="ZK4" s="827"/>
      <c r="ZL4" s="827"/>
      <c r="ZM4" s="827"/>
      <c r="ZN4" s="827"/>
      <c r="ZO4" s="827"/>
      <c r="ZP4" s="827"/>
      <c r="ZQ4" s="827"/>
      <c r="ZR4" s="827"/>
      <c r="ZS4" s="827"/>
      <c r="ZT4" s="827"/>
      <c r="ZU4" s="827"/>
      <c r="ZV4" s="827"/>
      <c r="ZW4" s="827"/>
      <c r="ZX4" s="827"/>
      <c r="ZY4" s="827"/>
      <c r="ZZ4" s="827"/>
      <c r="AAA4" s="827"/>
      <c r="AAB4" s="827"/>
      <c r="AAC4" s="827"/>
      <c r="AAD4" s="827"/>
      <c r="AAE4" s="827"/>
      <c r="AAF4" s="827"/>
      <c r="AAG4" s="827"/>
      <c r="AAH4" s="827"/>
      <c r="AAI4" s="827"/>
      <c r="AAJ4" s="827"/>
      <c r="AAK4" s="827"/>
      <c r="AAL4" s="827"/>
      <c r="AAM4" s="827"/>
      <c r="AAN4" s="827"/>
      <c r="AAO4" s="827"/>
      <c r="AAP4" s="827"/>
      <c r="AAQ4" s="827"/>
      <c r="AAR4" s="827"/>
      <c r="AAS4" s="827"/>
      <c r="AAT4" s="827"/>
      <c r="AAU4" s="827"/>
      <c r="AAV4" s="827"/>
      <c r="AAW4" s="827"/>
      <c r="AAX4" s="827"/>
      <c r="AAY4" s="827"/>
      <c r="AAZ4" s="827"/>
      <c r="ABA4" s="827"/>
      <c r="ABB4" s="827"/>
      <c r="ABC4" s="827"/>
      <c r="ABD4" s="827"/>
      <c r="ABE4" s="827"/>
      <c r="ABF4" s="827"/>
      <c r="ABG4" s="827"/>
      <c r="ABH4" s="827"/>
      <c r="ABI4" s="827"/>
      <c r="ABJ4" s="827"/>
      <c r="ABK4" s="827"/>
      <c r="ABL4" s="827"/>
      <c r="ABM4" s="827"/>
      <c r="ABN4" s="827"/>
      <c r="ABO4" s="827"/>
      <c r="ABP4" s="827"/>
      <c r="ABQ4" s="827"/>
      <c r="ABR4" s="827"/>
      <c r="ABS4" s="827"/>
      <c r="ABT4" s="827"/>
      <c r="ABU4" s="827"/>
      <c r="ABV4" s="827"/>
      <c r="ABW4" s="827"/>
      <c r="ABX4" s="827"/>
      <c r="ABY4" s="827"/>
      <c r="ABZ4" s="827"/>
      <c r="ACA4" s="827"/>
      <c r="ACB4" s="827"/>
      <c r="ACC4" s="827"/>
      <c r="ACD4" s="827"/>
      <c r="ACE4" s="827"/>
      <c r="ACF4" s="827"/>
      <c r="ACG4" s="827"/>
      <c r="ACH4" s="827"/>
      <c r="ACI4" s="827"/>
      <c r="ACJ4" s="827"/>
      <c r="ACK4" s="827"/>
      <c r="ACL4" s="827"/>
      <c r="ACM4" s="827"/>
      <c r="ACN4" s="827"/>
      <c r="ACO4" s="827"/>
      <c r="ACP4" s="827"/>
      <c r="ACQ4" s="827"/>
      <c r="ACR4" s="827"/>
      <c r="ACS4" s="827"/>
      <c r="ACT4" s="827"/>
      <c r="ACU4" s="827"/>
      <c r="ACV4" s="827"/>
      <c r="ACW4" s="827"/>
      <c r="ACX4" s="827"/>
      <c r="ACY4" s="827"/>
      <c r="ACZ4" s="827"/>
      <c r="ADA4" s="827"/>
      <c r="ADB4" s="827"/>
      <c r="ADC4" s="827"/>
      <c r="ADD4" s="827"/>
      <c r="ADE4" s="827"/>
      <c r="ADF4" s="827"/>
      <c r="ADG4" s="827"/>
      <c r="ADH4" s="827"/>
      <c r="ADI4" s="827"/>
      <c r="ADJ4" s="827"/>
      <c r="ADK4" s="827"/>
      <c r="ADL4" s="827"/>
      <c r="ADM4" s="827"/>
      <c r="ADN4" s="827"/>
      <c r="ADO4" s="827"/>
      <c r="ADP4" s="827"/>
      <c r="ADQ4" s="827"/>
      <c r="ADR4" s="827"/>
      <c r="ADS4" s="827"/>
      <c r="ADT4" s="827"/>
      <c r="ADU4" s="827"/>
      <c r="ADV4" s="827"/>
      <c r="ADW4" s="827"/>
      <c r="ADX4" s="827"/>
      <c r="ADY4" s="827"/>
      <c r="ADZ4" s="827"/>
      <c r="AEA4" s="827"/>
      <c r="AEB4" s="827"/>
      <c r="AEC4" s="827"/>
      <c r="AED4" s="827"/>
      <c r="AEE4" s="827"/>
      <c r="AEF4" s="827"/>
      <c r="AEG4" s="827"/>
      <c r="AEH4" s="827"/>
      <c r="AEI4" s="827"/>
      <c r="AEJ4" s="827"/>
      <c r="AEK4" s="827"/>
      <c r="AEL4" s="827"/>
      <c r="AEM4" s="827"/>
      <c r="AEN4" s="827"/>
      <c r="AEO4" s="827"/>
      <c r="AEP4" s="827"/>
      <c r="AEQ4" s="827"/>
      <c r="AER4" s="827"/>
      <c r="AES4" s="827"/>
      <c r="AET4" s="827"/>
      <c r="AEU4" s="827"/>
      <c r="AEV4" s="827"/>
      <c r="AEW4" s="827"/>
      <c r="AEX4" s="827"/>
      <c r="AEY4" s="827"/>
      <c r="AEZ4" s="827"/>
      <c r="AFA4" s="827"/>
      <c r="AFB4" s="827"/>
      <c r="AFC4" s="827"/>
      <c r="AFD4" s="827"/>
      <c r="AFE4" s="827"/>
      <c r="AFF4" s="827"/>
      <c r="AFG4" s="827"/>
      <c r="AFH4" s="827"/>
      <c r="AFI4" s="827"/>
      <c r="AFJ4" s="827"/>
      <c r="AFK4" s="827"/>
      <c r="AFL4" s="827"/>
      <c r="AFM4" s="827"/>
      <c r="AFN4" s="827"/>
      <c r="AFO4" s="827"/>
      <c r="AFP4" s="827"/>
      <c r="AFQ4" s="827"/>
      <c r="AFR4" s="827"/>
      <c r="AFS4" s="827"/>
      <c r="AFT4" s="827"/>
      <c r="AFU4" s="827"/>
      <c r="AFV4" s="827"/>
      <c r="AFW4" s="827"/>
      <c r="AFX4" s="827"/>
      <c r="AFY4" s="827"/>
      <c r="AFZ4" s="827"/>
      <c r="AGA4" s="827"/>
      <c r="AGB4" s="827"/>
      <c r="AGC4" s="827"/>
      <c r="AGD4" s="827"/>
      <c r="AGE4" s="827"/>
      <c r="AGF4" s="827"/>
      <c r="AGG4" s="827"/>
      <c r="AGH4" s="827"/>
      <c r="AGI4" s="827"/>
      <c r="AGJ4" s="827"/>
      <c r="AGK4" s="827"/>
      <c r="AGL4" s="827"/>
      <c r="AGM4" s="827"/>
      <c r="AGN4" s="827"/>
      <c r="AGO4" s="827"/>
      <c r="AGP4" s="827"/>
      <c r="AGQ4" s="827"/>
      <c r="AGR4" s="827"/>
      <c r="AGS4" s="827"/>
      <c r="AGT4" s="827"/>
      <c r="AGU4" s="827"/>
      <c r="AGV4" s="827"/>
      <c r="AGW4" s="827"/>
      <c r="AGX4" s="827"/>
      <c r="AGY4" s="827"/>
      <c r="AGZ4" s="827"/>
      <c r="AHA4" s="827"/>
      <c r="AHB4" s="827"/>
      <c r="AHC4" s="827"/>
      <c r="AHD4" s="827"/>
      <c r="AHE4" s="827"/>
      <c r="AHF4" s="827"/>
      <c r="AHG4" s="827"/>
      <c r="AHH4" s="827"/>
      <c r="AHI4" s="827"/>
      <c r="AHJ4" s="827"/>
      <c r="AHK4" s="827"/>
      <c r="AHL4" s="827"/>
      <c r="AHM4" s="827"/>
      <c r="AHN4" s="827"/>
      <c r="AHO4" s="827"/>
      <c r="AHP4" s="827"/>
      <c r="AHQ4" s="827"/>
      <c r="AHR4" s="827"/>
      <c r="AHS4" s="827"/>
      <c r="AHT4" s="827"/>
      <c r="AHU4" s="827"/>
      <c r="AHV4" s="827"/>
      <c r="AHW4" s="827"/>
      <c r="AHX4" s="827"/>
      <c r="AHY4" s="827"/>
      <c r="AHZ4" s="827"/>
      <c r="AIA4" s="827"/>
      <c r="AIB4" s="827"/>
      <c r="AIC4" s="827"/>
      <c r="AID4" s="827"/>
      <c r="AIE4" s="827"/>
      <c r="AIF4" s="827"/>
      <c r="AIG4" s="827"/>
      <c r="AIH4" s="827"/>
      <c r="AII4" s="827"/>
      <c r="AIJ4" s="827"/>
      <c r="AIK4" s="827"/>
      <c r="AIL4" s="827"/>
      <c r="AIM4" s="827"/>
      <c r="AIN4" s="827"/>
      <c r="AIO4" s="827"/>
      <c r="AIP4" s="827"/>
      <c r="AIQ4" s="827"/>
      <c r="AIR4" s="827"/>
      <c r="AIS4" s="827"/>
      <c r="AIT4" s="827"/>
      <c r="AIU4" s="827"/>
      <c r="AIV4" s="827"/>
      <c r="AIW4" s="827"/>
      <c r="AIX4" s="827"/>
      <c r="AIY4" s="827"/>
      <c r="AIZ4" s="827"/>
      <c r="AJA4" s="827"/>
      <c r="AJB4" s="827"/>
      <c r="AJC4" s="827"/>
      <c r="AJD4" s="827"/>
      <c r="AJE4" s="827"/>
      <c r="AJF4" s="827"/>
      <c r="AJG4" s="827"/>
      <c r="AJH4" s="827"/>
      <c r="AJI4" s="827"/>
      <c r="AJJ4" s="827"/>
      <c r="AJK4" s="827"/>
      <c r="AJL4" s="827"/>
      <c r="AJM4" s="827"/>
      <c r="AJN4" s="827"/>
      <c r="AJO4" s="827"/>
      <c r="AJP4" s="827"/>
      <c r="AJQ4" s="827"/>
      <c r="AJR4" s="827"/>
      <c r="AJS4" s="827"/>
      <c r="AJT4" s="827"/>
      <c r="AJU4" s="827"/>
      <c r="AJV4" s="827"/>
      <c r="AJW4" s="827"/>
      <c r="AJX4" s="827"/>
      <c r="AJY4" s="827"/>
      <c r="AJZ4" s="827"/>
      <c r="AKA4" s="827"/>
      <c r="AKB4" s="827"/>
      <c r="AKC4" s="827"/>
      <c r="AKD4" s="827"/>
      <c r="AKE4" s="827"/>
      <c r="AKF4" s="827"/>
      <c r="AKG4" s="827"/>
      <c r="AKH4" s="827"/>
      <c r="AKI4" s="827"/>
      <c r="AKJ4" s="827"/>
      <c r="AKK4" s="827"/>
      <c r="AKL4" s="827"/>
      <c r="AKM4" s="827"/>
      <c r="AKN4" s="827"/>
      <c r="AKO4" s="827"/>
      <c r="AKP4" s="827"/>
      <c r="AKQ4" s="827"/>
      <c r="AKR4" s="827"/>
      <c r="AKS4" s="827"/>
      <c r="AKT4" s="827"/>
      <c r="AKU4" s="827"/>
      <c r="AKV4" s="827"/>
      <c r="AKW4" s="827"/>
      <c r="AKX4" s="827"/>
      <c r="AKY4" s="827"/>
      <c r="AKZ4" s="827"/>
      <c r="ALA4" s="827"/>
      <c r="ALB4" s="827"/>
      <c r="ALC4" s="827"/>
      <c r="ALD4" s="827"/>
      <c r="ALE4" s="827"/>
      <c r="ALF4" s="827"/>
      <c r="ALG4" s="827"/>
      <c r="ALH4" s="827"/>
      <c r="ALI4" s="827"/>
      <c r="ALJ4" s="827"/>
      <c r="ALK4" s="827"/>
      <c r="ALL4" s="827"/>
      <c r="ALM4" s="827"/>
      <c r="ALN4" s="827"/>
      <c r="ALO4" s="827"/>
      <c r="ALP4" s="827"/>
      <c r="ALQ4" s="827"/>
      <c r="ALR4" s="827"/>
      <c r="ALS4" s="827"/>
      <c r="ALT4" s="827"/>
      <c r="ALU4" s="827"/>
      <c r="ALV4" s="827"/>
      <c r="ALW4" s="827"/>
      <c r="ALX4" s="827"/>
      <c r="ALY4" s="827"/>
      <c r="ALZ4" s="827"/>
      <c r="AMA4" s="827"/>
      <c r="AMB4" s="827"/>
      <c r="AMC4" s="827"/>
      <c r="AMD4" s="827"/>
      <c r="AME4" s="827"/>
      <c r="AMF4" s="827"/>
      <c r="AMG4" s="827"/>
      <c r="AMH4" s="827"/>
      <c r="AMI4" s="827"/>
      <c r="AMJ4" s="827"/>
      <c r="AMK4" s="827"/>
      <c r="AML4" s="827"/>
      <c r="AMM4" s="827"/>
      <c r="AMN4" s="827"/>
      <c r="AMO4" s="827"/>
      <c r="AMP4" s="827"/>
      <c r="AMQ4" s="827"/>
      <c r="AMR4" s="827"/>
      <c r="AMS4" s="827"/>
      <c r="AMT4" s="827"/>
      <c r="AMU4" s="827"/>
      <c r="AMV4" s="827"/>
      <c r="AMW4" s="827"/>
      <c r="AMX4" s="827"/>
      <c r="AMY4" s="827"/>
      <c r="AMZ4" s="827"/>
      <c r="ANA4" s="827"/>
      <c r="ANB4" s="827"/>
      <c r="ANC4" s="827"/>
      <c r="AND4" s="827"/>
      <c r="ANE4" s="827"/>
      <c r="ANF4" s="827"/>
      <c r="ANG4" s="827"/>
      <c r="ANH4" s="827"/>
      <c r="ANI4" s="827"/>
      <c r="ANJ4" s="827"/>
      <c r="ANK4" s="827"/>
      <c r="ANL4" s="827"/>
      <c r="ANM4" s="827"/>
      <c r="ANN4" s="827"/>
      <c r="ANO4" s="827"/>
      <c r="ANP4" s="827"/>
      <c r="ANQ4" s="827"/>
      <c r="ANR4" s="827"/>
      <c r="ANS4" s="827"/>
      <c r="ANT4" s="827"/>
      <c r="ANU4" s="827"/>
      <c r="ANV4" s="827"/>
      <c r="ANW4" s="827"/>
      <c r="ANX4" s="827"/>
      <c r="ANY4" s="827"/>
      <c r="ANZ4" s="827"/>
      <c r="AOA4" s="827"/>
      <c r="AOB4" s="827"/>
      <c r="AOC4" s="827"/>
      <c r="AOD4" s="827"/>
      <c r="AOE4" s="827"/>
      <c r="AOF4" s="827"/>
      <c r="AOG4" s="827"/>
      <c r="AOH4" s="827"/>
      <c r="AOI4" s="827"/>
      <c r="AOJ4" s="827"/>
      <c r="AOK4" s="827"/>
      <c r="AOL4" s="827"/>
      <c r="AOM4" s="827"/>
      <c r="AON4" s="827"/>
      <c r="AOO4" s="827"/>
      <c r="AOP4" s="827"/>
      <c r="AOQ4" s="827"/>
      <c r="AOR4" s="827"/>
      <c r="AOS4" s="827"/>
      <c r="AOT4" s="827"/>
      <c r="AOU4" s="827"/>
      <c r="AOV4" s="827"/>
      <c r="AOW4" s="827"/>
      <c r="AOX4" s="827"/>
      <c r="AOY4" s="827"/>
      <c r="AOZ4" s="827"/>
      <c r="APA4" s="827"/>
      <c r="APB4" s="827"/>
      <c r="APC4" s="827"/>
      <c r="APD4" s="827"/>
      <c r="APE4" s="827"/>
      <c r="APF4" s="827"/>
      <c r="APG4" s="827"/>
      <c r="APH4" s="827"/>
      <c r="API4" s="827"/>
      <c r="APJ4" s="827"/>
      <c r="APK4" s="827"/>
      <c r="APL4" s="827"/>
      <c r="APM4" s="827"/>
      <c r="APN4" s="827"/>
      <c r="APO4" s="827"/>
      <c r="APP4" s="827"/>
      <c r="APQ4" s="827"/>
      <c r="APR4" s="827"/>
      <c r="APS4" s="827"/>
      <c r="APT4" s="827"/>
      <c r="APU4" s="827"/>
      <c r="APV4" s="827"/>
      <c r="APW4" s="827"/>
      <c r="APX4" s="827"/>
      <c r="APY4" s="827"/>
      <c r="APZ4" s="827"/>
      <c r="AQA4" s="827"/>
      <c r="AQB4" s="827"/>
      <c r="AQC4" s="827"/>
      <c r="AQD4" s="827"/>
      <c r="AQE4" s="827"/>
      <c r="AQF4" s="827"/>
      <c r="AQG4" s="827"/>
      <c r="AQH4" s="827"/>
      <c r="AQI4" s="827"/>
      <c r="AQJ4" s="827"/>
      <c r="AQK4" s="827"/>
      <c r="AQL4" s="827"/>
      <c r="AQM4" s="827"/>
      <c r="AQN4" s="827"/>
      <c r="AQO4" s="827"/>
      <c r="AQP4" s="827"/>
      <c r="AQQ4" s="827"/>
      <c r="AQR4" s="827"/>
      <c r="AQS4" s="827"/>
      <c r="AQT4" s="827"/>
      <c r="AQU4" s="827"/>
      <c r="AQV4" s="827"/>
      <c r="AQW4" s="827"/>
      <c r="AQX4" s="827"/>
      <c r="AQY4" s="827"/>
      <c r="AQZ4" s="827"/>
      <c r="ARA4" s="827"/>
      <c r="ARB4" s="827"/>
      <c r="ARC4" s="827"/>
      <c r="ARD4" s="827"/>
      <c r="ARE4" s="827"/>
      <c r="ARF4" s="827"/>
      <c r="ARG4" s="827"/>
      <c r="ARH4" s="827"/>
      <c r="ARI4" s="827"/>
      <c r="ARJ4" s="827"/>
      <c r="ARK4" s="827"/>
      <c r="ARL4" s="827"/>
      <c r="ARM4" s="827"/>
      <c r="ARN4" s="827"/>
      <c r="ARO4" s="827"/>
      <c r="ARP4" s="827"/>
      <c r="ARQ4" s="827"/>
      <c r="ARR4" s="827"/>
      <c r="ARS4" s="827"/>
      <c r="ART4" s="827"/>
      <c r="ARU4" s="827"/>
      <c r="ARV4" s="827"/>
      <c r="ARW4" s="827"/>
      <c r="ARX4" s="827"/>
      <c r="ARY4" s="827"/>
      <c r="ARZ4" s="827"/>
      <c r="ASA4" s="827"/>
      <c r="ASB4" s="827"/>
      <c r="ASC4" s="827"/>
      <c r="ASD4" s="827"/>
      <c r="ASE4" s="827"/>
      <c r="ASF4" s="827"/>
      <c r="ASG4" s="827"/>
      <c r="ASH4" s="827"/>
      <c r="ASI4" s="827"/>
      <c r="ASJ4" s="827"/>
      <c r="ASK4" s="827"/>
      <c r="ASL4" s="827"/>
      <c r="ASM4" s="827"/>
      <c r="ASN4" s="827"/>
      <c r="ASO4" s="827"/>
      <c r="ASP4" s="827"/>
      <c r="ASQ4" s="827"/>
      <c r="ASR4" s="827"/>
      <c r="ASS4" s="827"/>
      <c r="AST4" s="827"/>
      <c r="ASU4" s="827"/>
      <c r="ASV4" s="827"/>
      <c r="ASW4" s="827"/>
      <c r="ASX4" s="827"/>
      <c r="ASY4" s="827"/>
      <c r="ASZ4" s="827"/>
      <c r="ATA4" s="827"/>
      <c r="ATB4" s="827"/>
      <c r="ATC4" s="827"/>
      <c r="ATD4" s="827"/>
      <c r="ATE4" s="827"/>
      <c r="ATF4" s="827"/>
      <c r="ATG4" s="827"/>
      <c r="ATH4" s="827"/>
      <c r="ATI4" s="827"/>
      <c r="ATJ4" s="827"/>
      <c r="ATK4" s="827"/>
      <c r="ATL4" s="827"/>
      <c r="ATM4" s="827"/>
      <c r="ATN4" s="827"/>
      <c r="ATO4" s="827"/>
      <c r="ATP4" s="827"/>
      <c r="ATQ4" s="827"/>
      <c r="ATR4" s="827"/>
      <c r="ATS4" s="827"/>
      <c r="ATT4" s="827"/>
      <c r="ATU4" s="827"/>
      <c r="ATV4" s="827"/>
      <c r="ATW4" s="827"/>
      <c r="ATX4" s="827"/>
      <c r="ATY4" s="827"/>
      <c r="ATZ4" s="827"/>
      <c r="AUA4" s="827"/>
      <c r="AUB4" s="827"/>
      <c r="AUC4" s="827"/>
      <c r="AUD4" s="827"/>
      <c r="AUE4" s="827"/>
      <c r="AUF4" s="827"/>
      <c r="AUG4" s="827"/>
      <c r="AUH4" s="827"/>
      <c r="AUI4" s="827"/>
      <c r="AUJ4" s="827"/>
      <c r="AUK4" s="827"/>
      <c r="AUL4" s="827"/>
      <c r="AUM4" s="827"/>
      <c r="AUN4" s="827"/>
      <c r="AUO4" s="827"/>
      <c r="AUP4" s="827"/>
      <c r="AUQ4" s="827"/>
      <c r="AUR4" s="827"/>
      <c r="AUS4" s="827"/>
      <c r="AUT4" s="827"/>
      <c r="AUU4" s="827"/>
      <c r="AUV4" s="827"/>
      <c r="AUW4" s="827"/>
      <c r="AUX4" s="827"/>
      <c r="AUY4" s="827"/>
      <c r="AUZ4" s="827"/>
      <c r="AVA4" s="827"/>
      <c r="AVB4" s="827"/>
      <c r="AVC4" s="827"/>
      <c r="AVD4" s="827"/>
      <c r="AVE4" s="827"/>
      <c r="AVF4" s="827"/>
      <c r="AVG4" s="827"/>
      <c r="AVH4" s="827"/>
      <c r="AVI4" s="827"/>
      <c r="AVJ4" s="827"/>
      <c r="AVK4" s="827"/>
      <c r="AVL4" s="827"/>
      <c r="AVM4" s="827"/>
      <c r="AVN4" s="827"/>
      <c r="AVO4" s="827"/>
      <c r="AVP4" s="827"/>
      <c r="AVQ4" s="827"/>
      <c r="AVR4" s="827"/>
      <c r="AVS4" s="827"/>
      <c r="AVT4" s="827"/>
      <c r="AVU4" s="827"/>
      <c r="AVV4" s="827"/>
      <c r="AVW4" s="827"/>
      <c r="AVX4" s="827"/>
      <c r="AVY4" s="827"/>
      <c r="AVZ4" s="827"/>
      <c r="AWA4" s="827"/>
      <c r="AWB4" s="827"/>
      <c r="AWC4" s="827"/>
      <c r="AWD4" s="827"/>
      <c r="AWE4" s="827"/>
      <c r="AWF4" s="827"/>
      <c r="AWG4" s="827"/>
      <c r="AWH4" s="827"/>
      <c r="AWI4" s="827"/>
      <c r="AWJ4" s="827"/>
      <c r="AWK4" s="827"/>
      <c r="AWL4" s="827"/>
      <c r="AWM4" s="827"/>
      <c r="AWN4" s="827"/>
      <c r="AWO4" s="827"/>
      <c r="AWP4" s="827"/>
      <c r="AWQ4" s="827"/>
      <c r="AWR4" s="827"/>
      <c r="AWS4" s="827"/>
      <c r="AWT4" s="827"/>
      <c r="AWU4" s="827"/>
      <c r="AWV4" s="827"/>
      <c r="AWW4" s="827"/>
      <c r="AWX4" s="827"/>
      <c r="AWY4" s="827"/>
      <c r="AWZ4" s="827"/>
      <c r="AXA4" s="827"/>
      <c r="AXB4" s="827"/>
      <c r="AXC4" s="827"/>
      <c r="AXD4" s="827"/>
      <c r="AXE4" s="827"/>
      <c r="AXF4" s="827"/>
      <c r="AXG4" s="827"/>
      <c r="AXH4" s="827"/>
      <c r="AXI4" s="827"/>
      <c r="AXJ4" s="827"/>
      <c r="AXK4" s="827"/>
      <c r="AXL4" s="827"/>
      <c r="AXM4" s="827"/>
      <c r="AXN4" s="827"/>
      <c r="AXO4" s="827"/>
      <c r="AXP4" s="827"/>
      <c r="AXQ4" s="827"/>
      <c r="AXR4" s="827"/>
      <c r="AXS4" s="827"/>
      <c r="AXT4" s="827"/>
      <c r="AXU4" s="827"/>
      <c r="AXV4" s="827"/>
      <c r="AXW4" s="827"/>
      <c r="AXX4" s="827"/>
      <c r="AXY4" s="827"/>
      <c r="AXZ4" s="827"/>
      <c r="AYA4" s="827"/>
      <c r="AYB4" s="827"/>
      <c r="AYC4" s="827"/>
      <c r="AYD4" s="827"/>
      <c r="AYE4" s="827"/>
      <c r="AYF4" s="827"/>
      <c r="AYG4" s="827"/>
      <c r="AYH4" s="827"/>
      <c r="AYI4" s="827"/>
      <c r="AYJ4" s="827"/>
      <c r="AYK4" s="827"/>
      <c r="AYL4" s="827"/>
      <c r="AYM4" s="827"/>
      <c r="AYN4" s="827"/>
      <c r="AYO4" s="827"/>
      <c r="AYP4" s="827"/>
      <c r="AYQ4" s="827"/>
      <c r="AYR4" s="827"/>
      <c r="AYS4" s="827"/>
      <c r="AYT4" s="827"/>
      <c r="AYU4" s="827"/>
      <c r="AYV4" s="827"/>
      <c r="AYW4" s="827"/>
      <c r="AYX4" s="827"/>
      <c r="AYY4" s="827"/>
      <c r="AYZ4" s="827"/>
      <c r="AZA4" s="827"/>
      <c r="AZB4" s="827"/>
      <c r="AZC4" s="827"/>
      <c r="AZD4" s="827"/>
      <c r="AZE4" s="827"/>
      <c r="AZF4" s="827"/>
      <c r="AZG4" s="827"/>
      <c r="AZH4" s="827"/>
      <c r="AZI4" s="827"/>
      <c r="AZJ4" s="827"/>
      <c r="AZK4" s="827"/>
      <c r="AZL4" s="827"/>
      <c r="AZM4" s="827"/>
      <c r="AZN4" s="827"/>
      <c r="AZO4" s="827"/>
      <c r="AZP4" s="827"/>
      <c r="AZQ4" s="827"/>
      <c r="AZR4" s="827"/>
      <c r="AZS4" s="827"/>
      <c r="AZT4" s="827"/>
      <c r="AZU4" s="827"/>
      <c r="AZV4" s="827"/>
      <c r="AZW4" s="827"/>
      <c r="AZX4" s="827"/>
      <c r="AZY4" s="827"/>
      <c r="AZZ4" s="827"/>
      <c r="BAA4" s="827"/>
      <c r="BAB4" s="827"/>
      <c r="BAC4" s="827"/>
      <c r="BAD4" s="827"/>
      <c r="BAE4" s="827"/>
      <c r="BAF4" s="827"/>
      <c r="BAG4" s="827"/>
      <c r="BAH4" s="827"/>
      <c r="BAI4" s="827"/>
      <c r="BAJ4" s="827"/>
      <c r="BAK4" s="827"/>
      <c r="BAL4" s="827"/>
      <c r="BAM4" s="827"/>
      <c r="BAN4" s="827"/>
      <c r="BAO4" s="827"/>
      <c r="BAP4" s="827"/>
      <c r="BAQ4" s="827"/>
      <c r="BAR4" s="827"/>
      <c r="BAS4" s="827"/>
      <c r="BAT4" s="827"/>
      <c r="BAU4" s="827"/>
      <c r="BAV4" s="827"/>
      <c r="BAW4" s="827"/>
      <c r="BAX4" s="827"/>
      <c r="BAY4" s="827"/>
      <c r="BAZ4" s="827"/>
      <c r="BBA4" s="827"/>
      <c r="BBB4" s="827"/>
      <c r="BBC4" s="827"/>
      <c r="BBD4" s="827"/>
      <c r="BBE4" s="827"/>
      <c r="BBF4" s="827"/>
      <c r="BBG4" s="827"/>
      <c r="BBH4" s="827"/>
      <c r="BBI4" s="827"/>
      <c r="BBJ4" s="827"/>
      <c r="BBK4" s="827"/>
      <c r="BBL4" s="827"/>
      <c r="BBM4" s="827"/>
      <c r="BBN4" s="827"/>
      <c r="BBO4" s="827"/>
      <c r="BBP4" s="827"/>
      <c r="BBQ4" s="827"/>
      <c r="BBR4" s="827"/>
      <c r="BBS4" s="827"/>
      <c r="BBT4" s="827"/>
      <c r="BBU4" s="827"/>
      <c r="BBV4" s="827"/>
      <c r="BBW4" s="827"/>
      <c r="BBX4" s="827"/>
      <c r="BBY4" s="827"/>
      <c r="BBZ4" s="827"/>
      <c r="BCA4" s="827"/>
      <c r="BCB4" s="827"/>
      <c r="BCC4" s="827"/>
      <c r="BCD4" s="827"/>
      <c r="BCE4" s="827"/>
      <c r="BCF4" s="827"/>
      <c r="BCG4" s="827"/>
      <c r="BCH4" s="827"/>
      <c r="BCI4" s="827"/>
      <c r="BCJ4" s="827"/>
      <c r="BCK4" s="827"/>
      <c r="BCL4" s="827"/>
      <c r="BCM4" s="827"/>
      <c r="BCN4" s="827"/>
      <c r="BCO4" s="827"/>
      <c r="BCP4" s="827"/>
      <c r="BCQ4" s="827"/>
      <c r="BCR4" s="827"/>
      <c r="BCS4" s="827"/>
      <c r="BCT4" s="827"/>
      <c r="BCU4" s="827"/>
      <c r="BCV4" s="827"/>
      <c r="BCW4" s="827"/>
      <c r="BCX4" s="827"/>
      <c r="BCY4" s="827"/>
      <c r="BCZ4" s="827"/>
      <c r="BDA4" s="827"/>
      <c r="BDB4" s="827"/>
      <c r="BDC4" s="827"/>
      <c r="BDD4" s="827"/>
      <c r="BDE4" s="827"/>
      <c r="BDF4" s="827"/>
      <c r="BDG4" s="827"/>
      <c r="BDH4" s="827"/>
      <c r="BDI4" s="827"/>
      <c r="BDJ4" s="827"/>
      <c r="BDK4" s="827"/>
      <c r="BDL4" s="827"/>
      <c r="BDM4" s="827"/>
      <c r="BDN4" s="827"/>
      <c r="BDO4" s="827"/>
      <c r="BDP4" s="827"/>
      <c r="BDQ4" s="827"/>
      <c r="BDR4" s="827"/>
      <c r="BDS4" s="827"/>
      <c r="BDT4" s="827"/>
      <c r="BDU4" s="827"/>
      <c r="BDV4" s="827"/>
      <c r="BDW4" s="827"/>
      <c r="BDX4" s="827"/>
      <c r="BDY4" s="827"/>
      <c r="BDZ4" s="827"/>
      <c r="BEA4" s="827"/>
      <c r="BEB4" s="827"/>
      <c r="BEC4" s="827"/>
      <c r="BED4" s="827"/>
      <c r="BEE4" s="827"/>
      <c r="BEF4" s="827"/>
      <c r="BEG4" s="827"/>
      <c r="BEH4" s="827"/>
      <c r="BEI4" s="827"/>
      <c r="BEJ4" s="827"/>
      <c r="BEK4" s="827"/>
      <c r="BEL4" s="827"/>
      <c r="BEM4" s="827"/>
      <c r="BEN4" s="827"/>
      <c r="BEO4" s="827"/>
      <c r="BEP4" s="827"/>
      <c r="BEQ4" s="827"/>
      <c r="BER4" s="827"/>
      <c r="BES4" s="827"/>
      <c r="BET4" s="827"/>
      <c r="BEU4" s="827"/>
      <c r="BEV4" s="827"/>
      <c r="BEW4" s="827"/>
      <c r="BEX4" s="827"/>
      <c r="BEY4" s="827"/>
      <c r="BEZ4" s="827"/>
      <c r="BFA4" s="827"/>
      <c r="BFB4" s="827"/>
      <c r="BFC4" s="827"/>
      <c r="BFD4" s="827"/>
      <c r="BFE4" s="827"/>
      <c r="BFF4" s="827"/>
      <c r="BFG4" s="827"/>
      <c r="BFH4" s="827"/>
      <c r="BFI4" s="827"/>
      <c r="BFJ4" s="827"/>
      <c r="BFK4" s="827"/>
      <c r="BFL4" s="827"/>
      <c r="BFM4" s="827"/>
      <c r="BFN4" s="827"/>
      <c r="BFO4" s="827"/>
      <c r="BFP4" s="827"/>
      <c r="BFQ4" s="827"/>
      <c r="BFR4" s="827"/>
      <c r="BFS4" s="827"/>
      <c r="BFT4" s="827"/>
      <c r="BFU4" s="827"/>
      <c r="BFV4" s="827"/>
      <c r="BFW4" s="827"/>
      <c r="BFX4" s="827"/>
      <c r="BFY4" s="827"/>
      <c r="BFZ4" s="827"/>
      <c r="BGA4" s="827"/>
      <c r="BGB4" s="827"/>
      <c r="BGC4" s="827"/>
      <c r="BGD4" s="827"/>
      <c r="BGE4" s="827"/>
      <c r="BGF4" s="827"/>
      <c r="BGG4" s="827"/>
      <c r="BGH4" s="827"/>
      <c r="BGI4" s="827"/>
      <c r="BGJ4" s="827"/>
      <c r="BGK4" s="827"/>
      <c r="BGL4" s="827"/>
      <c r="BGM4" s="827"/>
      <c r="BGN4" s="827"/>
      <c r="BGO4" s="827"/>
      <c r="BGP4" s="827"/>
      <c r="BGQ4" s="827"/>
      <c r="BGR4" s="827"/>
      <c r="BGS4" s="827"/>
      <c r="BGT4" s="827"/>
      <c r="BGU4" s="827"/>
      <c r="BGV4" s="827"/>
      <c r="BGW4" s="827"/>
      <c r="BGX4" s="827"/>
      <c r="BGY4" s="827"/>
      <c r="BGZ4" s="827"/>
      <c r="BHA4" s="827"/>
      <c r="BHB4" s="827"/>
      <c r="BHC4" s="827"/>
      <c r="BHD4" s="827"/>
      <c r="BHE4" s="827"/>
      <c r="BHF4" s="827"/>
      <c r="BHG4" s="827"/>
      <c r="BHH4" s="827"/>
      <c r="BHI4" s="827"/>
      <c r="BHJ4" s="827"/>
      <c r="BHK4" s="827"/>
      <c r="BHL4" s="827"/>
      <c r="BHM4" s="827"/>
      <c r="BHN4" s="827"/>
      <c r="BHO4" s="827"/>
      <c r="BHP4" s="827"/>
      <c r="BHQ4" s="827"/>
      <c r="BHR4" s="827"/>
      <c r="BHS4" s="827"/>
      <c r="BHT4" s="827"/>
      <c r="BHU4" s="827"/>
      <c r="BHV4" s="827"/>
      <c r="BHW4" s="827"/>
      <c r="BHX4" s="827"/>
      <c r="BHY4" s="827"/>
      <c r="BHZ4" s="827"/>
      <c r="BIA4" s="827"/>
      <c r="BIB4" s="827"/>
      <c r="BIC4" s="827"/>
      <c r="BID4" s="827"/>
      <c r="BIE4" s="827"/>
      <c r="BIF4" s="827"/>
      <c r="BIG4" s="827"/>
      <c r="BIH4" s="827"/>
      <c r="BII4" s="827"/>
      <c r="BIJ4" s="827"/>
      <c r="BIK4" s="827"/>
      <c r="BIL4" s="827"/>
      <c r="BIM4" s="827"/>
      <c r="BIN4" s="827"/>
      <c r="BIO4" s="827"/>
      <c r="BIP4" s="827"/>
      <c r="BIQ4" s="827"/>
      <c r="BIR4" s="827"/>
      <c r="BIS4" s="827"/>
      <c r="BIT4" s="827"/>
      <c r="BIU4" s="827"/>
      <c r="BIV4" s="827"/>
      <c r="BIW4" s="827"/>
      <c r="BIX4" s="827"/>
      <c r="BIY4" s="827"/>
      <c r="BIZ4" s="827"/>
      <c r="BJA4" s="827"/>
      <c r="BJB4" s="827"/>
      <c r="BJC4" s="827"/>
      <c r="BJD4" s="827"/>
      <c r="BJE4" s="827"/>
      <c r="BJF4" s="827"/>
      <c r="BJG4" s="827"/>
      <c r="BJH4" s="827"/>
      <c r="BJI4" s="827"/>
      <c r="BJJ4" s="827"/>
      <c r="BJK4" s="827"/>
      <c r="BJL4" s="827"/>
      <c r="BJM4" s="827"/>
      <c r="BJN4" s="827"/>
      <c r="BJO4" s="827"/>
      <c r="BJP4" s="827"/>
      <c r="BJQ4" s="827"/>
      <c r="BJR4" s="827"/>
      <c r="BJS4" s="827"/>
      <c r="BJT4" s="827"/>
      <c r="BJU4" s="827"/>
      <c r="BJV4" s="827"/>
      <c r="BJW4" s="827"/>
      <c r="BJX4" s="827"/>
      <c r="BJY4" s="827"/>
      <c r="BJZ4" s="827"/>
      <c r="BKA4" s="827"/>
      <c r="BKB4" s="827"/>
      <c r="BKC4" s="827"/>
      <c r="BKD4" s="827"/>
      <c r="BKE4" s="827"/>
      <c r="BKF4" s="827"/>
      <c r="BKG4" s="827"/>
      <c r="BKH4" s="827"/>
      <c r="BKI4" s="827"/>
      <c r="BKJ4" s="827"/>
      <c r="BKK4" s="827"/>
      <c r="BKL4" s="827"/>
      <c r="BKM4" s="827"/>
      <c r="BKN4" s="827"/>
      <c r="BKO4" s="827"/>
      <c r="BKP4" s="827"/>
      <c r="BKQ4" s="827"/>
      <c r="BKR4" s="827"/>
      <c r="BKS4" s="827"/>
      <c r="BKT4" s="827"/>
      <c r="BKU4" s="827"/>
      <c r="BKV4" s="827"/>
      <c r="BKW4" s="827"/>
      <c r="BKX4" s="827"/>
      <c r="BKY4" s="827"/>
      <c r="BKZ4" s="827"/>
      <c r="BLA4" s="827"/>
      <c r="BLB4" s="827"/>
      <c r="BLC4" s="827"/>
      <c r="BLD4" s="827"/>
      <c r="BLE4" s="827"/>
      <c r="BLF4" s="827"/>
      <c r="BLG4" s="827"/>
      <c r="BLH4" s="827"/>
      <c r="BLI4" s="827"/>
      <c r="BLJ4" s="827"/>
      <c r="BLK4" s="827"/>
      <c r="BLL4" s="827"/>
      <c r="BLM4" s="827"/>
      <c r="BLN4" s="827"/>
      <c r="BLO4" s="827"/>
      <c r="BLP4" s="827"/>
      <c r="BLQ4" s="827"/>
      <c r="BLR4" s="827"/>
      <c r="BLS4" s="827"/>
      <c r="BLT4" s="827"/>
      <c r="BLU4" s="827"/>
      <c r="BLV4" s="827"/>
      <c r="BLW4" s="827"/>
      <c r="BLX4" s="827"/>
      <c r="BLY4" s="827"/>
      <c r="BLZ4" s="827"/>
      <c r="BMA4" s="827"/>
      <c r="BMB4" s="827"/>
      <c r="BMC4" s="827"/>
      <c r="BMD4" s="827"/>
      <c r="BME4" s="827"/>
      <c r="BMF4" s="827"/>
      <c r="BMG4" s="827"/>
      <c r="BMH4" s="827"/>
      <c r="BMI4" s="827"/>
      <c r="BMJ4" s="827"/>
      <c r="BMK4" s="827"/>
      <c r="BML4" s="827"/>
      <c r="BMM4" s="827"/>
      <c r="BMN4" s="827"/>
      <c r="BMO4" s="827"/>
      <c r="BMP4" s="827"/>
      <c r="BMQ4" s="827"/>
      <c r="BMR4" s="827"/>
      <c r="BMS4" s="827"/>
      <c r="BMT4" s="827"/>
      <c r="BMU4" s="827"/>
      <c r="BMV4" s="827"/>
      <c r="BMW4" s="827"/>
      <c r="BMX4" s="827"/>
      <c r="BMY4" s="827"/>
      <c r="BMZ4" s="827"/>
      <c r="BNA4" s="827"/>
      <c r="BNB4" s="827"/>
      <c r="BNC4" s="827"/>
      <c r="BND4" s="827"/>
      <c r="BNE4" s="827"/>
      <c r="BNF4" s="827"/>
      <c r="BNG4" s="827"/>
      <c r="BNH4" s="827"/>
      <c r="BNI4" s="827"/>
      <c r="BNJ4" s="827"/>
      <c r="BNK4" s="827"/>
      <c r="BNL4" s="827"/>
      <c r="BNM4" s="827"/>
      <c r="BNN4" s="827"/>
      <c r="BNO4" s="827"/>
      <c r="BNP4" s="827"/>
      <c r="BNQ4" s="827"/>
      <c r="BNR4" s="827"/>
      <c r="BNS4" s="827"/>
      <c r="BNT4" s="827"/>
      <c r="BNU4" s="827"/>
      <c r="BNV4" s="827"/>
      <c r="BNW4" s="827"/>
      <c r="BNX4" s="827"/>
      <c r="BNY4" s="827"/>
      <c r="BNZ4" s="827"/>
      <c r="BOA4" s="827"/>
      <c r="BOB4" s="827"/>
      <c r="BOC4" s="827"/>
      <c r="BOD4" s="827"/>
      <c r="BOE4" s="827"/>
      <c r="BOF4" s="827"/>
      <c r="BOG4" s="827"/>
      <c r="BOH4" s="827"/>
      <c r="BOI4" s="827"/>
      <c r="BOJ4" s="827"/>
      <c r="BOK4" s="827"/>
      <c r="BOL4" s="827"/>
      <c r="BOM4" s="827"/>
      <c r="BON4" s="827"/>
      <c r="BOO4" s="827"/>
      <c r="BOP4" s="827"/>
      <c r="BOQ4" s="827"/>
      <c r="BOR4" s="827"/>
      <c r="BOS4" s="827"/>
      <c r="BOT4" s="827"/>
      <c r="BOU4" s="827"/>
      <c r="BOV4" s="827"/>
      <c r="BOW4" s="827"/>
      <c r="BOX4" s="827"/>
      <c r="BOY4" s="827"/>
      <c r="BOZ4" s="827"/>
      <c r="BPA4" s="827"/>
      <c r="BPB4" s="827"/>
      <c r="BPC4" s="827"/>
      <c r="BPD4" s="827"/>
      <c r="BPE4" s="827"/>
      <c r="BPF4" s="827"/>
      <c r="BPG4" s="827"/>
      <c r="BPH4" s="827"/>
      <c r="BPI4" s="827"/>
      <c r="BPJ4" s="827"/>
      <c r="BPK4" s="827"/>
      <c r="BPL4" s="827"/>
      <c r="BPM4" s="827"/>
      <c r="BPN4" s="827"/>
      <c r="BPO4" s="827"/>
      <c r="BPP4" s="827"/>
      <c r="BPQ4" s="827"/>
      <c r="BPR4" s="827"/>
      <c r="BPS4" s="827"/>
      <c r="BPT4" s="827"/>
      <c r="BPU4" s="827"/>
      <c r="BPV4" s="827"/>
      <c r="BPW4" s="827"/>
      <c r="BPX4" s="827"/>
      <c r="BPY4" s="827"/>
      <c r="BPZ4" s="827"/>
      <c r="BQA4" s="827"/>
      <c r="BQB4" s="827"/>
      <c r="BQC4" s="827"/>
      <c r="BQD4" s="827"/>
      <c r="BQE4" s="827"/>
      <c r="BQF4" s="827"/>
      <c r="BQG4" s="827"/>
      <c r="BQH4" s="827"/>
      <c r="BQI4" s="827"/>
      <c r="BQJ4" s="827"/>
      <c r="BQK4" s="827"/>
      <c r="BQL4" s="827"/>
      <c r="BQM4" s="827"/>
      <c r="BQN4" s="827"/>
      <c r="BQO4" s="827"/>
      <c r="BQP4" s="827"/>
      <c r="BQQ4" s="827"/>
      <c r="BQR4" s="827"/>
      <c r="BQS4" s="827"/>
      <c r="BQT4" s="827"/>
      <c r="BQU4" s="827"/>
      <c r="BQV4" s="827"/>
      <c r="BQW4" s="827"/>
      <c r="BQX4" s="827"/>
      <c r="BQY4" s="827"/>
      <c r="BQZ4" s="827"/>
      <c r="BRA4" s="827"/>
      <c r="BRB4" s="827"/>
      <c r="BRC4" s="827"/>
      <c r="BRD4" s="827"/>
      <c r="BRE4" s="827"/>
      <c r="BRF4" s="827"/>
      <c r="BRG4" s="827"/>
      <c r="BRH4" s="827"/>
      <c r="BRI4" s="827"/>
      <c r="BRJ4" s="827"/>
      <c r="BRK4" s="827"/>
      <c r="BRL4" s="827"/>
      <c r="BRM4" s="827"/>
      <c r="BRN4" s="827"/>
      <c r="BRO4" s="827"/>
      <c r="BRP4" s="827"/>
      <c r="BRQ4" s="827"/>
      <c r="BRR4" s="827"/>
      <c r="BRS4" s="827"/>
      <c r="BRT4" s="827"/>
      <c r="BRU4" s="827"/>
      <c r="BRV4" s="827"/>
      <c r="BRW4" s="827"/>
      <c r="BRX4" s="827"/>
      <c r="BRY4" s="827"/>
      <c r="BRZ4" s="827"/>
      <c r="BSA4" s="827"/>
      <c r="BSB4" s="827"/>
      <c r="BSC4" s="827"/>
      <c r="BSD4" s="827"/>
      <c r="BSE4" s="827"/>
      <c r="BSF4" s="827"/>
      <c r="BSG4" s="827"/>
      <c r="BSH4" s="827"/>
      <c r="BSI4" s="827"/>
      <c r="BSJ4" s="827"/>
      <c r="BSK4" s="827"/>
      <c r="BSL4" s="827"/>
      <c r="BSM4" s="827"/>
      <c r="BSN4" s="827"/>
      <c r="BSO4" s="827"/>
      <c r="BSP4" s="827"/>
      <c r="BSQ4" s="827"/>
      <c r="BSR4" s="827"/>
      <c r="BSS4" s="827"/>
      <c r="BST4" s="827"/>
    </row>
    <row r="5" spans="1:1866" s="824" customFormat="1" ht="21.9" customHeight="1" x14ac:dyDescent="0.25">
      <c r="A5" s="827"/>
      <c r="B5" s="3193" t="s">
        <v>858</v>
      </c>
      <c r="C5" s="3193"/>
      <c r="D5" s="3194"/>
      <c r="E5" s="1279"/>
      <c r="F5" s="1280"/>
      <c r="G5" s="1280"/>
      <c r="H5" s="1280"/>
      <c r="I5" s="1280"/>
      <c r="J5" s="1280"/>
      <c r="K5" s="1280"/>
      <c r="L5" s="1280"/>
      <c r="M5" s="1280"/>
      <c r="N5" s="1280"/>
      <c r="O5" s="1280"/>
      <c r="P5" s="1280"/>
      <c r="Q5" s="1281"/>
      <c r="R5" s="1281"/>
      <c r="S5" s="1281"/>
      <c r="T5" s="1281"/>
      <c r="U5" s="1281"/>
      <c r="V5" s="1454"/>
      <c r="W5" s="827"/>
      <c r="X5" s="827"/>
      <c r="Y5" s="827"/>
      <c r="Z5" s="827"/>
      <c r="AA5" s="866"/>
      <c r="AB5" s="827"/>
      <c r="AC5" s="827"/>
      <c r="AD5" s="827"/>
      <c r="AE5" s="827"/>
      <c r="AF5" s="827"/>
      <c r="AG5" s="827"/>
      <c r="AH5" s="827"/>
      <c r="AI5" s="827"/>
      <c r="AJ5" s="827"/>
      <c r="AK5" s="827"/>
      <c r="AL5" s="827"/>
      <c r="AM5" s="827"/>
      <c r="AN5" s="827"/>
      <c r="AO5" s="827"/>
      <c r="AP5" s="827"/>
      <c r="AQ5" s="827"/>
      <c r="AR5" s="827"/>
      <c r="AS5" s="827"/>
      <c r="AT5" s="827"/>
      <c r="AU5" s="827"/>
      <c r="AV5" s="827"/>
      <c r="AW5" s="827"/>
      <c r="AX5" s="827"/>
      <c r="AY5" s="827"/>
      <c r="AZ5" s="827"/>
      <c r="BA5" s="827"/>
      <c r="BB5" s="827"/>
      <c r="BC5" s="827"/>
      <c r="BD5" s="827"/>
      <c r="BE5" s="827"/>
      <c r="BF5" s="827"/>
      <c r="BG5" s="827"/>
      <c r="BH5" s="827"/>
      <c r="BI5" s="827"/>
      <c r="BJ5" s="827"/>
      <c r="BK5" s="827"/>
      <c r="BL5" s="827"/>
      <c r="BM5" s="827"/>
      <c r="BN5" s="827"/>
      <c r="BO5" s="827"/>
      <c r="BP5" s="827"/>
      <c r="BQ5" s="827"/>
      <c r="BR5" s="827"/>
      <c r="BS5" s="827"/>
      <c r="BT5" s="827"/>
      <c r="BU5" s="827"/>
      <c r="BV5" s="827"/>
      <c r="BW5" s="827"/>
      <c r="BX5" s="827"/>
      <c r="BY5" s="827"/>
      <c r="BZ5" s="827"/>
      <c r="CA5" s="827"/>
      <c r="CB5" s="827"/>
      <c r="CC5" s="827"/>
      <c r="CD5" s="827"/>
      <c r="CE5" s="827"/>
      <c r="CF5" s="827"/>
      <c r="CG5" s="827"/>
      <c r="CH5" s="827"/>
      <c r="CI5" s="827"/>
      <c r="CJ5" s="827"/>
      <c r="CK5" s="827"/>
      <c r="CL5" s="827"/>
      <c r="CM5" s="827"/>
      <c r="CN5" s="827"/>
      <c r="CO5" s="827"/>
      <c r="CP5" s="827"/>
      <c r="CQ5" s="827"/>
      <c r="CR5" s="827"/>
      <c r="CS5" s="827"/>
      <c r="CT5" s="827"/>
      <c r="CU5" s="827"/>
      <c r="CV5" s="827"/>
      <c r="CW5" s="827"/>
      <c r="CX5" s="827"/>
      <c r="CY5" s="827"/>
      <c r="CZ5" s="827"/>
      <c r="DA5" s="827"/>
      <c r="DB5" s="827"/>
      <c r="DC5" s="827"/>
      <c r="DD5" s="827"/>
      <c r="DE5" s="827"/>
      <c r="DF5" s="827"/>
      <c r="DG5" s="827"/>
      <c r="DH5" s="827"/>
      <c r="DI5" s="827"/>
      <c r="DJ5" s="827"/>
      <c r="DK5" s="827"/>
      <c r="DL5" s="827"/>
      <c r="DM5" s="827"/>
      <c r="DN5" s="827"/>
      <c r="DO5" s="827"/>
      <c r="DP5" s="827"/>
      <c r="DQ5" s="827"/>
      <c r="DR5" s="827"/>
      <c r="DS5" s="827"/>
      <c r="DT5" s="827"/>
      <c r="DU5" s="827"/>
      <c r="DV5" s="827"/>
      <c r="DW5" s="827"/>
      <c r="DX5" s="827"/>
      <c r="DY5" s="827"/>
      <c r="DZ5" s="827"/>
      <c r="EA5" s="827"/>
      <c r="EB5" s="827"/>
      <c r="EC5" s="827"/>
      <c r="ED5" s="827"/>
      <c r="EE5" s="827"/>
      <c r="EF5" s="827"/>
      <c r="EG5" s="827"/>
      <c r="EH5" s="827"/>
      <c r="EI5" s="827"/>
      <c r="EJ5" s="827"/>
      <c r="EK5" s="827"/>
      <c r="EL5" s="827"/>
      <c r="EM5" s="827"/>
      <c r="EN5" s="827"/>
      <c r="EO5" s="827"/>
      <c r="EP5" s="827"/>
      <c r="EQ5" s="827"/>
      <c r="ER5" s="827"/>
      <c r="ES5" s="827"/>
      <c r="ET5" s="827"/>
      <c r="EU5" s="827"/>
      <c r="EV5" s="827"/>
      <c r="EW5" s="827"/>
      <c r="EX5" s="827"/>
      <c r="EY5" s="827"/>
      <c r="EZ5" s="827"/>
      <c r="FA5" s="827"/>
      <c r="FB5" s="827"/>
      <c r="FC5" s="827"/>
      <c r="FD5" s="827"/>
      <c r="FE5" s="827"/>
      <c r="FF5" s="827"/>
      <c r="FG5" s="827"/>
      <c r="FH5" s="827"/>
      <c r="FI5" s="827"/>
      <c r="FJ5" s="827"/>
      <c r="FK5" s="827"/>
      <c r="FL5" s="827"/>
      <c r="FM5" s="827"/>
      <c r="FN5" s="827"/>
      <c r="FO5" s="827"/>
      <c r="FP5" s="827"/>
      <c r="FQ5" s="827"/>
      <c r="FR5" s="827"/>
      <c r="FS5" s="827"/>
      <c r="FT5" s="827"/>
      <c r="FU5" s="827"/>
      <c r="FV5" s="827"/>
      <c r="FW5" s="827"/>
      <c r="FX5" s="827"/>
      <c r="FY5" s="827"/>
      <c r="FZ5" s="827"/>
      <c r="GA5" s="827"/>
      <c r="GB5" s="827"/>
      <c r="GC5" s="827"/>
      <c r="GD5" s="827"/>
      <c r="GE5" s="827"/>
      <c r="GF5" s="827"/>
      <c r="GG5" s="827"/>
      <c r="GH5" s="827"/>
      <c r="GI5" s="827"/>
      <c r="GJ5" s="827"/>
      <c r="GK5" s="827"/>
      <c r="GL5" s="827"/>
      <c r="GM5" s="827"/>
      <c r="GN5" s="827"/>
      <c r="GO5" s="827"/>
      <c r="GP5" s="827"/>
      <c r="GQ5" s="827"/>
      <c r="GR5" s="827"/>
      <c r="GS5" s="827"/>
      <c r="GT5" s="827"/>
      <c r="GU5" s="827"/>
      <c r="GV5" s="827"/>
      <c r="GW5" s="827"/>
      <c r="GX5" s="827"/>
      <c r="GY5" s="827"/>
      <c r="GZ5" s="827"/>
      <c r="HA5" s="827"/>
      <c r="HB5" s="827"/>
      <c r="HC5" s="827"/>
      <c r="HD5" s="827"/>
      <c r="HE5" s="827"/>
      <c r="HF5" s="827"/>
      <c r="HG5" s="827"/>
      <c r="HH5" s="827"/>
      <c r="HI5" s="827"/>
      <c r="HJ5" s="827"/>
      <c r="HK5" s="827"/>
      <c r="HL5" s="827"/>
      <c r="HM5" s="827"/>
      <c r="HN5" s="827"/>
      <c r="HO5" s="827"/>
      <c r="HP5" s="827"/>
      <c r="HQ5" s="827"/>
      <c r="HR5" s="827"/>
      <c r="HS5" s="827"/>
      <c r="HT5" s="827"/>
      <c r="HU5" s="827"/>
      <c r="HV5" s="827"/>
      <c r="HW5" s="827"/>
      <c r="HX5" s="827"/>
      <c r="HY5" s="827"/>
      <c r="HZ5" s="827"/>
      <c r="IA5" s="827"/>
      <c r="IB5" s="827"/>
      <c r="IC5" s="827"/>
      <c r="ID5" s="827"/>
      <c r="IE5" s="827"/>
      <c r="IF5" s="827"/>
      <c r="IG5" s="827"/>
      <c r="IH5" s="827"/>
      <c r="II5" s="827"/>
      <c r="IJ5" s="827"/>
      <c r="IK5" s="827"/>
      <c r="IL5" s="827"/>
      <c r="IM5" s="827"/>
      <c r="IN5" s="827"/>
      <c r="IO5" s="827"/>
      <c r="IP5" s="827"/>
      <c r="IQ5" s="827"/>
      <c r="IR5" s="827"/>
      <c r="IS5" s="827"/>
      <c r="IT5" s="827"/>
      <c r="IU5" s="827"/>
      <c r="IV5" s="827"/>
      <c r="IW5" s="827"/>
      <c r="IX5" s="827"/>
      <c r="IY5" s="827"/>
      <c r="IZ5" s="827"/>
      <c r="JA5" s="827"/>
      <c r="JB5" s="827"/>
      <c r="JC5" s="827"/>
      <c r="JD5" s="827"/>
      <c r="JE5" s="827"/>
      <c r="JF5" s="827"/>
      <c r="JG5" s="827"/>
      <c r="JH5" s="827"/>
      <c r="JI5" s="827"/>
      <c r="JJ5" s="827"/>
      <c r="JK5" s="827"/>
      <c r="JL5" s="827"/>
      <c r="JM5" s="827"/>
      <c r="JN5" s="827"/>
      <c r="JO5" s="827"/>
      <c r="JP5" s="827"/>
      <c r="JQ5" s="827"/>
      <c r="JR5" s="827"/>
      <c r="JS5" s="827"/>
      <c r="JT5" s="827"/>
      <c r="JU5" s="827"/>
      <c r="JV5" s="827"/>
      <c r="JW5" s="827"/>
      <c r="JX5" s="827"/>
      <c r="JY5" s="827"/>
      <c r="JZ5" s="827"/>
      <c r="KA5" s="827"/>
      <c r="KB5" s="827"/>
      <c r="KC5" s="827"/>
      <c r="KD5" s="827"/>
      <c r="KE5" s="827"/>
      <c r="KF5" s="827"/>
      <c r="KG5" s="827"/>
      <c r="KH5" s="827"/>
      <c r="KI5" s="827"/>
      <c r="KJ5" s="827"/>
      <c r="KK5" s="827"/>
      <c r="KL5" s="827"/>
      <c r="KM5" s="827"/>
      <c r="KN5" s="827"/>
      <c r="KO5" s="827"/>
      <c r="KP5" s="827"/>
      <c r="KQ5" s="827"/>
      <c r="KR5" s="827"/>
      <c r="KS5" s="827"/>
      <c r="KT5" s="827"/>
      <c r="KU5" s="827"/>
      <c r="KV5" s="827"/>
      <c r="KW5" s="827"/>
      <c r="KX5" s="827"/>
      <c r="KY5" s="827"/>
      <c r="KZ5" s="827"/>
      <c r="LA5" s="827"/>
      <c r="LB5" s="827"/>
      <c r="LC5" s="827"/>
      <c r="LD5" s="827"/>
      <c r="LE5" s="827"/>
      <c r="LF5" s="827"/>
      <c r="LG5" s="827"/>
      <c r="LH5" s="827"/>
      <c r="LI5" s="827"/>
      <c r="LJ5" s="827"/>
      <c r="LK5" s="827"/>
      <c r="LL5" s="827"/>
      <c r="LM5" s="827"/>
      <c r="LN5" s="827"/>
      <c r="LO5" s="827"/>
      <c r="LP5" s="827"/>
      <c r="LQ5" s="827"/>
      <c r="LR5" s="827"/>
      <c r="LS5" s="827"/>
      <c r="LT5" s="827"/>
      <c r="LU5" s="827"/>
      <c r="LV5" s="827"/>
      <c r="LW5" s="827"/>
      <c r="LX5" s="827"/>
      <c r="LY5" s="827"/>
      <c r="LZ5" s="827"/>
      <c r="MA5" s="827"/>
      <c r="MB5" s="827"/>
      <c r="MC5" s="827"/>
      <c r="MD5" s="827"/>
      <c r="ME5" s="827"/>
      <c r="MF5" s="827"/>
      <c r="MG5" s="827"/>
      <c r="MH5" s="827"/>
      <c r="MI5" s="827"/>
      <c r="MJ5" s="827"/>
      <c r="MK5" s="827"/>
      <c r="ML5" s="827"/>
      <c r="MM5" s="827"/>
      <c r="MN5" s="827"/>
      <c r="MO5" s="827"/>
      <c r="MP5" s="827"/>
      <c r="MQ5" s="827"/>
      <c r="MR5" s="827"/>
      <c r="MS5" s="827"/>
      <c r="MT5" s="827"/>
      <c r="MU5" s="827"/>
      <c r="MV5" s="827"/>
      <c r="MW5" s="827"/>
      <c r="MX5" s="827"/>
      <c r="MY5" s="827"/>
      <c r="MZ5" s="827"/>
      <c r="NA5" s="827"/>
      <c r="NB5" s="827"/>
      <c r="NC5" s="827"/>
      <c r="ND5" s="827"/>
      <c r="NE5" s="827"/>
      <c r="NF5" s="827"/>
      <c r="NG5" s="827"/>
      <c r="NH5" s="827"/>
      <c r="NI5" s="827"/>
      <c r="NJ5" s="827"/>
      <c r="NK5" s="827"/>
      <c r="NL5" s="827"/>
      <c r="NM5" s="827"/>
      <c r="NN5" s="827"/>
      <c r="NO5" s="827"/>
      <c r="NP5" s="827"/>
      <c r="NQ5" s="827"/>
      <c r="NR5" s="827"/>
      <c r="NS5" s="827"/>
      <c r="NT5" s="827"/>
      <c r="NU5" s="827"/>
      <c r="NV5" s="827"/>
      <c r="NW5" s="827"/>
      <c r="NX5" s="827"/>
      <c r="NY5" s="827"/>
      <c r="NZ5" s="827"/>
      <c r="OA5" s="827"/>
      <c r="OB5" s="827"/>
      <c r="OC5" s="827"/>
      <c r="OD5" s="827"/>
      <c r="OE5" s="827"/>
      <c r="OF5" s="827"/>
      <c r="OG5" s="827"/>
      <c r="OH5" s="827"/>
      <c r="OI5" s="827"/>
      <c r="OJ5" s="827"/>
      <c r="OK5" s="827"/>
      <c r="OL5" s="827"/>
      <c r="OM5" s="827"/>
      <c r="ON5" s="827"/>
      <c r="OO5" s="827"/>
      <c r="OP5" s="827"/>
      <c r="OQ5" s="827"/>
      <c r="OR5" s="827"/>
      <c r="OS5" s="827"/>
      <c r="OT5" s="827"/>
      <c r="OU5" s="827"/>
      <c r="OV5" s="827"/>
      <c r="OW5" s="827"/>
      <c r="OX5" s="827"/>
      <c r="OY5" s="827"/>
      <c r="OZ5" s="827"/>
      <c r="PA5" s="827"/>
      <c r="PB5" s="827"/>
      <c r="PC5" s="827"/>
      <c r="PD5" s="827"/>
      <c r="PE5" s="827"/>
      <c r="PF5" s="827"/>
      <c r="PG5" s="827"/>
      <c r="PH5" s="827"/>
      <c r="PI5" s="827"/>
      <c r="PJ5" s="827"/>
      <c r="PK5" s="827"/>
      <c r="PL5" s="827"/>
      <c r="PM5" s="827"/>
      <c r="PN5" s="827"/>
      <c r="PO5" s="827"/>
      <c r="PP5" s="827"/>
      <c r="PQ5" s="827"/>
      <c r="PR5" s="827"/>
      <c r="PS5" s="827"/>
      <c r="PT5" s="827"/>
      <c r="PU5" s="827"/>
      <c r="PV5" s="827"/>
      <c r="PW5" s="827"/>
      <c r="PX5" s="827"/>
      <c r="PY5" s="827"/>
      <c r="PZ5" s="827"/>
      <c r="QA5" s="827"/>
      <c r="QB5" s="827"/>
      <c r="QC5" s="827"/>
      <c r="QD5" s="827"/>
      <c r="QE5" s="827"/>
      <c r="QF5" s="827"/>
      <c r="QG5" s="827"/>
      <c r="QH5" s="827"/>
      <c r="QI5" s="827"/>
      <c r="QJ5" s="827"/>
      <c r="QK5" s="827"/>
      <c r="QL5" s="827"/>
      <c r="QM5" s="827"/>
      <c r="QN5" s="827"/>
      <c r="QO5" s="827"/>
      <c r="QP5" s="827"/>
      <c r="QQ5" s="827"/>
      <c r="QR5" s="827"/>
      <c r="QS5" s="827"/>
      <c r="QT5" s="827"/>
      <c r="QU5" s="827"/>
      <c r="QV5" s="827"/>
      <c r="QW5" s="827"/>
      <c r="QX5" s="827"/>
      <c r="QY5" s="827"/>
      <c r="QZ5" s="827"/>
      <c r="RA5" s="827"/>
      <c r="RB5" s="827"/>
      <c r="RC5" s="827"/>
      <c r="RD5" s="827"/>
      <c r="RE5" s="827"/>
      <c r="RF5" s="827"/>
      <c r="RG5" s="827"/>
      <c r="RH5" s="827"/>
      <c r="RI5" s="827"/>
      <c r="RJ5" s="827"/>
      <c r="RK5" s="827"/>
      <c r="RL5" s="827"/>
      <c r="RM5" s="827"/>
      <c r="RN5" s="827"/>
      <c r="RO5" s="827"/>
      <c r="RP5" s="827"/>
      <c r="RQ5" s="827"/>
      <c r="RR5" s="827"/>
      <c r="RS5" s="827"/>
      <c r="RT5" s="827"/>
      <c r="RU5" s="827"/>
      <c r="RV5" s="827"/>
      <c r="RW5" s="827"/>
      <c r="RX5" s="827"/>
      <c r="RY5" s="827"/>
      <c r="RZ5" s="827"/>
      <c r="SA5" s="827"/>
      <c r="SB5" s="827"/>
      <c r="SC5" s="827"/>
      <c r="SD5" s="827"/>
      <c r="SE5" s="827"/>
      <c r="SF5" s="827"/>
      <c r="SG5" s="827"/>
      <c r="SH5" s="827"/>
      <c r="SI5" s="827"/>
      <c r="SJ5" s="827"/>
      <c r="SK5" s="827"/>
      <c r="SL5" s="827"/>
      <c r="SM5" s="827"/>
      <c r="SN5" s="827"/>
      <c r="SO5" s="827"/>
      <c r="SP5" s="827"/>
      <c r="SQ5" s="827"/>
      <c r="SR5" s="827"/>
      <c r="SS5" s="827"/>
      <c r="ST5" s="827"/>
      <c r="SU5" s="827"/>
      <c r="SV5" s="827"/>
      <c r="SW5" s="827"/>
      <c r="SX5" s="827"/>
      <c r="SY5" s="827"/>
      <c r="SZ5" s="827"/>
      <c r="TA5" s="827"/>
      <c r="TB5" s="827"/>
      <c r="TC5" s="827"/>
      <c r="TD5" s="827"/>
      <c r="TE5" s="827"/>
      <c r="TF5" s="827"/>
      <c r="TG5" s="827"/>
      <c r="TH5" s="827"/>
      <c r="TI5" s="827"/>
      <c r="TJ5" s="827"/>
      <c r="TK5" s="827"/>
      <c r="TL5" s="827"/>
      <c r="TM5" s="827"/>
      <c r="TN5" s="827"/>
      <c r="TO5" s="827"/>
      <c r="TP5" s="827"/>
      <c r="TQ5" s="827"/>
      <c r="TR5" s="827"/>
      <c r="TS5" s="827"/>
      <c r="TT5" s="827"/>
      <c r="TU5" s="827"/>
      <c r="TV5" s="827"/>
      <c r="TW5" s="827"/>
      <c r="TX5" s="827"/>
      <c r="TY5" s="827"/>
      <c r="TZ5" s="827"/>
      <c r="UA5" s="827"/>
      <c r="UB5" s="827"/>
      <c r="UC5" s="827"/>
      <c r="UD5" s="827"/>
      <c r="UE5" s="827"/>
      <c r="UF5" s="827"/>
      <c r="UG5" s="827"/>
      <c r="UH5" s="827"/>
      <c r="UI5" s="827"/>
      <c r="UJ5" s="827"/>
      <c r="UK5" s="827"/>
      <c r="UL5" s="827"/>
      <c r="UM5" s="827"/>
      <c r="UN5" s="827"/>
      <c r="UO5" s="827"/>
      <c r="UP5" s="827"/>
      <c r="UQ5" s="827"/>
      <c r="UR5" s="827"/>
      <c r="US5" s="827"/>
      <c r="UT5" s="827"/>
      <c r="UU5" s="827"/>
      <c r="UV5" s="827"/>
      <c r="UW5" s="827"/>
      <c r="UX5" s="827"/>
      <c r="UY5" s="827"/>
      <c r="UZ5" s="827"/>
      <c r="VA5" s="827"/>
      <c r="VB5" s="827"/>
      <c r="VC5" s="827"/>
      <c r="VD5" s="827"/>
      <c r="VE5" s="827"/>
      <c r="VF5" s="827"/>
      <c r="VG5" s="827"/>
      <c r="VH5" s="827"/>
      <c r="VI5" s="827"/>
      <c r="VJ5" s="827"/>
      <c r="VK5" s="827"/>
      <c r="VL5" s="827"/>
      <c r="VM5" s="827"/>
      <c r="VN5" s="827"/>
      <c r="VO5" s="827"/>
      <c r="VP5" s="827"/>
      <c r="VQ5" s="827"/>
      <c r="VR5" s="827"/>
      <c r="VS5" s="827"/>
      <c r="VT5" s="827"/>
      <c r="VU5" s="827"/>
      <c r="VV5" s="827"/>
      <c r="VW5" s="827"/>
      <c r="VX5" s="827"/>
      <c r="VY5" s="827"/>
      <c r="VZ5" s="827"/>
      <c r="WA5" s="827"/>
      <c r="WB5" s="827"/>
      <c r="WC5" s="827"/>
      <c r="WD5" s="827"/>
      <c r="WE5" s="827"/>
      <c r="WF5" s="827"/>
      <c r="WG5" s="827"/>
      <c r="WH5" s="827"/>
      <c r="WI5" s="827"/>
      <c r="WJ5" s="827"/>
      <c r="WK5" s="827"/>
      <c r="WL5" s="827"/>
      <c r="WM5" s="827"/>
      <c r="WN5" s="827"/>
      <c r="WO5" s="827"/>
      <c r="WP5" s="827"/>
      <c r="WQ5" s="827"/>
      <c r="WR5" s="827"/>
      <c r="WS5" s="827"/>
      <c r="WT5" s="827"/>
      <c r="WU5" s="827"/>
      <c r="WV5" s="827"/>
      <c r="WW5" s="827"/>
      <c r="WX5" s="827"/>
      <c r="WY5" s="827"/>
      <c r="WZ5" s="827"/>
      <c r="XA5" s="827"/>
      <c r="XB5" s="827"/>
      <c r="XC5" s="827"/>
      <c r="XD5" s="827"/>
      <c r="XE5" s="827"/>
      <c r="XF5" s="827"/>
      <c r="XG5" s="827"/>
      <c r="XH5" s="827"/>
      <c r="XI5" s="827"/>
      <c r="XJ5" s="827"/>
      <c r="XK5" s="827"/>
      <c r="XL5" s="827"/>
      <c r="XM5" s="827"/>
      <c r="XN5" s="827"/>
      <c r="XO5" s="827"/>
      <c r="XP5" s="827"/>
      <c r="XQ5" s="827"/>
      <c r="XR5" s="827"/>
      <c r="XS5" s="827"/>
      <c r="XT5" s="827"/>
      <c r="XU5" s="827"/>
      <c r="XV5" s="827"/>
      <c r="XW5" s="827"/>
      <c r="XX5" s="827"/>
      <c r="XY5" s="827"/>
      <c r="XZ5" s="827"/>
      <c r="YA5" s="827"/>
      <c r="YB5" s="827"/>
      <c r="YC5" s="827"/>
      <c r="YD5" s="827"/>
      <c r="YE5" s="827"/>
      <c r="YF5" s="827"/>
      <c r="YG5" s="827"/>
      <c r="YH5" s="827"/>
      <c r="YI5" s="827"/>
      <c r="YJ5" s="827"/>
      <c r="YK5" s="827"/>
      <c r="YL5" s="827"/>
      <c r="YM5" s="827"/>
      <c r="YN5" s="827"/>
      <c r="YO5" s="827"/>
      <c r="YP5" s="827"/>
      <c r="YQ5" s="827"/>
      <c r="YR5" s="827"/>
      <c r="YS5" s="827"/>
      <c r="YT5" s="827"/>
      <c r="YU5" s="827"/>
      <c r="YV5" s="827"/>
      <c r="YW5" s="827"/>
      <c r="YX5" s="827"/>
      <c r="YY5" s="827"/>
      <c r="YZ5" s="827"/>
      <c r="ZA5" s="827"/>
      <c r="ZB5" s="827"/>
      <c r="ZC5" s="827"/>
      <c r="ZD5" s="827"/>
      <c r="ZE5" s="827"/>
      <c r="ZF5" s="827"/>
      <c r="ZG5" s="827"/>
      <c r="ZH5" s="827"/>
      <c r="ZI5" s="827"/>
      <c r="ZJ5" s="827"/>
      <c r="ZK5" s="827"/>
      <c r="ZL5" s="827"/>
      <c r="ZM5" s="827"/>
      <c r="ZN5" s="827"/>
      <c r="ZO5" s="827"/>
      <c r="ZP5" s="827"/>
      <c r="ZQ5" s="827"/>
      <c r="ZR5" s="827"/>
      <c r="ZS5" s="827"/>
      <c r="ZT5" s="827"/>
      <c r="ZU5" s="827"/>
      <c r="ZV5" s="827"/>
      <c r="ZW5" s="827"/>
      <c r="ZX5" s="827"/>
      <c r="ZY5" s="827"/>
      <c r="ZZ5" s="827"/>
      <c r="AAA5" s="827"/>
      <c r="AAB5" s="827"/>
      <c r="AAC5" s="827"/>
      <c r="AAD5" s="827"/>
      <c r="AAE5" s="827"/>
      <c r="AAF5" s="827"/>
      <c r="AAG5" s="827"/>
      <c r="AAH5" s="827"/>
      <c r="AAI5" s="827"/>
      <c r="AAJ5" s="827"/>
      <c r="AAK5" s="827"/>
      <c r="AAL5" s="827"/>
      <c r="AAM5" s="827"/>
      <c r="AAN5" s="827"/>
      <c r="AAO5" s="827"/>
      <c r="AAP5" s="827"/>
      <c r="AAQ5" s="827"/>
      <c r="AAR5" s="827"/>
      <c r="AAS5" s="827"/>
      <c r="AAT5" s="827"/>
      <c r="AAU5" s="827"/>
      <c r="AAV5" s="827"/>
      <c r="AAW5" s="827"/>
      <c r="AAX5" s="827"/>
      <c r="AAY5" s="827"/>
      <c r="AAZ5" s="827"/>
      <c r="ABA5" s="827"/>
      <c r="ABB5" s="827"/>
      <c r="ABC5" s="827"/>
      <c r="ABD5" s="827"/>
      <c r="ABE5" s="827"/>
      <c r="ABF5" s="827"/>
      <c r="ABG5" s="827"/>
      <c r="ABH5" s="827"/>
      <c r="ABI5" s="827"/>
      <c r="ABJ5" s="827"/>
      <c r="ABK5" s="827"/>
      <c r="ABL5" s="827"/>
      <c r="ABM5" s="827"/>
      <c r="ABN5" s="827"/>
      <c r="ABO5" s="827"/>
      <c r="ABP5" s="827"/>
      <c r="ABQ5" s="827"/>
      <c r="ABR5" s="827"/>
      <c r="ABS5" s="827"/>
      <c r="ABT5" s="827"/>
      <c r="ABU5" s="827"/>
      <c r="ABV5" s="827"/>
      <c r="ABW5" s="827"/>
      <c r="ABX5" s="827"/>
      <c r="ABY5" s="827"/>
      <c r="ABZ5" s="827"/>
      <c r="ACA5" s="827"/>
      <c r="ACB5" s="827"/>
      <c r="ACC5" s="827"/>
      <c r="ACD5" s="827"/>
      <c r="ACE5" s="827"/>
      <c r="ACF5" s="827"/>
      <c r="ACG5" s="827"/>
      <c r="ACH5" s="827"/>
      <c r="ACI5" s="827"/>
      <c r="ACJ5" s="827"/>
      <c r="ACK5" s="827"/>
      <c r="ACL5" s="827"/>
      <c r="ACM5" s="827"/>
      <c r="ACN5" s="827"/>
      <c r="ACO5" s="827"/>
      <c r="ACP5" s="827"/>
      <c r="ACQ5" s="827"/>
      <c r="ACR5" s="827"/>
      <c r="ACS5" s="827"/>
      <c r="ACT5" s="827"/>
      <c r="ACU5" s="827"/>
      <c r="ACV5" s="827"/>
      <c r="ACW5" s="827"/>
      <c r="ACX5" s="827"/>
      <c r="ACY5" s="827"/>
      <c r="ACZ5" s="827"/>
      <c r="ADA5" s="827"/>
      <c r="ADB5" s="827"/>
      <c r="ADC5" s="827"/>
      <c r="ADD5" s="827"/>
      <c r="ADE5" s="827"/>
      <c r="ADF5" s="827"/>
      <c r="ADG5" s="827"/>
      <c r="ADH5" s="827"/>
      <c r="ADI5" s="827"/>
      <c r="ADJ5" s="827"/>
      <c r="ADK5" s="827"/>
      <c r="ADL5" s="827"/>
      <c r="ADM5" s="827"/>
      <c r="ADN5" s="827"/>
      <c r="ADO5" s="827"/>
      <c r="ADP5" s="827"/>
      <c r="ADQ5" s="827"/>
      <c r="ADR5" s="827"/>
      <c r="ADS5" s="827"/>
      <c r="ADT5" s="827"/>
      <c r="ADU5" s="827"/>
      <c r="ADV5" s="827"/>
      <c r="ADW5" s="827"/>
      <c r="ADX5" s="827"/>
      <c r="ADY5" s="827"/>
      <c r="ADZ5" s="827"/>
      <c r="AEA5" s="827"/>
      <c r="AEB5" s="827"/>
      <c r="AEC5" s="827"/>
      <c r="AED5" s="827"/>
      <c r="AEE5" s="827"/>
      <c r="AEF5" s="827"/>
      <c r="AEG5" s="827"/>
      <c r="AEH5" s="827"/>
      <c r="AEI5" s="827"/>
      <c r="AEJ5" s="827"/>
      <c r="AEK5" s="827"/>
      <c r="AEL5" s="827"/>
      <c r="AEM5" s="827"/>
      <c r="AEN5" s="827"/>
      <c r="AEO5" s="827"/>
      <c r="AEP5" s="827"/>
      <c r="AEQ5" s="827"/>
      <c r="AER5" s="827"/>
      <c r="AES5" s="827"/>
      <c r="AET5" s="827"/>
      <c r="AEU5" s="827"/>
      <c r="AEV5" s="827"/>
      <c r="AEW5" s="827"/>
      <c r="AEX5" s="827"/>
      <c r="AEY5" s="827"/>
      <c r="AEZ5" s="827"/>
      <c r="AFA5" s="827"/>
      <c r="AFB5" s="827"/>
      <c r="AFC5" s="827"/>
      <c r="AFD5" s="827"/>
      <c r="AFE5" s="827"/>
      <c r="AFF5" s="827"/>
      <c r="AFG5" s="827"/>
      <c r="AFH5" s="827"/>
      <c r="AFI5" s="827"/>
      <c r="AFJ5" s="827"/>
      <c r="AFK5" s="827"/>
      <c r="AFL5" s="827"/>
      <c r="AFM5" s="827"/>
      <c r="AFN5" s="827"/>
      <c r="AFO5" s="827"/>
      <c r="AFP5" s="827"/>
      <c r="AFQ5" s="827"/>
      <c r="AFR5" s="827"/>
      <c r="AFS5" s="827"/>
      <c r="AFT5" s="827"/>
      <c r="AFU5" s="827"/>
      <c r="AFV5" s="827"/>
      <c r="AFW5" s="827"/>
      <c r="AFX5" s="827"/>
      <c r="AFY5" s="827"/>
      <c r="AFZ5" s="827"/>
      <c r="AGA5" s="827"/>
      <c r="AGB5" s="827"/>
      <c r="AGC5" s="827"/>
      <c r="AGD5" s="827"/>
      <c r="AGE5" s="827"/>
      <c r="AGF5" s="827"/>
      <c r="AGG5" s="827"/>
      <c r="AGH5" s="827"/>
      <c r="AGI5" s="827"/>
      <c r="AGJ5" s="827"/>
      <c r="AGK5" s="827"/>
      <c r="AGL5" s="827"/>
      <c r="AGM5" s="827"/>
      <c r="AGN5" s="827"/>
      <c r="AGO5" s="827"/>
      <c r="AGP5" s="827"/>
      <c r="AGQ5" s="827"/>
      <c r="AGR5" s="827"/>
      <c r="AGS5" s="827"/>
      <c r="AGT5" s="827"/>
      <c r="AGU5" s="827"/>
      <c r="AGV5" s="827"/>
      <c r="AGW5" s="827"/>
      <c r="AGX5" s="827"/>
      <c r="AGY5" s="827"/>
      <c r="AGZ5" s="827"/>
      <c r="AHA5" s="827"/>
      <c r="AHB5" s="827"/>
      <c r="AHC5" s="827"/>
      <c r="AHD5" s="827"/>
      <c r="AHE5" s="827"/>
      <c r="AHF5" s="827"/>
      <c r="AHG5" s="827"/>
      <c r="AHH5" s="827"/>
      <c r="AHI5" s="827"/>
      <c r="AHJ5" s="827"/>
      <c r="AHK5" s="827"/>
      <c r="AHL5" s="827"/>
      <c r="AHM5" s="827"/>
      <c r="AHN5" s="827"/>
      <c r="AHO5" s="827"/>
      <c r="AHP5" s="827"/>
      <c r="AHQ5" s="827"/>
      <c r="AHR5" s="827"/>
      <c r="AHS5" s="827"/>
      <c r="AHT5" s="827"/>
      <c r="AHU5" s="827"/>
      <c r="AHV5" s="827"/>
      <c r="AHW5" s="827"/>
      <c r="AHX5" s="827"/>
      <c r="AHY5" s="827"/>
      <c r="AHZ5" s="827"/>
      <c r="AIA5" s="827"/>
      <c r="AIB5" s="827"/>
      <c r="AIC5" s="827"/>
      <c r="AID5" s="827"/>
      <c r="AIE5" s="827"/>
      <c r="AIF5" s="827"/>
      <c r="AIG5" s="827"/>
      <c r="AIH5" s="827"/>
      <c r="AII5" s="827"/>
      <c r="AIJ5" s="827"/>
      <c r="AIK5" s="827"/>
      <c r="AIL5" s="827"/>
      <c r="AIM5" s="827"/>
      <c r="AIN5" s="827"/>
      <c r="AIO5" s="827"/>
      <c r="AIP5" s="827"/>
      <c r="AIQ5" s="827"/>
      <c r="AIR5" s="827"/>
      <c r="AIS5" s="827"/>
      <c r="AIT5" s="827"/>
      <c r="AIU5" s="827"/>
      <c r="AIV5" s="827"/>
      <c r="AIW5" s="827"/>
      <c r="AIX5" s="827"/>
      <c r="AIY5" s="827"/>
      <c r="AIZ5" s="827"/>
      <c r="AJA5" s="827"/>
      <c r="AJB5" s="827"/>
      <c r="AJC5" s="827"/>
      <c r="AJD5" s="827"/>
      <c r="AJE5" s="827"/>
      <c r="AJF5" s="827"/>
      <c r="AJG5" s="827"/>
      <c r="AJH5" s="827"/>
      <c r="AJI5" s="827"/>
      <c r="AJJ5" s="827"/>
      <c r="AJK5" s="827"/>
      <c r="AJL5" s="827"/>
      <c r="AJM5" s="827"/>
      <c r="AJN5" s="827"/>
      <c r="AJO5" s="827"/>
      <c r="AJP5" s="827"/>
      <c r="AJQ5" s="827"/>
      <c r="AJR5" s="827"/>
      <c r="AJS5" s="827"/>
      <c r="AJT5" s="827"/>
      <c r="AJU5" s="827"/>
      <c r="AJV5" s="827"/>
      <c r="AJW5" s="827"/>
      <c r="AJX5" s="827"/>
      <c r="AJY5" s="827"/>
      <c r="AJZ5" s="827"/>
      <c r="AKA5" s="827"/>
      <c r="AKB5" s="827"/>
      <c r="AKC5" s="827"/>
      <c r="AKD5" s="827"/>
      <c r="AKE5" s="827"/>
      <c r="AKF5" s="827"/>
      <c r="AKG5" s="827"/>
      <c r="AKH5" s="827"/>
      <c r="AKI5" s="827"/>
      <c r="AKJ5" s="827"/>
      <c r="AKK5" s="827"/>
      <c r="AKL5" s="827"/>
      <c r="AKM5" s="827"/>
      <c r="AKN5" s="827"/>
      <c r="AKO5" s="827"/>
      <c r="AKP5" s="827"/>
      <c r="AKQ5" s="827"/>
      <c r="AKR5" s="827"/>
      <c r="AKS5" s="827"/>
      <c r="AKT5" s="827"/>
      <c r="AKU5" s="827"/>
      <c r="AKV5" s="827"/>
      <c r="AKW5" s="827"/>
      <c r="AKX5" s="827"/>
      <c r="AKY5" s="827"/>
      <c r="AKZ5" s="827"/>
      <c r="ALA5" s="827"/>
      <c r="ALB5" s="827"/>
      <c r="ALC5" s="827"/>
      <c r="ALD5" s="827"/>
      <c r="ALE5" s="827"/>
      <c r="ALF5" s="827"/>
      <c r="ALG5" s="827"/>
      <c r="ALH5" s="827"/>
      <c r="ALI5" s="827"/>
      <c r="ALJ5" s="827"/>
      <c r="ALK5" s="827"/>
      <c r="ALL5" s="827"/>
      <c r="ALM5" s="827"/>
      <c r="ALN5" s="827"/>
      <c r="ALO5" s="827"/>
      <c r="ALP5" s="827"/>
      <c r="ALQ5" s="827"/>
      <c r="ALR5" s="827"/>
      <c r="ALS5" s="827"/>
      <c r="ALT5" s="827"/>
      <c r="ALU5" s="827"/>
      <c r="ALV5" s="827"/>
      <c r="ALW5" s="827"/>
      <c r="ALX5" s="827"/>
      <c r="ALY5" s="827"/>
      <c r="ALZ5" s="827"/>
      <c r="AMA5" s="827"/>
      <c r="AMB5" s="827"/>
      <c r="AMC5" s="827"/>
      <c r="AMD5" s="827"/>
      <c r="AME5" s="827"/>
      <c r="AMF5" s="827"/>
      <c r="AMG5" s="827"/>
      <c r="AMH5" s="827"/>
      <c r="AMI5" s="827"/>
      <c r="AMJ5" s="827"/>
      <c r="AMK5" s="827"/>
      <c r="AML5" s="827"/>
      <c r="AMM5" s="827"/>
      <c r="AMN5" s="827"/>
      <c r="AMO5" s="827"/>
      <c r="AMP5" s="827"/>
      <c r="AMQ5" s="827"/>
      <c r="AMR5" s="827"/>
      <c r="AMS5" s="827"/>
      <c r="AMT5" s="827"/>
      <c r="AMU5" s="827"/>
      <c r="AMV5" s="827"/>
      <c r="AMW5" s="827"/>
      <c r="AMX5" s="827"/>
      <c r="AMY5" s="827"/>
      <c r="AMZ5" s="827"/>
      <c r="ANA5" s="827"/>
      <c r="ANB5" s="827"/>
      <c r="ANC5" s="827"/>
      <c r="AND5" s="827"/>
      <c r="ANE5" s="827"/>
      <c r="ANF5" s="827"/>
      <c r="ANG5" s="827"/>
      <c r="ANH5" s="827"/>
      <c r="ANI5" s="827"/>
      <c r="ANJ5" s="827"/>
      <c r="ANK5" s="827"/>
      <c r="ANL5" s="827"/>
      <c r="ANM5" s="827"/>
      <c r="ANN5" s="827"/>
      <c r="ANO5" s="827"/>
      <c r="ANP5" s="827"/>
      <c r="ANQ5" s="827"/>
      <c r="ANR5" s="827"/>
      <c r="ANS5" s="827"/>
      <c r="ANT5" s="827"/>
      <c r="ANU5" s="827"/>
      <c r="ANV5" s="827"/>
      <c r="ANW5" s="827"/>
      <c r="ANX5" s="827"/>
      <c r="ANY5" s="827"/>
      <c r="ANZ5" s="827"/>
      <c r="AOA5" s="827"/>
      <c r="AOB5" s="827"/>
      <c r="AOC5" s="827"/>
      <c r="AOD5" s="827"/>
      <c r="AOE5" s="827"/>
      <c r="AOF5" s="827"/>
      <c r="AOG5" s="827"/>
      <c r="AOH5" s="827"/>
      <c r="AOI5" s="827"/>
      <c r="AOJ5" s="827"/>
      <c r="AOK5" s="827"/>
      <c r="AOL5" s="827"/>
      <c r="AOM5" s="827"/>
      <c r="AON5" s="827"/>
      <c r="AOO5" s="827"/>
      <c r="AOP5" s="827"/>
      <c r="AOQ5" s="827"/>
      <c r="AOR5" s="827"/>
      <c r="AOS5" s="827"/>
      <c r="AOT5" s="827"/>
      <c r="AOU5" s="827"/>
      <c r="AOV5" s="827"/>
      <c r="AOW5" s="827"/>
      <c r="AOX5" s="827"/>
      <c r="AOY5" s="827"/>
      <c r="AOZ5" s="827"/>
      <c r="APA5" s="827"/>
      <c r="APB5" s="827"/>
      <c r="APC5" s="827"/>
      <c r="APD5" s="827"/>
      <c r="APE5" s="827"/>
      <c r="APF5" s="827"/>
      <c r="APG5" s="827"/>
      <c r="APH5" s="827"/>
      <c r="API5" s="827"/>
      <c r="APJ5" s="827"/>
      <c r="APK5" s="827"/>
      <c r="APL5" s="827"/>
      <c r="APM5" s="827"/>
      <c r="APN5" s="827"/>
      <c r="APO5" s="827"/>
      <c r="APP5" s="827"/>
      <c r="APQ5" s="827"/>
      <c r="APR5" s="827"/>
      <c r="APS5" s="827"/>
      <c r="APT5" s="827"/>
      <c r="APU5" s="827"/>
      <c r="APV5" s="827"/>
      <c r="APW5" s="827"/>
      <c r="APX5" s="827"/>
      <c r="APY5" s="827"/>
      <c r="APZ5" s="827"/>
      <c r="AQA5" s="827"/>
      <c r="AQB5" s="827"/>
      <c r="AQC5" s="827"/>
      <c r="AQD5" s="827"/>
      <c r="AQE5" s="827"/>
      <c r="AQF5" s="827"/>
      <c r="AQG5" s="827"/>
      <c r="AQH5" s="827"/>
      <c r="AQI5" s="827"/>
      <c r="AQJ5" s="827"/>
      <c r="AQK5" s="827"/>
      <c r="AQL5" s="827"/>
      <c r="AQM5" s="827"/>
      <c r="AQN5" s="827"/>
      <c r="AQO5" s="827"/>
      <c r="AQP5" s="827"/>
      <c r="AQQ5" s="827"/>
      <c r="AQR5" s="827"/>
      <c r="AQS5" s="827"/>
      <c r="AQT5" s="827"/>
      <c r="AQU5" s="827"/>
      <c r="AQV5" s="827"/>
      <c r="AQW5" s="827"/>
      <c r="AQX5" s="827"/>
      <c r="AQY5" s="827"/>
      <c r="AQZ5" s="827"/>
      <c r="ARA5" s="827"/>
      <c r="ARB5" s="827"/>
      <c r="ARC5" s="827"/>
      <c r="ARD5" s="827"/>
      <c r="ARE5" s="827"/>
      <c r="ARF5" s="827"/>
      <c r="ARG5" s="827"/>
      <c r="ARH5" s="827"/>
      <c r="ARI5" s="827"/>
      <c r="ARJ5" s="827"/>
      <c r="ARK5" s="827"/>
      <c r="ARL5" s="827"/>
      <c r="ARM5" s="827"/>
      <c r="ARN5" s="827"/>
      <c r="ARO5" s="827"/>
      <c r="ARP5" s="827"/>
      <c r="ARQ5" s="827"/>
      <c r="ARR5" s="827"/>
      <c r="ARS5" s="827"/>
      <c r="ART5" s="827"/>
      <c r="ARU5" s="827"/>
      <c r="ARV5" s="827"/>
      <c r="ARW5" s="827"/>
      <c r="ARX5" s="827"/>
      <c r="ARY5" s="827"/>
      <c r="ARZ5" s="827"/>
      <c r="ASA5" s="827"/>
      <c r="ASB5" s="827"/>
      <c r="ASC5" s="827"/>
      <c r="ASD5" s="827"/>
      <c r="ASE5" s="827"/>
      <c r="ASF5" s="827"/>
      <c r="ASG5" s="827"/>
      <c r="ASH5" s="827"/>
      <c r="ASI5" s="827"/>
      <c r="ASJ5" s="827"/>
      <c r="ASK5" s="827"/>
      <c r="ASL5" s="827"/>
      <c r="ASM5" s="827"/>
      <c r="ASN5" s="827"/>
      <c r="ASO5" s="827"/>
      <c r="ASP5" s="827"/>
      <c r="ASQ5" s="827"/>
      <c r="ASR5" s="827"/>
      <c r="ASS5" s="827"/>
      <c r="AST5" s="827"/>
      <c r="ASU5" s="827"/>
      <c r="ASV5" s="827"/>
      <c r="ASW5" s="827"/>
      <c r="ASX5" s="827"/>
      <c r="ASY5" s="827"/>
      <c r="ASZ5" s="827"/>
      <c r="ATA5" s="827"/>
      <c r="ATB5" s="827"/>
      <c r="ATC5" s="827"/>
      <c r="ATD5" s="827"/>
      <c r="ATE5" s="827"/>
      <c r="ATF5" s="827"/>
      <c r="ATG5" s="827"/>
      <c r="ATH5" s="827"/>
      <c r="ATI5" s="827"/>
      <c r="ATJ5" s="827"/>
      <c r="ATK5" s="827"/>
      <c r="ATL5" s="827"/>
      <c r="ATM5" s="827"/>
      <c r="ATN5" s="827"/>
      <c r="ATO5" s="827"/>
      <c r="ATP5" s="827"/>
      <c r="ATQ5" s="827"/>
      <c r="ATR5" s="827"/>
      <c r="ATS5" s="827"/>
      <c r="ATT5" s="827"/>
      <c r="ATU5" s="827"/>
      <c r="ATV5" s="827"/>
      <c r="ATW5" s="827"/>
      <c r="ATX5" s="827"/>
      <c r="ATY5" s="827"/>
      <c r="ATZ5" s="827"/>
      <c r="AUA5" s="827"/>
      <c r="AUB5" s="827"/>
      <c r="AUC5" s="827"/>
      <c r="AUD5" s="827"/>
      <c r="AUE5" s="827"/>
      <c r="AUF5" s="827"/>
      <c r="AUG5" s="827"/>
      <c r="AUH5" s="827"/>
      <c r="AUI5" s="827"/>
      <c r="AUJ5" s="827"/>
      <c r="AUK5" s="827"/>
      <c r="AUL5" s="827"/>
      <c r="AUM5" s="827"/>
      <c r="AUN5" s="827"/>
      <c r="AUO5" s="827"/>
      <c r="AUP5" s="827"/>
      <c r="AUQ5" s="827"/>
      <c r="AUR5" s="827"/>
      <c r="AUS5" s="827"/>
      <c r="AUT5" s="827"/>
      <c r="AUU5" s="827"/>
      <c r="AUV5" s="827"/>
      <c r="AUW5" s="827"/>
      <c r="AUX5" s="827"/>
      <c r="AUY5" s="827"/>
      <c r="AUZ5" s="827"/>
      <c r="AVA5" s="827"/>
      <c r="AVB5" s="827"/>
      <c r="AVC5" s="827"/>
      <c r="AVD5" s="827"/>
      <c r="AVE5" s="827"/>
      <c r="AVF5" s="827"/>
      <c r="AVG5" s="827"/>
      <c r="AVH5" s="827"/>
      <c r="AVI5" s="827"/>
      <c r="AVJ5" s="827"/>
      <c r="AVK5" s="827"/>
      <c r="AVL5" s="827"/>
      <c r="AVM5" s="827"/>
      <c r="AVN5" s="827"/>
      <c r="AVO5" s="827"/>
      <c r="AVP5" s="827"/>
      <c r="AVQ5" s="827"/>
      <c r="AVR5" s="827"/>
      <c r="AVS5" s="827"/>
      <c r="AVT5" s="827"/>
      <c r="AVU5" s="827"/>
      <c r="AVV5" s="827"/>
      <c r="AVW5" s="827"/>
      <c r="AVX5" s="827"/>
      <c r="AVY5" s="827"/>
      <c r="AVZ5" s="827"/>
      <c r="AWA5" s="827"/>
      <c r="AWB5" s="827"/>
      <c r="AWC5" s="827"/>
      <c r="AWD5" s="827"/>
      <c r="AWE5" s="827"/>
      <c r="AWF5" s="827"/>
      <c r="AWG5" s="827"/>
      <c r="AWH5" s="827"/>
      <c r="AWI5" s="827"/>
      <c r="AWJ5" s="827"/>
      <c r="AWK5" s="827"/>
      <c r="AWL5" s="827"/>
      <c r="AWM5" s="827"/>
      <c r="AWN5" s="827"/>
      <c r="AWO5" s="827"/>
      <c r="AWP5" s="827"/>
      <c r="AWQ5" s="827"/>
      <c r="AWR5" s="827"/>
      <c r="AWS5" s="827"/>
      <c r="AWT5" s="827"/>
      <c r="AWU5" s="827"/>
      <c r="AWV5" s="827"/>
      <c r="AWW5" s="827"/>
      <c r="AWX5" s="827"/>
      <c r="AWY5" s="827"/>
      <c r="AWZ5" s="827"/>
      <c r="AXA5" s="827"/>
      <c r="AXB5" s="827"/>
      <c r="AXC5" s="827"/>
      <c r="AXD5" s="827"/>
      <c r="AXE5" s="827"/>
      <c r="AXF5" s="827"/>
      <c r="AXG5" s="827"/>
      <c r="AXH5" s="827"/>
      <c r="AXI5" s="827"/>
      <c r="AXJ5" s="827"/>
      <c r="AXK5" s="827"/>
      <c r="AXL5" s="827"/>
      <c r="AXM5" s="827"/>
      <c r="AXN5" s="827"/>
      <c r="AXO5" s="827"/>
      <c r="AXP5" s="827"/>
      <c r="AXQ5" s="827"/>
      <c r="AXR5" s="827"/>
      <c r="AXS5" s="827"/>
      <c r="AXT5" s="827"/>
      <c r="AXU5" s="827"/>
      <c r="AXV5" s="827"/>
      <c r="AXW5" s="827"/>
      <c r="AXX5" s="827"/>
      <c r="AXY5" s="827"/>
      <c r="AXZ5" s="827"/>
      <c r="AYA5" s="827"/>
      <c r="AYB5" s="827"/>
      <c r="AYC5" s="827"/>
      <c r="AYD5" s="827"/>
      <c r="AYE5" s="827"/>
      <c r="AYF5" s="827"/>
      <c r="AYG5" s="827"/>
      <c r="AYH5" s="827"/>
      <c r="AYI5" s="827"/>
      <c r="AYJ5" s="827"/>
      <c r="AYK5" s="827"/>
      <c r="AYL5" s="827"/>
      <c r="AYM5" s="827"/>
      <c r="AYN5" s="827"/>
      <c r="AYO5" s="827"/>
      <c r="AYP5" s="827"/>
      <c r="AYQ5" s="827"/>
      <c r="AYR5" s="827"/>
      <c r="AYS5" s="827"/>
      <c r="AYT5" s="827"/>
      <c r="AYU5" s="827"/>
      <c r="AYV5" s="827"/>
      <c r="AYW5" s="827"/>
      <c r="AYX5" s="827"/>
      <c r="AYY5" s="827"/>
      <c r="AYZ5" s="827"/>
      <c r="AZA5" s="827"/>
      <c r="AZB5" s="827"/>
      <c r="AZC5" s="827"/>
      <c r="AZD5" s="827"/>
      <c r="AZE5" s="827"/>
      <c r="AZF5" s="827"/>
      <c r="AZG5" s="827"/>
      <c r="AZH5" s="827"/>
      <c r="AZI5" s="827"/>
      <c r="AZJ5" s="827"/>
      <c r="AZK5" s="827"/>
      <c r="AZL5" s="827"/>
      <c r="AZM5" s="827"/>
      <c r="AZN5" s="827"/>
      <c r="AZO5" s="827"/>
      <c r="AZP5" s="827"/>
      <c r="AZQ5" s="827"/>
      <c r="AZR5" s="827"/>
      <c r="AZS5" s="827"/>
      <c r="AZT5" s="827"/>
      <c r="AZU5" s="827"/>
      <c r="AZV5" s="827"/>
      <c r="AZW5" s="827"/>
      <c r="AZX5" s="827"/>
      <c r="AZY5" s="827"/>
      <c r="AZZ5" s="827"/>
      <c r="BAA5" s="827"/>
      <c r="BAB5" s="827"/>
      <c r="BAC5" s="827"/>
      <c r="BAD5" s="827"/>
      <c r="BAE5" s="827"/>
      <c r="BAF5" s="827"/>
      <c r="BAG5" s="827"/>
      <c r="BAH5" s="827"/>
      <c r="BAI5" s="827"/>
      <c r="BAJ5" s="827"/>
      <c r="BAK5" s="827"/>
      <c r="BAL5" s="827"/>
      <c r="BAM5" s="827"/>
      <c r="BAN5" s="827"/>
      <c r="BAO5" s="827"/>
      <c r="BAP5" s="827"/>
      <c r="BAQ5" s="827"/>
      <c r="BAR5" s="827"/>
      <c r="BAS5" s="827"/>
      <c r="BAT5" s="827"/>
      <c r="BAU5" s="827"/>
      <c r="BAV5" s="827"/>
      <c r="BAW5" s="827"/>
      <c r="BAX5" s="827"/>
      <c r="BAY5" s="827"/>
      <c r="BAZ5" s="827"/>
      <c r="BBA5" s="827"/>
      <c r="BBB5" s="827"/>
      <c r="BBC5" s="827"/>
      <c r="BBD5" s="827"/>
      <c r="BBE5" s="827"/>
      <c r="BBF5" s="827"/>
      <c r="BBG5" s="827"/>
      <c r="BBH5" s="827"/>
      <c r="BBI5" s="827"/>
      <c r="BBJ5" s="827"/>
      <c r="BBK5" s="827"/>
      <c r="BBL5" s="827"/>
      <c r="BBM5" s="827"/>
      <c r="BBN5" s="827"/>
      <c r="BBO5" s="827"/>
      <c r="BBP5" s="827"/>
      <c r="BBQ5" s="827"/>
      <c r="BBR5" s="827"/>
      <c r="BBS5" s="827"/>
      <c r="BBT5" s="827"/>
      <c r="BBU5" s="827"/>
      <c r="BBV5" s="827"/>
      <c r="BBW5" s="827"/>
      <c r="BBX5" s="827"/>
      <c r="BBY5" s="827"/>
      <c r="BBZ5" s="827"/>
      <c r="BCA5" s="827"/>
      <c r="BCB5" s="827"/>
      <c r="BCC5" s="827"/>
      <c r="BCD5" s="827"/>
      <c r="BCE5" s="827"/>
      <c r="BCF5" s="827"/>
      <c r="BCG5" s="827"/>
      <c r="BCH5" s="827"/>
      <c r="BCI5" s="827"/>
      <c r="BCJ5" s="827"/>
      <c r="BCK5" s="827"/>
      <c r="BCL5" s="827"/>
      <c r="BCM5" s="827"/>
      <c r="BCN5" s="827"/>
      <c r="BCO5" s="827"/>
      <c r="BCP5" s="827"/>
      <c r="BCQ5" s="827"/>
      <c r="BCR5" s="827"/>
      <c r="BCS5" s="827"/>
      <c r="BCT5" s="827"/>
      <c r="BCU5" s="827"/>
      <c r="BCV5" s="827"/>
      <c r="BCW5" s="827"/>
      <c r="BCX5" s="827"/>
      <c r="BCY5" s="827"/>
      <c r="BCZ5" s="827"/>
      <c r="BDA5" s="827"/>
      <c r="BDB5" s="827"/>
      <c r="BDC5" s="827"/>
      <c r="BDD5" s="827"/>
      <c r="BDE5" s="827"/>
      <c r="BDF5" s="827"/>
      <c r="BDG5" s="827"/>
      <c r="BDH5" s="827"/>
      <c r="BDI5" s="827"/>
      <c r="BDJ5" s="827"/>
      <c r="BDK5" s="827"/>
      <c r="BDL5" s="827"/>
      <c r="BDM5" s="827"/>
      <c r="BDN5" s="827"/>
      <c r="BDO5" s="827"/>
      <c r="BDP5" s="827"/>
      <c r="BDQ5" s="827"/>
      <c r="BDR5" s="827"/>
      <c r="BDS5" s="827"/>
      <c r="BDT5" s="827"/>
      <c r="BDU5" s="827"/>
      <c r="BDV5" s="827"/>
      <c r="BDW5" s="827"/>
      <c r="BDX5" s="827"/>
      <c r="BDY5" s="827"/>
      <c r="BDZ5" s="827"/>
      <c r="BEA5" s="827"/>
      <c r="BEB5" s="827"/>
      <c r="BEC5" s="827"/>
      <c r="BED5" s="827"/>
      <c r="BEE5" s="827"/>
      <c r="BEF5" s="827"/>
      <c r="BEG5" s="827"/>
      <c r="BEH5" s="827"/>
      <c r="BEI5" s="827"/>
      <c r="BEJ5" s="827"/>
      <c r="BEK5" s="827"/>
      <c r="BEL5" s="827"/>
      <c r="BEM5" s="827"/>
      <c r="BEN5" s="827"/>
      <c r="BEO5" s="827"/>
      <c r="BEP5" s="827"/>
      <c r="BEQ5" s="827"/>
      <c r="BER5" s="827"/>
      <c r="BES5" s="827"/>
      <c r="BET5" s="827"/>
      <c r="BEU5" s="827"/>
      <c r="BEV5" s="827"/>
      <c r="BEW5" s="827"/>
      <c r="BEX5" s="827"/>
      <c r="BEY5" s="827"/>
      <c r="BEZ5" s="827"/>
      <c r="BFA5" s="827"/>
      <c r="BFB5" s="827"/>
      <c r="BFC5" s="827"/>
      <c r="BFD5" s="827"/>
      <c r="BFE5" s="827"/>
      <c r="BFF5" s="827"/>
      <c r="BFG5" s="827"/>
      <c r="BFH5" s="827"/>
      <c r="BFI5" s="827"/>
      <c r="BFJ5" s="827"/>
      <c r="BFK5" s="827"/>
      <c r="BFL5" s="827"/>
      <c r="BFM5" s="827"/>
      <c r="BFN5" s="827"/>
      <c r="BFO5" s="827"/>
      <c r="BFP5" s="827"/>
      <c r="BFQ5" s="827"/>
      <c r="BFR5" s="827"/>
      <c r="BFS5" s="827"/>
      <c r="BFT5" s="827"/>
      <c r="BFU5" s="827"/>
      <c r="BFV5" s="827"/>
      <c r="BFW5" s="827"/>
      <c r="BFX5" s="827"/>
      <c r="BFY5" s="827"/>
      <c r="BFZ5" s="827"/>
      <c r="BGA5" s="827"/>
      <c r="BGB5" s="827"/>
      <c r="BGC5" s="827"/>
      <c r="BGD5" s="827"/>
      <c r="BGE5" s="827"/>
      <c r="BGF5" s="827"/>
      <c r="BGG5" s="827"/>
      <c r="BGH5" s="827"/>
      <c r="BGI5" s="827"/>
      <c r="BGJ5" s="827"/>
      <c r="BGK5" s="827"/>
      <c r="BGL5" s="827"/>
      <c r="BGM5" s="827"/>
      <c r="BGN5" s="827"/>
      <c r="BGO5" s="827"/>
      <c r="BGP5" s="827"/>
      <c r="BGQ5" s="827"/>
      <c r="BGR5" s="827"/>
      <c r="BGS5" s="827"/>
      <c r="BGT5" s="827"/>
      <c r="BGU5" s="827"/>
      <c r="BGV5" s="827"/>
      <c r="BGW5" s="827"/>
      <c r="BGX5" s="827"/>
      <c r="BGY5" s="827"/>
      <c r="BGZ5" s="827"/>
      <c r="BHA5" s="827"/>
      <c r="BHB5" s="827"/>
      <c r="BHC5" s="827"/>
      <c r="BHD5" s="827"/>
      <c r="BHE5" s="827"/>
      <c r="BHF5" s="827"/>
      <c r="BHG5" s="827"/>
      <c r="BHH5" s="827"/>
      <c r="BHI5" s="827"/>
      <c r="BHJ5" s="827"/>
      <c r="BHK5" s="827"/>
      <c r="BHL5" s="827"/>
      <c r="BHM5" s="827"/>
      <c r="BHN5" s="827"/>
      <c r="BHO5" s="827"/>
      <c r="BHP5" s="827"/>
      <c r="BHQ5" s="827"/>
      <c r="BHR5" s="827"/>
      <c r="BHS5" s="827"/>
      <c r="BHT5" s="827"/>
      <c r="BHU5" s="827"/>
      <c r="BHV5" s="827"/>
      <c r="BHW5" s="827"/>
      <c r="BHX5" s="827"/>
      <c r="BHY5" s="827"/>
      <c r="BHZ5" s="827"/>
      <c r="BIA5" s="827"/>
      <c r="BIB5" s="827"/>
      <c r="BIC5" s="827"/>
      <c r="BID5" s="827"/>
      <c r="BIE5" s="827"/>
      <c r="BIF5" s="827"/>
      <c r="BIG5" s="827"/>
      <c r="BIH5" s="827"/>
      <c r="BII5" s="827"/>
      <c r="BIJ5" s="827"/>
      <c r="BIK5" s="827"/>
      <c r="BIL5" s="827"/>
      <c r="BIM5" s="827"/>
      <c r="BIN5" s="827"/>
      <c r="BIO5" s="827"/>
      <c r="BIP5" s="827"/>
      <c r="BIQ5" s="827"/>
      <c r="BIR5" s="827"/>
      <c r="BIS5" s="827"/>
      <c r="BIT5" s="827"/>
      <c r="BIU5" s="827"/>
      <c r="BIV5" s="827"/>
      <c r="BIW5" s="827"/>
      <c r="BIX5" s="827"/>
      <c r="BIY5" s="827"/>
      <c r="BIZ5" s="827"/>
      <c r="BJA5" s="827"/>
      <c r="BJB5" s="827"/>
      <c r="BJC5" s="827"/>
      <c r="BJD5" s="827"/>
      <c r="BJE5" s="827"/>
      <c r="BJF5" s="827"/>
      <c r="BJG5" s="827"/>
      <c r="BJH5" s="827"/>
      <c r="BJI5" s="827"/>
      <c r="BJJ5" s="827"/>
      <c r="BJK5" s="827"/>
      <c r="BJL5" s="827"/>
      <c r="BJM5" s="827"/>
      <c r="BJN5" s="827"/>
      <c r="BJO5" s="827"/>
      <c r="BJP5" s="827"/>
      <c r="BJQ5" s="827"/>
      <c r="BJR5" s="827"/>
      <c r="BJS5" s="827"/>
      <c r="BJT5" s="827"/>
      <c r="BJU5" s="827"/>
      <c r="BJV5" s="827"/>
      <c r="BJW5" s="827"/>
      <c r="BJX5" s="827"/>
      <c r="BJY5" s="827"/>
      <c r="BJZ5" s="827"/>
      <c r="BKA5" s="827"/>
      <c r="BKB5" s="827"/>
      <c r="BKC5" s="827"/>
      <c r="BKD5" s="827"/>
      <c r="BKE5" s="827"/>
      <c r="BKF5" s="827"/>
      <c r="BKG5" s="827"/>
      <c r="BKH5" s="827"/>
      <c r="BKI5" s="827"/>
      <c r="BKJ5" s="827"/>
      <c r="BKK5" s="827"/>
      <c r="BKL5" s="827"/>
      <c r="BKM5" s="827"/>
      <c r="BKN5" s="827"/>
      <c r="BKO5" s="827"/>
      <c r="BKP5" s="827"/>
      <c r="BKQ5" s="827"/>
      <c r="BKR5" s="827"/>
      <c r="BKS5" s="827"/>
      <c r="BKT5" s="827"/>
      <c r="BKU5" s="827"/>
      <c r="BKV5" s="827"/>
      <c r="BKW5" s="827"/>
      <c r="BKX5" s="827"/>
      <c r="BKY5" s="827"/>
      <c r="BKZ5" s="827"/>
      <c r="BLA5" s="827"/>
      <c r="BLB5" s="827"/>
      <c r="BLC5" s="827"/>
      <c r="BLD5" s="827"/>
      <c r="BLE5" s="827"/>
      <c r="BLF5" s="827"/>
      <c r="BLG5" s="827"/>
      <c r="BLH5" s="827"/>
      <c r="BLI5" s="827"/>
      <c r="BLJ5" s="827"/>
      <c r="BLK5" s="827"/>
      <c r="BLL5" s="827"/>
      <c r="BLM5" s="827"/>
      <c r="BLN5" s="827"/>
      <c r="BLO5" s="827"/>
      <c r="BLP5" s="827"/>
      <c r="BLQ5" s="827"/>
      <c r="BLR5" s="827"/>
      <c r="BLS5" s="827"/>
      <c r="BLT5" s="827"/>
      <c r="BLU5" s="827"/>
      <c r="BLV5" s="827"/>
      <c r="BLW5" s="827"/>
      <c r="BLX5" s="827"/>
      <c r="BLY5" s="827"/>
      <c r="BLZ5" s="827"/>
      <c r="BMA5" s="827"/>
      <c r="BMB5" s="827"/>
      <c r="BMC5" s="827"/>
      <c r="BMD5" s="827"/>
      <c r="BME5" s="827"/>
      <c r="BMF5" s="827"/>
      <c r="BMG5" s="827"/>
      <c r="BMH5" s="827"/>
      <c r="BMI5" s="827"/>
      <c r="BMJ5" s="827"/>
      <c r="BMK5" s="827"/>
      <c r="BML5" s="827"/>
      <c r="BMM5" s="827"/>
      <c r="BMN5" s="827"/>
      <c r="BMO5" s="827"/>
      <c r="BMP5" s="827"/>
      <c r="BMQ5" s="827"/>
      <c r="BMR5" s="827"/>
      <c r="BMS5" s="827"/>
      <c r="BMT5" s="827"/>
      <c r="BMU5" s="827"/>
      <c r="BMV5" s="827"/>
      <c r="BMW5" s="827"/>
      <c r="BMX5" s="827"/>
      <c r="BMY5" s="827"/>
      <c r="BMZ5" s="827"/>
      <c r="BNA5" s="827"/>
      <c r="BNB5" s="827"/>
      <c r="BNC5" s="827"/>
      <c r="BND5" s="827"/>
      <c r="BNE5" s="827"/>
      <c r="BNF5" s="827"/>
      <c r="BNG5" s="827"/>
      <c r="BNH5" s="827"/>
      <c r="BNI5" s="827"/>
      <c r="BNJ5" s="827"/>
      <c r="BNK5" s="827"/>
      <c r="BNL5" s="827"/>
      <c r="BNM5" s="827"/>
      <c r="BNN5" s="827"/>
      <c r="BNO5" s="827"/>
      <c r="BNP5" s="827"/>
      <c r="BNQ5" s="827"/>
      <c r="BNR5" s="827"/>
      <c r="BNS5" s="827"/>
      <c r="BNT5" s="827"/>
      <c r="BNU5" s="827"/>
      <c r="BNV5" s="827"/>
      <c r="BNW5" s="827"/>
      <c r="BNX5" s="827"/>
      <c r="BNY5" s="827"/>
      <c r="BNZ5" s="827"/>
      <c r="BOA5" s="827"/>
      <c r="BOB5" s="827"/>
      <c r="BOC5" s="827"/>
      <c r="BOD5" s="827"/>
      <c r="BOE5" s="827"/>
      <c r="BOF5" s="827"/>
      <c r="BOG5" s="827"/>
      <c r="BOH5" s="827"/>
      <c r="BOI5" s="827"/>
      <c r="BOJ5" s="827"/>
      <c r="BOK5" s="827"/>
      <c r="BOL5" s="827"/>
      <c r="BOM5" s="827"/>
      <c r="BON5" s="827"/>
      <c r="BOO5" s="827"/>
      <c r="BOP5" s="827"/>
      <c r="BOQ5" s="827"/>
      <c r="BOR5" s="827"/>
      <c r="BOS5" s="827"/>
      <c r="BOT5" s="827"/>
      <c r="BOU5" s="827"/>
      <c r="BOV5" s="827"/>
      <c r="BOW5" s="827"/>
      <c r="BOX5" s="827"/>
      <c r="BOY5" s="827"/>
      <c r="BOZ5" s="827"/>
      <c r="BPA5" s="827"/>
      <c r="BPB5" s="827"/>
      <c r="BPC5" s="827"/>
      <c r="BPD5" s="827"/>
      <c r="BPE5" s="827"/>
      <c r="BPF5" s="827"/>
      <c r="BPG5" s="827"/>
      <c r="BPH5" s="827"/>
      <c r="BPI5" s="827"/>
      <c r="BPJ5" s="827"/>
      <c r="BPK5" s="827"/>
      <c r="BPL5" s="827"/>
      <c r="BPM5" s="827"/>
      <c r="BPN5" s="827"/>
      <c r="BPO5" s="827"/>
      <c r="BPP5" s="827"/>
      <c r="BPQ5" s="827"/>
      <c r="BPR5" s="827"/>
      <c r="BPS5" s="827"/>
      <c r="BPT5" s="827"/>
      <c r="BPU5" s="827"/>
      <c r="BPV5" s="827"/>
      <c r="BPW5" s="827"/>
      <c r="BPX5" s="827"/>
      <c r="BPY5" s="827"/>
      <c r="BPZ5" s="827"/>
      <c r="BQA5" s="827"/>
      <c r="BQB5" s="827"/>
      <c r="BQC5" s="827"/>
      <c r="BQD5" s="827"/>
      <c r="BQE5" s="827"/>
      <c r="BQF5" s="827"/>
      <c r="BQG5" s="827"/>
      <c r="BQH5" s="827"/>
      <c r="BQI5" s="827"/>
      <c r="BQJ5" s="827"/>
      <c r="BQK5" s="827"/>
      <c r="BQL5" s="827"/>
      <c r="BQM5" s="827"/>
      <c r="BQN5" s="827"/>
      <c r="BQO5" s="827"/>
      <c r="BQP5" s="827"/>
      <c r="BQQ5" s="827"/>
      <c r="BQR5" s="827"/>
      <c r="BQS5" s="827"/>
      <c r="BQT5" s="827"/>
      <c r="BQU5" s="827"/>
      <c r="BQV5" s="827"/>
      <c r="BQW5" s="827"/>
      <c r="BQX5" s="827"/>
      <c r="BQY5" s="827"/>
      <c r="BQZ5" s="827"/>
      <c r="BRA5" s="827"/>
      <c r="BRB5" s="827"/>
      <c r="BRC5" s="827"/>
      <c r="BRD5" s="827"/>
      <c r="BRE5" s="827"/>
      <c r="BRF5" s="827"/>
      <c r="BRG5" s="827"/>
      <c r="BRH5" s="827"/>
      <c r="BRI5" s="827"/>
      <c r="BRJ5" s="827"/>
      <c r="BRK5" s="827"/>
      <c r="BRL5" s="827"/>
      <c r="BRM5" s="827"/>
      <c r="BRN5" s="827"/>
      <c r="BRO5" s="827"/>
      <c r="BRP5" s="827"/>
      <c r="BRQ5" s="827"/>
      <c r="BRR5" s="827"/>
      <c r="BRS5" s="827"/>
      <c r="BRT5" s="827"/>
      <c r="BRU5" s="827"/>
      <c r="BRV5" s="827"/>
      <c r="BRW5" s="827"/>
      <c r="BRX5" s="827"/>
      <c r="BRY5" s="827"/>
      <c r="BRZ5" s="827"/>
      <c r="BSA5" s="827"/>
      <c r="BSB5" s="827"/>
      <c r="BSC5" s="827"/>
      <c r="BSD5" s="827"/>
      <c r="BSE5" s="827"/>
      <c r="BSF5" s="827"/>
      <c r="BSG5" s="827"/>
      <c r="BSH5" s="827"/>
      <c r="BSI5" s="827"/>
      <c r="BSJ5" s="827"/>
      <c r="BSK5" s="827"/>
      <c r="BSL5" s="827"/>
      <c r="BSM5" s="827"/>
      <c r="BSN5" s="827"/>
      <c r="BSO5" s="827"/>
      <c r="BSP5" s="827"/>
      <c r="BSQ5" s="827"/>
      <c r="BSR5" s="827"/>
      <c r="BSS5" s="827"/>
      <c r="BST5" s="827"/>
    </row>
    <row r="6" spans="1:1866" s="840" customFormat="1" ht="20.100000000000001" customHeight="1" x14ac:dyDescent="0.25">
      <c r="A6" s="839"/>
      <c r="B6" s="3174" t="s">
        <v>855</v>
      </c>
      <c r="C6" s="3175"/>
      <c r="D6" s="3176"/>
      <c r="E6" s="1465">
        <f>'Chiffre d''affaires'!C24*(1+tv)</f>
        <v>0</v>
      </c>
      <c r="F6" s="1465">
        <f>'Chiffre d''affaires'!E24*(1+tv)</f>
        <v>0</v>
      </c>
      <c r="G6" s="1465">
        <f>'Chiffre d''affaires'!F24*(1+tv)</f>
        <v>0</v>
      </c>
      <c r="H6" s="1465">
        <f>'Chiffre d''affaires'!H24*(1+tv)</f>
        <v>0</v>
      </c>
      <c r="I6" s="1465">
        <f>'Chiffre d''affaires'!I24*(1+tv)</f>
        <v>0</v>
      </c>
      <c r="J6" s="1465">
        <f>'Chiffre d''affaires'!J24*(1+tv)</f>
        <v>0</v>
      </c>
      <c r="K6" s="1465">
        <f>'Chiffre d''affaires'!K24*(1+tv)</f>
        <v>0</v>
      </c>
      <c r="L6" s="1465">
        <f>'Chiffre d''affaires'!L24*(1+tv)</f>
        <v>0</v>
      </c>
      <c r="M6" s="1465">
        <f>'Chiffre d''affaires'!M24*(1+tv)</f>
        <v>0</v>
      </c>
      <c r="N6" s="1465">
        <f>'Chiffre d''affaires'!N24*(1+tv)</f>
        <v>0</v>
      </c>
      <c r="O6" s="1465">
        <f>'Chiffre d''affaires'!O24*(1+tv)</f>
        <v>0</v>
      </c>
      <c r="P6" s="1465">
        <f>'Chiffre d''affaires'!P24*(1+tv)</f>
        <v>0</v>
      </c>
      <c r="Q6" s="1465">
        <f>IF('Chiffre d''affaires'!C32=0,'Chiffre d''affaires'!C41*(1+tv),'Chiffre d''affaires'!C32*(1+tv))</f>
        <v>0</v>
      </c>
      <c r="R6" s="1465">
        <f>IF('Chiffre d''affaires'!E32=0,'Chiffre d''affaires'!E41*(1+tv),'Chiffre d''affaires'!E32*(1+tv))</f>
        <v>0</v>
      </c>
      <c r="S6" s="1465">
        <f>IF('Chiffre d''affaires'!F32=0,'Chiffre d''affaires'!F41*(1+tv),'Chiffre d''affaires'!F32*(1+tv))</f>
        <v>0</v>
      </c>
      <c r="T6" s="1465">
        <f>IF('Chiffre d''affaires'!H32=0,'Chiffre d''affaires'!H41*(1+tv),'Chiffre d''affaires'!H32*(1+tv))</f>
        <v>0</v>
      </c>
      <c r="U6" s="1465">
        <f>IF('Chiffre d''affaires'!I32=0,'Chiffre d''affaires'!I41*(1+tv),'Chiffre d''affaires'!I32*(1+tv))</f>
        <v>0</v>
      </c>
      <c r="V6" s="1466">
        <f>IF('Chiffre d''affaires'!J32=0,'Chiffre d''affaires'!J41*(1+tv),'Chiffre d''affaires'!J32*(1+tv))</f>
        <v>0</v>
      </c>
      <c r="W6" s="839"/>
      <c r="X6" s="1464">
        <f>SUM(E6:V6)</f>
        <v>0</v>
      </c>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c r="BJ6" s="839"/>
      <c r="BK6" s="839"/>
      <c r="BL6" s="839"/>
      <c r="BM6" s="839"/>
      <c r="BN6" s="839"/>
      <c r="BO6" s="839"/>
      <c r="BP6" s="839"/>
      <c r="BQ6" s="839"/>
      <c r="BR6" s="839"/>
      <c r="BS6" s="839"/>
      <c r="BT6" s="839"/>
      <c r="BU6" s="839"/>
      <c r="BV6" s="839"/>
      <c r="BW6" s="839"/>
      <c r="BX6" s="839"/>
      <c r="BY6" s="839"/>
      <c r="BZ6" s="839"/>
      <c r="CA6" s="839"/>
      <c r="CB6" s="839"/>
      <c r="CC6" s="839"/>
      <c r="CD6" s="839"/>
      <c r="CE6" s="839"/>
      <c r="CF6" s="839"/>
      <c r="CG6" s="839"/>
      <c r="CH6" s="839"/>
      <c r="CI6" s="839"/>
      <c r="CJ6" s="839"/>
      <c r="CK6" s="839"/>
      <c r="CL6" s="839"/>
      <c r="CM6" s="839"/>
      <c r="CN6" s="839"/>
      <c r="CO6" s="839"/>
      <c r="CP6" s="839"/>
      <c r="CQ6" s="839"/>
      <c r="CR6" s="839"/>
      <c r="CS6" s="839"/>
      <c r="CT6" s="839"/>
      <c r="CU6" s="839"/>
      <c r="CV6" s="839"/>
      <c r="CW6" s="839"/>
      <c r="CX6" s="839"/>
      <c r="CY6" s="839"/>
      <c r="CZ6" s="839"/>
      <c r="DA6" s="839"/>
      <c r="DB6" s="839"/>
      <c r="DC6" s="839"/>
      <c r="DD6" s="839"/>
      <c r="DE6" s="839"/>
      <c r="DF6" s="839"/>
      <c r="DG6" s="839"/>
      <c r="DH6" s="839"/>
      <c r="DI6" s="839"/>
      <c r="DJ6" s="839"/>
      <c r="DK6" s="839"/>
      <c r="DL6" s="839"/>
      <c r="DM6" s="839"/>
      <c r="DN6" s="839"/>
      <c r="DO6" s="839"/>
      <c r="DP6" s="839"/>
      <c r="DQ6" s="839"/>
      <c r="DR6" s="839"/>
      <c r="DS6" s="839"/>
      <c r="DT6" s="839"/>
      <c r="DU6" s="839"/>
      <c r="DV6" s="839"/>
      <c r="DW6" s="839"/>
      <c r="DX6" s="839"/>
      <c r="DY6" s="839"/>
      <c r="DZ6" s="839"/>
      <c r="EA6" s="839"/>
      <c r="EB6" s="839"/>
      <c r="EC6" s="839"/>
      <c r="ED6" s="839"/>
      <c r="EE6" s="839"/>
      <c r="EF6" s="839"/>
      <c r="EG6" s="839"/>
      <c r="EH6" s="839"/>
      <c r="EI6" s="839"/>
      <c r="EJ6" s="839"/>
      <c r="EK6" s="839"/>
      <c r="EL6" s="839"/>
      <c r="EM6" s="839"/>
      <c r="EN6" s="839"/>
      <c r="EO6" s="839"/>
      <c r="EP6" s="839"/>
      <c r="EQ6" s="839"/>
      <c r="ER6" s="839"/>
      <c r="ES6" s="839"/>
      <c r="ET6" s="839"/>
      <c r="EU6" s="839"/>
      <c r="EV6" s="839"/>
      <c r="EW6" s="839"/>
      <c r="EX6" s="839"/>
      <c r="EY6" s="839"/>
      <c r="EZ6" s="839"/>
      <c r="FA6" s="839"/>
      <c r="FB6" s="839"/>
      <c r="FC6" s="839"/>
      <c r="FD6" s="839"/>
      <c r="FE6" s="839"/>
      <c r="FF6" s="839"/>
      <c r="FG6" s="839"/>
      <c r="FH6" s="839"/>
      <c r="FI6" s="839"/>
      <c r="FJ6" s="839"/>
      <c r="FK6" s="839"/>
      <c r="FL6" s="839"/>
      <c r="FM6" s="839"/>
      <c r="FN6" s="839"/>
      <c r="FO6" s="839"/>
      <c r="FP6" s="839"/>
      <c r="FQ6" s="839"/>
      <c r="FR6" s="839"/>
      <c r="FS6" s="839"/>
      <c r="FT6" s="839"/>
      <c r="FU6" s="839"/>
      <c r="FV6" s="839"/>
      <c r="FW6" s="839"/>
      <c r="FX6" s="839"/>
      <c r="FY6" s="839"/>
      <c r="FZ6" s="839"/>
      <c r="GA6" s="839"/>
      <c r="GB6" s="839"/>
      <c r="GC6" s="839"/>
      <c r="GD6" s="839"/>
      <c r="GE6" s="839"/>
      <c r="GF6" s="839"/>
      <c r="GG6" s="839"/>
      <c r="GH6" s="839"/>
      <c r="GI6" s="839"/>
      <c r="GJ6" s="839"/>
      <c r="GK6" s="839"/>
      <c r="GL6" s="839"/>
      <c r="GM6" s="839"/>
      <c r="GN6" s="839"/>
      <c r="GO6" s="839"/>
      <c r="GP6" s="839"/>
      <c r="GQ6" s="839"/>
      <c r="GR6" s="839"/>
      <c r="GS6" s="839"/>
      <c r="GT6" s="839"/>
      <c r="GU6" s="839"/>
      <c r="GV6" s="839"/>
      <c r="GW6" s="839"/>
      <c r="GX6" s="839"/>
      <c r="GY6" s="839"/>
      <c r="GZ6" s="839"/>
      <c r="HA6" s="839"/>
      <c r="HB6" s="839"/>
      <c r="HC6" s="839"/>
      <c r="HD6" s="839"/>
      <c r="HE6" s="839"/>
      <c r="HF6" s="839"/>
      <c r="HG6" s="839"/>
      <c r="HH6" s="839"/>
      <c r="HI6" s="839"/>
      <c r="HJ6" s="839"/>
      <c r="HK6" s="839"/>
      <c r="HL6" s="839"/>
      <c r="HM6" s="839"/>
      <c r="HN6" s="839"/>
      <c r="HO6" s="839"/>
      <c r="HP6" s="839"/>
      <c r="HQ6" s="839"/>
      <c r="HR6" s="839"/>
      <c r="HS6" s="839"/>
      <c r="HT6" s="839"/>
      <c r="HU6" s="839"/>
      <c r="HV6" s="839"/>
      <c r="HW6" s="839"/>
      <c r="HX6" s="839"/>
      <c r="HY6" s="839"/>
      <c r="HZ6" s="839"/>
      <c r="IA6" s="839"/>
      <c r="IB6" s="839"/>
      <c r="IC6" s="839"/>
      <c r="ID6" s="839"/>
      <c r="IE6" s="839"/>
      <c r="IF6" s="839"/>
      <c r="IG6" s="839"/>
      <c r="IH6" s="839"/>
      <c r="II6" s="839"/>
      <c r="IJ6" s="839"/>
      <c r="IK6" s="839"/>
      <c r="IL6" s="839"/>
      <c r="IM6" s="839"/>
      <c r="IN6" s="839"/>
      <c r="IO6" s="839"/>
      <c r="IP6" s="839"/>
      <c r="IQ6" s="839"/>
      <c r="IR6" s="839"/>
      <c r="IS6" s="839"/>
      <c r="IT6" s="839"/>
      <c r="IU6" s="839"/>
      <c r="IV6" s="839"/>
      <c r="IW6" s="839"/>
      <c r="IX6" s="839"/>
      <c r="IY6" s="839"/>
      <c r="IZ6" s="839"/>
      <c r="JA6" s="839"/>
      <c r="JB6" s="839"/>
      <c r="JC6" s="839"/>
      <c r="JD6" s="839"/>
      <c r="JE6" s="839"/>
      <c r="JF6" s="839"/>
      <c r="JG6" s="839"/>
      <c r="JH6" s="839"/>
      <c r="JI6" s="839"/>
      <c r="JJ6" s="839"/>
      <c r="JK6" s="839"/>
      <c r="JL6" s="839"/>
      <c r="JM6" s="839"/>
      <c r="JN6" s="839"/>
      <c r="JO6" s="839"/>
      <c r="JP6" s="839"/>
      <c r="JQ6" s="839"/>
      <c r="JR6" s="839"/>
      <c r="JS6" s="839"/>
      <c r="JT6" s="839"/>
      <c r="JU6" s="839"/>
      <c r="JV6" s="839"/>
      <c r="JW6" s="839"/>
      <c r="JX6" s="839"/>
      <c r="JY6" s="839"/>
      <c r="JZ6" s="839"/>
      <c r="KA6" s="839"/>
      <c r="KB6" s="839"/>
      <c r="KC6" s="839"/>
      <c r="KD6" s="839"/>
      <c r="KE6" s="839"/>
      <c r="KF6" s="839"/>
      <c r="KG6" s="839"/>
      <c r="KH6" s="839"/>
      <c r="KI6" s="839"/>
      <c r="KJ6" s="839"/>
      <c r="KK6" s="839"/>
      <c r="KL6" s="839"/>
      <c r="KM6" s="839"/>
      <c r="KN6" s="839"/>
      <c r="KO6" s="839"/>
      <c r="KP6" s="839"/>
      <c r="KQ6" s="839"/>
      <c r="KR6" s="839"/>
      <c r="KS6" s="839"/>
      <c r="KT6" s="839"/>
      <c r="KU6" s="839"/>
      <c r="KV6" s="839"/>
      <c r="KW6" s="839"/>
      <c r="KX6" s="839"/>
      <c r="KY6" s="839"/>
      <c r="KZ6" s="839"/>
      <c r="LA6" s="839"/>
      <c r="LB6" s="839"/>
      <c r="LC6" s="839"/>
      <c r="LD6" s="839"/>
      <c r="LE6" s="839"/>
      <c r="LF6" s="839"/>
      <c r="LG6" s="839"/>
      <c r="LH6" s="839"/>
      <c r="LI6" s="839"/>
      <c r="LJ6" s="839"/>
      <c r="LK6" s="839"/>
      <c r="LL6" s="839"/>
      <c r="LM6" s="839"/>
      <c r="LN6" s="839"/>
      <c r="LO6" s="839"/>
      <c r="LP6" s="839"/>
      <c r="LQ6" s="839"/>
      <c r="LR6" s="839"/>
      <c r="LS6" s="839"/>
      <c r="LT6" s="839"/>
      <c r="LU6" s="839"/>
      <c r="LV6" s="839"/>
      <c r="LW6" s="839"/>
      <c r="LX6" s="839"/>
      <c r="LY6" s="839"/>
      <c r="LZ6" s="839"/>
      <c r="MA6" s="839"/>
      <c r="MB6" s="839"/>
      <c r="MC6" s="839"/>
      <c r="MD6" s="839"/>
      <c r="ME6" s="839"/>
      <c r="MF6" s="839"/>
      <c r="MG6" s="839"/>
      <c r="MH6" s="839"/>
      <c r="MI6" s="839"/>
      <c r="MJ6" s="839"/>
      <c r="MK6" s="839"/>
      <c r="ML6" s="839"/>
      <c r="MM6" s="839"/>
      <c r="MN6" s="839"/>
      <c r="MO6" s="839"/>
      <c r="MP6" s="839"/>
      <c r="MQ6" s="839"/>
      <c r="MR6" s="839"/>
      <c r="MS6" s="839"/>
      <c r="MT6" s="839"/>
      <c r="MU6" s="839"/>
      <c r="MV6" s="839"/>
      <c r="MW6" s="839"/>
      <c r="MX6" s="839"/>
      <c r="MY6" s="839"/>
      <c r="MZ6" s="839"/>
      <c r="NA6" s="839"/>
      <c r="NB6" s="839"/>
      <c r="NC6" s="839"/>
      <c r="ND6" s="839"/>
      <c r="NE6" s="839"/>
      <c r="NF6" s="839"/>
      <c r="NG6" s="839"/>
      <c r="NH6" s="839"/>
      <c r="NI6" s="839"/>
      <c r="NJ6" s="839"/>
      <c r="NK6" s="839"/>
      <c r="NL6" s="839"/>
      <c r="NM6" s="839"/>
      <c r="NN6" s="839"/>
      <c r="NO6" s="839"/>
      <c r="NP6" s="839"/>
      <c r="NQ6" s="839"/>
      <c r="NR6" s="839"/>
      <c r="NS6" s="839"/>
      <c r="NT6" s="839"/>
      <c r="NU6" s="839"/>
      <c r="NV6" s="839"/>
      <c r="NW6" s="839"/>
      <c r="NX6" s="839"/>
      <c r="NY6" s="839"/>
      <c r="NZ6" s="839"/>
      <c r="OA6" s="839"/>
      <c r="OB6" s="839"/>
      <c r="OC6" s="839"/>
      <c r="OD6" s="839"/>
      <c r="OE6" s="839"/>
      <c r="OF6" s="839"/>
      <c r="OG6" s="839"/>
      <c r="OH6" s="839"/>
      <c r="OI6" s="839"/>
      <c r="OJ6" s="839"/>
      <c r="OK6" s="839"/>
      <c r="OL6" s="839"/>
      <c r="OM6" s="839"/>
      <c r="ON6" s="839"/>
      <c r="OO6" s="839"/>
      <c r="OP6" s="839"/>
      <c r="OQ6" s="839"/>
      <c r="OR6" s="839"/>
      <c r="OS6" s="839"/>
      <c r="OT6" s="839"/>
      <c r="OU6" s="839"/>
      <c r="OV6" s="839"/>
      <c r="OW6" s="839"/>
      <c r="OX6" s="839"/>
      <c r="OY6" s="839"/>
      <c r="OZ6" s="839"/>
      <c r="PA6" s="839"/>
      <c r="PB6" s="839"/>
      <c r="PC6" s="839"/>
      <c r="PD6" s="839"/>
      <c r="PE6" s="839"/>
      <c r="PF6" s="839"/>
      <c r="PG6" s="839"/>
      <c r="PH6" s="839"/>
      <c r="PI6" s="839"/>
      <c r="PJ6" s="839"/>
      <c r="PK6" s="839"/>
      <c r="PL6" s="839"/>
      <c r="PM6" s="839"/>
      <c r="PN6" s="839"/>
      <c r="PO6" s="839"/>
      <c r="PP6" s="839"/>
      <c r="PQ6" s="839"/>
      <c r="PR6" s="839"/>
      <c r="PS6" s="839"/>
      <c r="PT6" s="839"/>
      <c r="PU6" s="839"/>
      <c r="PV6" s="839"/>
      <c r="PW6" s="839"/>
      <c r="PX6" s="839"/>
      <c r="PY6" s="839"/>
      <c r="PZ6" s="839"/>
      <c r="QA6" s="839"/>
      <c r="QB6" s="839"/>
      <c r="QC6" s="839"/>
      <c r="QD6" s="839"/>
      <c r="QE6" s="839"/>
      <c r="QF6" s="839"/>
      <c r="QG6" s="839"/>
      <c r="QH6" s="839"/>
      <c r="QI6" s="839"/>
      <c r="QJ6" s="839"/>
      <c r="QK6" s="839"/>
      <c r="QL6" s="839"/>
      <c r="QM6" s="839"/>
      <c r="QN6" s="839"/>
      <c r="QO6" s="839"/>
      <c r="QP6" s="839"/>
      <c r="QQ6" s="839"/>
      <c r="QR6" s="839"/>
      <c r="QS6" s="839"/>
      <c r="QT6" s="839"/>
      <c r="QU6" s="839"/>
      <c r="QV6" s="839"/>
      <c r="QW6" s="839"/>
      <c r="QX6" s="839"/>
      <c r="QY6" s="839"/>
      <c r="QZ6" s="839"/>
      <c r="RA6" s="839"/>
      <c r="RB6" s="839"/>
      <c r="RC6" s="839"/>
      <c r="RD6" s="839"/>
      <c r="RE6" s="839"/>
      <c r="RF6" s="839"/>
      <c r="RG6" s="839"/>
      <c r="RH6" s="839"/>
      <c r="RI6" s="839"/>
      <c r="RJ6" s="839"/>
      <c r="RK6" s="839"/>
      <c r="RL6" s="839"/>
      <c r="RM6" s="839"/>
      <c r="RN6" s="839"/>
      <c r="RO6" s="839"/>
      <c r="RP6" s="839"/>
      <c r="RQ6" s="839"/>
      <c r="RR6" s="839"/>
      <c r="RS6" s="839"/>
      <c r="RT6" s="839"/>
      <c r="RU6" s="839"/>
      <c r="RV6" s="839"/>
      <c r="RW6" s="839"/>
      <c r="RX6" s="839"/>
      <c r="RY6" s="839"/>
      <c r="RZ6" s="839"/>
      <c r="SA6" s="839"/>
      <c r="SB6" s="839"/>
      <c r="SC6" s="839"/>
      <c r="SD6" s="839"/>
      <c r="SE6" s="839"/>
      <c r="SF6" s="839"/>
      <c r="SG6" s="839"/>
      <c r="SH6" s="839"/>
      <c r="SI6" s="839"/>
      <c r="SJ6" s="839"/>
      <c r="SK6" s="839"/>
      <c r="SL6" s="839"/>
      <c r="SM6" s="839"/>
      <c r="SN6" s="839"/>
      <c r="SO6" s="839"/>
      <c r="SP6" s="839"/>
      <c r="SQ6" s="839"/>
      <c r="SR6" s="839"/>
      <c r="SS6" s="839"/>
      <c r="ST6" s="839"/>
      <c r="SU6" s="839"/>
      <c r="SV6" s="839"/>
      <c r="SW6" s="839"/>
      <c r="SX6" s="839"/>
      <c r="SY6" s="839"/>
      <c r="SZ6" s="839"/>
      <c r="TA6" s="839"/>
      <c r="TB6" s="839"/>
      <c r="TC6" s="839"/>
      <c r="TD6" s="839"/>
      <c r="TE6" s="839"/>
      <c r="TF6" s="839"/>
      <c r="TG6" s="839"/>
      <c r="TH6" s="839"/>
      <c r="TI6" s="839"/>
      <c r="TJ6" s="839"/>
      <c r="TK6" s="839"/>
      <c r="TL6" s="839"/>
      <c r="TM6" s="839"/>
      <c r="TN6" s="839"/>
      <c r="TO6" s="839"/>
      <c r="TP6" s="839"/>
      <c r="TQ6" s="839"/>
      <c r="TR6" s="839"/>
      <c r="TS6" s="839"/>
      <c r="TT6" s="839"/>
      <c r="TU6" s="839"/>
      <c r="TV6" s="839"/>
      <c r="TW6" s="839"/>
      <c r="TX6" s="839"/>
      <c r="TY6" s="839"/>
      <c r="TZ6" s="839"/>
      <c r="UA6" s="839"/>
      <c r="UB6" s="839"/>
      <c r="UC6" s="839"/>
      <c r="UD6" s="839"/>
      <c r="UE6" s="839"/>
      <c r="UF6" s="839"/>
      <c r="UG6" s="839"/>
      <c r="UH6" s="839"/>
      <c r="UI6" s="839"/>
      <c r="UJ6" s="839"/>
      <c r="UK6" s="839"/>
      <c r="UL6" s="839"/>
      <c r="UM6" s="839"/>
      <c r="UN6" s="839"/>
      <c r="UO6" s="839"/>
      <c r="UP6" s="839"/>
      <c r="UQ6" s="839"/>
      <c r="UR6" s="839"/>
      <c r="US6" s="839"/>
      <c r="UT6" s="839"/>
      <c r="UU6" s="839"/>
      <c r="UV6" s="839"/>
      <c r="UW6" s="839"/>
      <c r="UX6" s="839"/>
      <c r="UY6" s="839"/>
      <c r="UZ6" s="839"/>
      <c r="VA6" s="839"/>
      <c r="VB6" s="839"/>
      <c r="VC6" s="839"/>
      <c r="VD6" s="839"/>
      <c r="VE6" s="839"/>
      <c r="VF6" s="839"/>
      <c r="VG6" s="839"/>
      <c r="VH6" s="839"/>
      <c r="VI6" s="839"/>
      <c r="VJ6" s="839"/>
      <c r="VK6" s="839"/>
      <c r="VL6" s="839"/>
      <c r="VM6" s="839"/>
      <c r="VN6" s="839"/>
      <c r="VO6" s="839"/>
      <c r="VP6" s="839"/>
      <c r="VQ6" s="839"/>
      <c r="VR6" s="839"/>
      <c r="VS6" s="839"/>
      <c r="VT6" s="839"/>
      <c r="VU6" s="839"/>
      <c r="VV6" s="839"/>
      <c r="VW6" s="839"/>
      <c r="VX6" s="839"/>
      <c r="VY6" s="839"/>
      <c r="VZ6" s="839"/>
      <c r="WA6" s="839"/>
      <c r="WB6" s="839"/>
      <c r="WC6" s="839"/>
      <c r="WD6" s="839"/>
      <c r="WE6" s="839"/>
      <c r="WF6" s="839"/>
      <c r="WG6" s="839"/>
      <c r="WH6" s="839"/>
      <c r="WI6" s="839"/>
      <c r="WJ6" s="839"/>
      <c r="WK6" s="839"/>
      <c r="WL6" s="839"/>
      <c r="WM6" s="839"/>
      <c r="WN6" s="839"/>
      <c r="WO6" s="839"/>
      <c r="WP6" s="839"/>
      <c r="WQ6" s="839"/>
      <c r="WR6" s="839"/>
      <c r="WS6" s="839"/>
      <c r="WT6" s="839"/>
      <c r="WU6" s="839"/>
      <c r="WV6" s="839"/>
      <c r="WW6" s="839"/>
      <c r="WX6" s="839"/>
      <c r="WY6" s="839"/>
      <c r="WZ6" s="839"/>
      <c r="XA6" s="839"/>
      <c r="XB6" s="839"/>
      <c r="XC6" s="839"/>
      <c r="XD6" s="839"/>
      <c r="XE6" s="839"/>
      <c r="XF6" s="839"/>
      <c r="XG6" s="839"/>
      <c r="XH6" s="839"/>
      <c r="XI6" s="839"/>
      <c r="XJ6" s="839"/>
      <c r="XK6" s="839"/>
      <c r="XL6" s="839"/>
      <c r="XM6" s="839"/>
      <c r="XN6" s="839"/>
      <c r="XO6" s="839"/>
      <c r="XP6" s="839"/>
      <c r="XQ6" s="839"/>
      <c r="XR6" s="839"/>
      <c r="XS6" s="839"/>
      <c r="XT6" s="839"/>
      <c r="XU6" s="839"/>
      <c r="XV6" s="839"/>
      <c r="XW6" s="839"/>
      <c r="XX6" s="839"/>
      <c r="XY6" s="839"/>
      <c r="XZ6" s="839"/>
      <c r="YA6" s="839"/>
      <c r="YB6" s="839"/>
      <c r="YC6" s="839"/>
      <c r="YD6" s="839"/>
      <c r="YE6" s="839"/>
      <c r="YF6" s="839"/>
      <c r="YG6" s="839"/>
      <c r="YH6" s="839"/>
      <c r="YI6" s="839"/>
      <c r="YJ6" s="839"/>
      <c r="YK6" s="839"/>
      <c r="YL6" s="839"/>
      <c r="YM6" s="839"/>
      <c r="YN6" s="839"/>
      <c r="YO6" s="839"/>
      <c r="YP6" s="839"/>
      <c r="YQ6" s="839"/>
      <c r="YR6" s="839"/>
      <c r="YS6" s="839"/>
      <c r="YT6" s="839"/>
      <c r="YU6" s="839"/>
      <c r="YV6" s="839"/>
      <c r="YW6" s="839"/>
      <c r="YX6" s="839"/>
      <c r="YY6" s="839"/>
      <c r="YZ6" s="839"/>
      <c r="ZA6" s="839"/>
      <c r="ZB6" s="839"/>
      <c r="ZC6" s="839"/>
      <c r="ZD6" s="839"/>
      <c r="ZE6" s="839"/>
      <c r="ZF6" s="839"/>
      <c r="ZG6" s="839"/>
      <c r="ZH6" s="839"/>
      <c r="ZI6" s="839"/>
      <c r="ZJ6" s="839"/>
      <c r="ZK6" s="839"/>
      <c r="ZL6" s="839"/>
      <c r="ZM6" s="839"/>
      <c r="ZN6" s="839"/>
      <c r="ZO6" s="839"/>
      <c r="ZP6" s="839"/>
      <c r="ZQ6" s="839"/>
      <c r="ZR6" s="839"/>
      <c r="ZS6" s="839"/>
      <c r="ZT6" s="839"/>
      <c r="ZU6" s="839"/>
      <c r="ZV6" s="839"/>
      <c r="ZW6" s="839"/>
      <c r="ZX6" s="839"/>
      <c r="ZY6" s="839"/>
      <c r="ZZ6" s="839"/>
      <c r="AAA6" s="839"/>
      <c r="AAB6" s="839"/>
      <c r="AAC6" s="839"/>
      <c r="AAD6" s="839"/>
      <c r="AAE6" s="839"/>
      <c r="AAF6" s="839"/>
      <c r="AAG6" s="839"/>
      <c r="AAH6" s="839"/>
      <c r="AAI6" s="839"/>
      <c r="AAJ6" s="839"/>
      <c r="AAK6" s="839"/>
      <c r="AAL6" s="839"/>
      <c r="AAM6" s="839"/>
      <c r="AAN6" s="839"/>
      <c r="AAO6" s="839"/>
      <c r="AAP6" s="839"/>
      <c r="AAQ6" s="839"/>
      <c r="AAR6" s="839"/>
      <c r="AAS6" s="839"/>
      <c r="AAT6" s="839"/>
      <c r="AAU6" s="839"/>
      <c r="AAV6" s="839"/>
      <c r="AAW6" s="839"/>
      <c r="AAX6" s="839"/>
      <c r="AAY6" s="839"/>
      <c r="AAZ6" s="839"/>
      <c r="ABA6" s="839"/>
      <c r="ABB6" s="839"/>
      <c r="ABC6" s="839"/>
      <c r="ABD6" s="839"/>
      <c r="ABE6" s="839"/>
      <c r="ABF6" s="839"/>
      <c r="ABG6" s="839"/>
      <c r="ABH6" s="839"/>
      <c r="ABI6" s="839"/>
      <c r="ABJ6" s="839"/>
      <c r="ABK6" s="839"/>
      <c r="ABL6" s="839"/>
      <c r="ABM6" s="839"/>
      <c r="ABN6" s="839"/>
      <c r="ABO6" s="839"/>
      <c r="ABP6" s="839"/>
      <c r="ABQ6" s="839"/>
      <c r="ABR6" s="839"/>
      <c r="ABS6" s="839"/>
      <c r="ABT6" s="839"/>
      <c r="ABU6" s="839"/>
      <c r="ABV6" s="839"/>
      <c r="ABW6" s="839"/>
      <c r="ABX6" s="839"/>
      <c r="ABY6" s="839"/>
      <c r="ABZ6" s="839"/>
      <c r="ACA6" s="839"/>
      <c r="ACB6" s="839"/>
      <c r="ACC6" s="839"/>
      <c r="ACD6" s="839"/>
      <c r="ACE6" s="839"/>
      <c r="ACF6" s="839"/>
      <c r="ACG6" s="839"/>
      <c r="ACH6" s="839"/>
      <c r="ACI6" s="839"/>
      <c r="ACJ6" s="839"/>
      <c r="ACK6" s="839"/>
      <c r="ACL6" s="839"/>
      <c r="ACM6" s="839"/>
      <c r="ACN6" s="839"/>
      <c r="ACO6" s="839"/>
      <c r="ACP6" s="839"/>
      <c r="ACQ6" s="839"/>
      <c r="ACR6" s="839"/>
      <c r="ACS6" s="839"/>
      <c r="ACT6" s="839"/>
      <c r="ACU6" s="839"/>
      <c r="ACV6" s="839"/>
      <c r="ACW6" s="839"/>
      <c r="ACX6" s="839"/>
      <c r="ACY6" s="839"/>
      <c r="ACZ6" s="839"/>
      <c r="ADA6" s="839"/>
      <c r="ADB6" s="839"/>
      <c r="ADC6" s="839"/>
      <c r="ADD6" s="839"/>
      <c r="ADE6" s="839"/>
      <c r="ADF6" s="839"/>
      <c r="ADG6" s="839"/>
      <c r="ADH6" s="839"/>
      <c r="ADI6" s="839"/>
      <c r="ADJ6" s="839"/>
      <c r="ADK6" s="839"/>
      <c r="ADL6" s="839"/>
      <c r="ADM6" s="839"/>
      <c r="ADN6" s="839"/>
      <c r="ADO6" s="839"/>
      <c r="ADP6" s="839"/>
      <c r="ADQ6" s="839"/>
      <c r="ADR6" s="839"/>
      <c r="ADS6" s="839"/>
      <c r="ADT6" s="839"/>
      <c r="ADU6" s="839"/>
      <c r="ADV6" s="839"/>
      <c r="ADW6" s="839"/>
      <c r="ADX6" s="839"/>
      <c r="ADY6" s="839"/>
      <c r="ADZ6" s="839"/>
      <c r="AEA6" s="839"/>
      <c r="AEB6" s="839"/>
      <c r="AEC6" s="839"/>
      <c r="AED6" s="839"/>
      <c r="AEE6" s="839"/>
      <c r="AEF6" s="839"/>
      <c r="AEG6" s="839"/>
      <c r="AEH6" s="839"/>
      <c r="AEI6" s="839"/>
      <c r="AEJ6" s="839"/>
      <c r="AEK6" s="839"/>
      <c r="AEL6" s="839"/>
      <c r="AEM6" s="839"/>
      <c r="AEN6" s="839"/>
      <c r="AEO6" s="839"/>
      <c r="AEP6" s="839"/>
      <c r="AEQ6" s="839"/>
      <c r="AER6" s="839"/>
      <c r="AES6" s="839"/>
      <c r="AET6" s="839"/>
      <c r="AEU6" s="839"/>
      <c r="AEV6" s="839"/>
      <c r="AEW6" s="839"/>
      <c r="AEX6" s="839"/>
      <c r="AEY6" s="839"/>
      <c r="AEZ6" s="839"/>
      <c r="AFA6" s="839"/>
      <c r="AFB6" s="839"/>
      <c r="AFC6" s="839"/>
      <c r="AFD6" s="839"/>
      <c r="AFE6" s="839"/>
      <c r="AFF6" s="839"/>
      <c r="AFG6" s="839"/>
      <c r="AFH6" s="839"/>
      <c r="AFI6" s="839"/>
      <c r="AFJ6" s="839"/>
      <c r="AFK6" s="839"/>
      <c r="AFL6" s="839"/>
      <c r="AFM6" s="839"/>
      <c r="AFN6" s="839"/>
      <c r="AFO6" s="839"/>
      <c r="AFP6" s="839"/>
      <c r="AFQ6" s="839"/>
      <c r="AFR6" s="839"/>
      <c r="AFS6" s="839"/>
      <c r="AFT6" s="839"/>
      <c r="AFU6" s="839"/>
      <c r="AFV6" s="839"/>
      <c r="AFW6" s="839"/>
      <c r="AFX6" s="839"/>
      <c r="AFY6" s="839"/>
      <c r="AFZ6" s="839"/>
      <c r="AGA6" s="839"/>
      <c r="AGB6" s="839"/>
      <c r="AGC6" s="839"/>
      <c r="AGD6" s="839"/>
      <c r="AGE6" s="839"/>
      <c r="AGF6" s="839"/>
      <c r="AGG6" s="839"/>
      <c r="AGH6" s="839"/>
      <c r="AGI6" s="839"/>
      <c r="AGJ6" s="839"/>
      <c r="AGK6" s="839"/>
      <c r="AGL6" s="839"/>
      <c r="AGM6" s="839"/>
      <c r="AGN6" s="839"/>
      <c r="AGO6" s="839"/>
      <c r="AGP6" s="839"/>
      <c r="AGQ6" s="839"/>
      <c r="AGR6" s="839"/>
      <c r="AGS6" s="839"/>
      <c r="AGT6" s="839"/>
      <c r="AGU6" s="839"/>
      <c r="AGV6" s="839"/>
      <c r="AGW6" s="839"/>
      <c r="AGX6" s="839"/>
      <c r="AGY6" s="839"/>
      <c r="AGZ6" s="839"/>
      <c r="AHA6" s="839"/>
      <c r="AHB6" s="839"/>
      <c r="AHC6" s="839"/>
      <c r="AHD6" s="839"/>
      <c r="AHE6" s="839"/>
      <c r="AHF6" s="839"/>
      <c r="AHG6" s="839"/>
      <c r="AHH6" s="839"/>
      <c r="AHI6" s="839"/>
      <c r="AHJ6" s="839"/>
      <c r="AHK6" s="839"/>
      <c r="AHL6" s="839"/>
      <c r="AHM6" s="839"/>
      <c r="AHN6" s="839"/>
      <c r="AHO6" s="839"/>
      <c r="AHP6" s="839"/>
      <c r="AHQ6" s="839"/>
      <c r="AHR6" s="839"/>
      <c r="AHS6" s="839"/>
      <c r="AHT6" s="839"/>
      <c r="AHU6" s="839"/>
      <c r="AHV6" s="839"/>
      <c r="AHW6" s="839"/>
      <c r="AHX6" s="839"/>
      <c r="AHY6" s="839"/>
      <c r="AHZ6" s="839"/>
      <c r="AIA6" s="839"/>
      <c r="AIB6" s="839"/>
      <c r="AIC6" s="839"/>
      <c r="AID6" s="839"/>
      <c r="AIE6" s="839"/>
      <c r="AIF6" s="839"/>
      <c r="AIG6" s="839"/>
      <c r="AIH6" s="839"/>
      <c r="AII6" s="839"/>
      <c r="AIJ6" s="839"/>
      <c r="AIK6" s="839"/>
      <c r="AIL6" s="839"/>
      <c r="AIM6" s="839"/>
      <c r="AIN6" s="839"/>
      <c r="AIO6" s="839"/>
      <c r="AIP6" s="839"/>
      <c r="AIQ6" s="839"/>
      <c r="AIR6" s="839"/>
      <c r="AIS6" s="839"/>
      <c r="AIT6" s="839"/>
      <c r="AIU6" s="839"/>
      <c r="AIV6" s="839"/>
      <c r="AIW6" s="839"/>
      <c r="AIX6" s="839"/>
      <c r="AIY6" s="839"/>
      <c r="AIZ6" s="839"/>
      <c r="AJA6" s="839"/>
      <c r="AJB6" s="839"/>
      <c r="AJC6" s="839"/>
      <c r="AJD6" s="839"/>
      <c r="AJE6" s="839"/>
      <c r="AJF6" s="839"/>
      <c r="AJG6" s="839"/>
      <c r="AJH6" s="839"/>
      <c r="AJI6" s="839"/>
      <c r="AJJ6" s="839"/>
      <c r="AJK6" s="839"/>
      <c r="AJL6" s="839"/>
      <c r="AJM6" s="839"/>
      <c r="AJN6" s="839"/>
      <c r="AJO6" s="839"/>
      <c r="AJP6" s="839"/>
      <c r="AJQ6" s="839"/>
      <c r="AJR6" s="839"/>
      <c r="AJS6" s="839"/>
      <c r="AJT6" s="839"/>
      <c r="AJU6" s="839"/>
      <c r="AJV6" s="839"/>
      <c r="AJW6" s="839"/>
      <c r="AJX6" s="839"/>
      <c r="AJY6" s="839"/>
      <c r="AJZ6" s="839"/>
      <c r="AKA6" s="839"/>
      <c r="AKB6" s="839"/>
      <c r="AKC6" s="839"/>
      <c r="AKD6" s="839"/>
      <c r="AKE6" s="839"/>
      <c r="AKF6" s="839"/>
      <c r="AKG6" s="839"/>
      <c r="AKH6" s="839"/>
      <c r="AKI6" s="839"/>
      <c r="AKJ6" s="839"/>
      <c r="AKK6" s="839"/>
      <c r="AKL6" s="839"/>
      <c r="AKM6" s="839"/>
      <c r="AKN6" s="839"/>
      <c r="AKO6" s="839"/>
      <c r="AKP6" s="839"/>
      <c r="AKQ6" s="839"/>
      <c r="AKR6" s="839"/>
      <c r="AKS6" s="839"/>
      <c r="AKT6" s="839"/>
      <c r="AKU6" s="839"/>
      <c r="AKV6" s="839"/>
      <c r="AKW6" s="839"/>
      <c r="AKX6" s="839"/>
      <c r="AKY6" s="839"/>
      <c r="AKZ6" s="839"/>
      <c r="ALA6" s="839"/>
      <c r="ALB6" s="839"/>
      <c r="ALC6" s="839"/>
      <c r="ALD6" s="839"/>
      <c r="ALE6" s="839"/>
      <c r="ALF6" s="839"/>
      <c r="ALG6" s="839"/>
      <c r="ALH6" s="839"/>
      <c r="ALI6" s="839"/>
      <c r="ALJ6" s="839"/>
      <c r="ALK6" s="839"/>
      <c r="ALL6" s="839"/>
      <c r="ALM6" s="839"/>
      <c r="ALN6" s="839"/>
      <c r="ALO6" s="839"/>
      <c r="ALP6" s="839"/>
      <c r="ALQ6" s="839"/>
      <c r="ALR6" s="839"/>
      <c r="ALS6" s="839"/>
      <c r="ALT6" s="839"/>
      <c r="ALU6" s="839"/>
      <c r="ALV6" s="839"/>
      <c r="ALW6" s="839"/>
      <c r="ALX6" s="839"/>
      <c r="ALY6" s="839"/>
      <c r="ALZ6" s="839"/>
      <c r="AMA6" s="839"/>
      <c r="AMB6" s="839"/>
      <c r="AMC6" s="839"/>
      <c r="AMD6" s="839"/>
      <c r="AME6" s="839"/>
      <c r="AMF6" s="839"/>
      <c r="AMG6" s="839"/>
      <c r="AMH6" s="839"/>
      <c r="AMI6" s="839"/>
      <c r="AMJ6" s="839"/>
      <c r="AMK6" s="839"/>
      <c r="AML6" s="839"/>
      <c r="AMM6" s="839"/>
      <c r="AMN6" s="839"/>
      <c r="AMO6" s="839"/>
      <c r="AMP6" s="839"/>
      <c r="AMQ6" s="839"/>
      <c r="AMR6" s="839"/>
      <c r="AMS6" s="839"/>
      <c r="AMT6" s="839"/>
      <c r="AMU6" s="839"/>
      <c r="AMV6" s="839"/>
      <c r="AMW6" s="839"/>
      <c r="AMX6" s="839"/>
      <c r="AMY6" s="839"/>
      <c r="AMZ6" s="839"/>
      <c r="ANA6" s="839"/>
      <c r="ANB6" s="839"/>
      <c r="ANC6" s="839"/>
      <c r="AND6" s="839"/>
      <c r="ANE6" s="839"/>
      <c r="ANF6" s="839"/>
      <c r="ANG6" s="839"/>
      <c r="ANH6" s="839"/>
      <c r="ANI6" s="839"/>
      <c r="ANJ6" s="839"/>
      <c r="ANK6" s="839"/>
      <c r="ANL6" s="839"/>
      <c r="ANM6" s="839"/>
      <c r="ANN6" s="839"/>
      <c r="ANO6" s="839"/>
      <c r="ANP6" s="839"/>
      <c r="ANQ6" s="839"/>
      <c r="ANR6" s="839"/>
      <c r="ANS6" s="839"/>
      <c r="ANT6" s="839"/>
      <c r="ANU6" s="839"/>
      <c r="ANV6" s="839"/>
      <c r="ANW6" s="839"/>
      <c r="ANX6" s="839"/>
      <c r="ANY6" s="839"/>
      <c r="ANZ6" s="839"/>
      <c r="AOA6" s="839"/>
      <c r="AOB6" s="839"/>
      <c r="AOC6" s="839"/>
      <c r="AOD6" s="839"/>
      <c r="AOE6" s="839"/>
      <c r="AOF6" s="839"/>
      <c r="AOG6" s="839"/>
      <c r="AOH6" s="839"/>
      <c r="AOI6" s="839"/>
      <c r="AOJ6" s="839"/>
      <c r="AOK6" s="839"/>
      <c r="AOL6" s="839"/>
      <c r="AOM6" s="839"/>
      <c r="AON6" s="839"/>
      <c r="AOO6" s="839"/>
      <c r="AOP6" s="839"/>
      <c r="AOQ6" s="839"/>
      <c r="AOR6" s="839"/>
      <c r="AOS6" s="839"/>
      <c r="AOT6" s="839"/>
      <c r="AOU6" s="839"/>
      <c r="AOV6" s="839"/>
      <c r="AOW6" s="839"/>
      <c r="AOX6" s="839"/>
      <c r="AOY6" s="839"/>
      <c r="AOZ6" s="839"/>
      <c r="APA6" s="839"/>
      <c r="APB6" s="839"/>
      <c r="APC6" s="839"/>
      <c r="APD6" s="839"/>
      <c r="APE6" s="839"/>
      <c r="APF6" s="839"/>
      <c r="APG6" s="839"/>
      <c r="APH6" s="839"/>
      <c r="API6" s="839"/>
      <c r="APJ6" s="839"/>
      <c r="APK6" s="839"/>
      <c r="APL6" s="839"/>
      <c r="APM6" s="839"/>
      <c r="APN6" s="839"/>
      <c r="APO6" s="839"/>
      <c r="APP6" s="839"/>
      <c r="APQ6" s="839"/>
      <c r="APR6" s="839"/>
      <c r="APS6" s="839"/>
      <c r="APT6" s="839"/>
      <c r="APU6" s="839"/>
      <c r="APV6" s="839"/>
      <c r="APW6" s="839"/>
      <c r="APX6" s="839"/>
      <c r="APY6" s="839"/>
      <c r="APZ6" s="839"/>
      <c r="AQA6" s="839"/>
      <c r="AQB6" s="839"/>
      <c r="AQC6" s="839"/>
      <c r="AQD6" s="839"/>
      <c r="AQE6" s="839"/>
      <c r="AQF6" s="839"/>
      <c r="AQG6" s="839"/>
      <c r="AQH6" s="839"/>
      <c r="AQI6" s="839"/>
      <c r="AQJ6" s="839"/>
      <c r="AQK6" s="839"/>
      <c r="AQL6" s="839"/>
      <c r="AQM6" s="839"/>
      <c r="AQN6" s="839"/>
      <c r="AQO6" s="839"/>
      <c r="AQP6" s="839"/>
      <c r="AQQ6" s="839"/>
      <c r="AQR6" s="839"/>
      <c r="AQS6" s="839"/>
      <c r="AQT6" s="839"/>
      <c r="AQU6" s="839"/>
      <c r="AQV6" s="839"/>
      <c r="AQW6" s="839"/>
      <c r="AQX6" s="839"/>
      <c r="AQY6" s="839"/>
      <c r="AQZ6" s="839"/>
      <c r="ARA6" s="839"/>
      <c r="ARB6" s="839"/>
      <c r="ARC6" s="839"/>
      <c r="ARD6" s="839"/>
      <c r="ARE6" s="839"/>
      <c r="ARF6" s="839"/>
      <c r="ARG6" s="839"/>
      <c r="ARH6" s="839"/>
      <c r="ARI6" s="839"/>
      <c r="ARJ6" s="839"/>
      <c r="ARK6" s="839"/>
      <c r="ARL6" s="839"/>
      <c r="ARM6" s="839"/>
      <c r="ARN6" s="839"/>
      <c r="ARO6" s="839"/>
      <c r="ARP6" s="839"/>
      <c r="ARQ6" s="839"/>
      <c r="ARR6" s="839"/>
      <c r="ARS6" s="839"/>
      <c r="ART6" s="839"/>
      <c r="ARU6" s="839"/>
      <c r="ARV6" s="839"/>
      <c r="ARW6" s="839"/>
      <c r="ARX6" s="839"/>
      <c r="ARY6" s="839"/>
      <c r="ARZ6" s="839"/>
      <c r="ASA6" s="839"/>
      <c r="ASB6" s="839"/>
      <c r="ASC6" s="839"/>
      <c r="ASD6" s="839"/>
      <c r="ASE6" s="839"/>
      <c r="ASF6" s="839"/>
      <c r="ASG6" s="839"/>
      <c r="ASH6" s="839"/>
      <c r="ASI6" s="839"/>
      <c r="ASJ6" s="839"/>
      <c r="ASK6" s="839"/>
      <c r="ASL6" s="839"/>
      <c r="ASM6" s="839"/>
      <c r="ASN6" s="839"/>
      <c r="ASO6" s="839"/>
      <c r="ASP6" s="839"/>
      <c r="ASQ6" s="839"/>
      <c r="ASR6" s="839"/>
      <c r="ASS6" s="839"/>
      <c r="AST6" s="839"/>
      <c r="ASU6" s="839"/>
      <c r="ASV6" s="839"/>
      <c r="ASW6" s="839"/>
      <c r="ASX6" s="839"/>
      <c r="ASY6" s="839"/>
      <c r="ASZ6" s="839"/>
      <c r="ATA6" s="839"/>
      <c r="ATB6" s="839"/>
      <c r="ATC6" s="839"/>
      <c r="ATD6" s="839"/>
      <c r="ATE6" s="839"/>
      <c r="ATF6" s="839"/>
      <c r="ATG6" s="839"/>
      <c r="ATH6" s="839"/>
      <c r="ATI6" s="839"/>
      <c r="ATJ6" s="839"/>
      <c r="ATK6" s="839"/>
      <c r="ATL6" s="839"/>
      <c r="ATM6" s="839"/>
      <c r="ATN6" s="839"/>
      <c r="ATO6" s="839"/>
      <c r="ATP6" s="839"/>
      <c r="ATQ6" s="839"/>
      <c r="ATR6" s="839"/>
      <c r="ATS6" s="839"/>
      <c r="ATT6" s="839"/>
      <c r="ATU6" s="839"/>
      <c r="ATV6" s="839"/>
      <c r="ATW6" s="839"/>
      <c r="ATX6" s="839"/>
      <c r="ATY6" s="839"/>
      <c r="ATZ6" s="839"/>
      <c r="AUA6" s="839"/>
      <c r="AUB6" s="839"/>
      <c r="AUC6" s="839"/>
      <c r="AUD6" s="839"/>
      <c r="AUE6" s="839"/>
      <c r="AUF6" s="839"/>
      <c r="AUG6" s="839"/>
      <c r="AUH6" s="839"/>
      <c r="AUI6" s="839"/>
      <c r="AUJ6" s="839"/>
      <c r="AUK6" s="839"/>
      <c r="AUL6" s="839"/>
      <c r="AUM6" s="839"/>
      <c r="AUN6" s="839"/>
      <c r="AUO6" s="839"/>
      <c r="AUP6" s="839"/>
      <c r="AUQ6" s="839"/>
      <c r="AUR6" s="839"/>
      <c r="AUS6" s="839"/>
      <c r="AUT6" s="839"/>
      <c r="AUU6" s="839"/>
      <c r="AUV6" s="839"/>
      <c r="AUW6" s="839"/>
      <c r="AUX6" s="839"/>
      <c r="AUY6" s="839"/>
      <c r="AUZ6" s="839"/>
      <c r="AVA6" s="839"/>
      <c r="AVB6" s="839"/>
      <c r="AVC6" s="839"/>
      <c r="AVD6" s="839"/>
      <c r="AVE6" s="839"/>
      <c r="AVF6" s="839"/>
      <c r="AVG6" s="839"/>
      <c r="AVH6" s="839"/>
      <c r="AVI6" s="839"/>
      <c r="AVJ6" s="839"/>
      <c r="AVK6" s="839"/>
      <c r="AVL6" s="839"/>
      <c r="AVM6" s="839"/>
      <c r="AVN6" s="839"/>
      <c r="AVO6" s="839"/>
      <c r="AVP6" s="839"/>
      <c r="AVQ6" s="839"/>
      <c r="AVR6" s="839"/>
      <c r="AVS6" s="839"/>
      <c r="AVT6" s="839"/>
      <c r="AVU6" s="839"/>
      <c r="AVV6" s="839"/>
      <c r="AVW6" s="839"/>
      <c r="AVX6" s="839"/>
      <c r="AVY6" s="839"/>
      <c r="AVZ6" s="839"/>
      <c r="AWA6" s="839"/>
      <c r="AWB6" s="839"/>
      <c r="AWC6" s="839"/>
      <c r="AWD6" s="839"/>
      <c r="AWE6" s="839"/>
      <c r="AWF6" s="839"/>
      <c r="AWG6" s="839"/>
      <c r="AWH6" s="839"/>
      <c r="AWI6" s="839"/>
      <c r="AWJ6" s="839"/>
      <c r="AWK6" s="839"/>
      <c r="AWL6" s="839"/>
      <c r="AWM6" s="839"/>
      <c r="AWN6" s="839"/>
      <c r="AWO6" s="839"/>
      <c r="AWP6" s="839"/>
      <c r="AWQ6" s="839"/>
      <c r="AWR6" s="839"/>
      <c r="AWS6" s="839"/>
      <c r="AWT6" s="839"/>
      <c r="AWU6" s="839"/>
      <c r="AWV6" s="839"/>
      <c r="AWW6" s="839"/>
      <c r="AWX6" s="839"/>
      <c r="AWY6" s="839"/>
      <c r="AWZ6" s="839"/>
      <c r="AXA6" s="839"/>
      <c r="AXB6" s="839"/>
      <c r="AXC6" s="839"/>
      <c r="AXD6" s="839"/>
      <c r="AXE6" s="839"/>
      <c r="AXF6" s="839"/>
      <c r="AXG6" s="839"/>
      <c r="AXH6" s="839"/>
      <c r="AXI6" s="839"/>
      <c r="AXJ6" s="839"/>
      <c r="AXK6" s="839"/>
      <c r="AXL6" s="839"/>
      <c r="AXM6" s="839"/>
      <c r="AXN6" s="839"/>
      <c r="AXO6" s="839"/>
      <c r="AXP6" s="839"/>
      <c r="AXQ6" s="839"/>
      <c r="AXR6" s="839"/>
      <c r="AXS6" s="839"/>
      <c r="AXT6" s="839"/>
      <c r="AXU6" s="839"/>
      <c r="AXV6" s="839"/>
      <c r="AXW6" s="839"/>
      <c r="AXX6" s="839"/>
      <c r="AXY6" s="839"/>
      <c r="AXZ6" s="839"/>
      <c r="AYA6" s="839"/>
      <c r="AYB6" s="839"/>
      <c r="AYC6" s="839"/>
      <c r="AYD6" s="839"/>
      <c r="AYE6" s="839"/>
      <c r="AYF6" s="839"/>
      <c r="AYG6" s="839"/>
      <c r="AYH6" s="839"/>
      <c r="AYI6" s="839"/>
      <c r="AYJ6" s="839"/>
      <c r="AYK6" s="839"/>
      <c r="AYL6" s="839"/>
      <c r="AYM6" s="839"/>
      <c r="AYN6" s="839"/>
      <c r="AYO6" s="839"/>
      <c r="AYP6" s="839"/>
      <c r="AYQ6" s="839"/>
      <c r="AYR6" s="839"/>
      <c r="AYS6" s="839"/>
      <c r="AYT6" s="839"/>
      <c r="AYU6" s="839"/>
      <c r="AYV6" s="839"/>
      <c r="AYW6" s="839"/>
      <c r="AYX6" s="839"/>
      <c r="AYY6" s="839"/>
      <c r="AYZ6" s="839"/>
      <c r="AZA6" s="839"/>
      <c r="AZB6" s="839"/>
      <c r="AZC6" s="839"/>
      <c r="AZD6" s="839"/>
      <c r="AZE6" s="839"/>
      <c r="AZF6" s="839"/>
      <c r="AZG6" s="839"/>
      <c r="AZH6" s="839"/>
      <c r="AZI6" s="839"/>
      <c r="AZJ6" s="839"/>
      <c r="AZK6" s="839"/>
      <c r="AZL6" s="839"/>
      <c r="AZM6" s="839"/>
      <c r="AZN6" s="839"/>
      <c r="AZO6" s="839"/>
      <c r="AZP6" s="839"/>
      <c r="AZQ6" s="839"/>
      <c r="AZR6" s="839"/>
      <c r="AZS6" s="839"/>
      <c r="AZT6" s="839"/>
      <c r="AZU6" s="839"/>
      <c r="AZV6" s="839"/>
      <c r="AZW6" s="839"/>
      <c r="AZX6" s="839"/>
      <c r="AZY6" s="839"/>
      <c r="AZZ6" s="839"/>
      <c r="BAA6" s="839"/>
      <c r="BAB6" s="839"/>
      <c r="BAC6" s="839"/>
      <c r="BAD6" s="839"/>
      <c r="BAE6" s="839"/>
      <c r="BAF6" s="839"/>
      <c r="BAG6" s="839"/>
      <c r="BAH6" s="839"/>
      <c r="BAI6" s="839"/>
      <c r="BAJ6" s="839"/>
      <c r="BAK6" s="839"/>
      <c r="BAL6" s="839"/>
      <c r="BAM6" s="839"/>
      <c r="BAN6" s="839"/>
      <c r="BAO6" s="839"/>
      <c r="BAP6" s="839"/>
      <c r="BAQ6" s="839"/>
      <c r="BAR6" s="839"/>
      <c r="BAS6" s="839"/>
      <c r="BAT6" s="839"/>
      <c r="BAU6" s="839"/>
      <c r="BAV6" s="839"/>
      <c r="BAW6" s="839"/>
      <c r="BAX6" s="839"/>
      <c r="BAY6" s="839"/>
      <c r="BAZ6" s="839"/>
      <c r="BBA6" s="839"/>
      <c r="BBB6" s="839"/>
      <c r="BBC6" s="839"/>
      <c r="BBD6" s="839"/>
      <c r="BBE6" s="839"/>
      <c r="BBF6" s="839"/>
      <c r="BBG6" s="839"/>
      <c r="BBH6" s="839"/>
      <c r="BBI6" s="839"/>
      <c r="BBJ6" s="839"/>
      <c r="BBK6" s="839"/>
      <c r="BBL6" s="839"/>
      <c r="BBM6" s="839"/>
      <c r="BBN6" s="839"/>
      <c r="BBO6" s="839"/>
      <c r="BBP6" s="839"/>
      <c r="BBQ6" s="839"/>
      <c r="BBR6" s="839"/>
      <c r="BBS6" s="839"/>
      <c r="BBT6" s="839"/>
      <c r="BBU6" s="839"/>
      <c r="BBV6" s="839"/>
      <c r="BBW6" s="839"/>
      <c r="BBX6" s="839"/>
      <c r="BBY6" s="839"/>
      <c r="BBZ6" s="839"/>
      <c r="BCA6" s="839"/>
      <c r="BCB6" s="839"/>
      <c r="BCC6" s="839"/>
      <c r="BCD6" s="839"/>
      <c r="BCE6" s="839"/>
      <c r="BCF6" s="839"/>
      <c r="BCG6" s="839"/>
      <c r="BCH6" s="839"/>
      <c r="BCI6" s="839"/>
      <c r="BCJ6" s="839"/>
      <c r="BCK6" s="839"/>
      <c r="BCL6" s="839"/>
      <c r="BCM6" s="839"/>
      <c r="BCN6" s="839"/>
      <c r="BCO6" s="839"/>
      <c r="BCP6" s="839"/>
      <c r="BCQ6" s="839"/>
      <c r="BCR6" s="839"/>
      <c r="BCS6" s="839"/>
      <c r="BCT6" s="839"/>
      <c r="BCU6" s="839"/>
      <c r="BCV6" s="839"/>
      <c r="BCW6" s="839"/>
      <c r="BCX6" s="839"/>
      <c r="BCY6" s="839"/>
      <c r="BCZ6" s="839"/>
      <c r="BDA6" s="839"/>
      <c r="BDB6" s="839"/>
      <c r="BDC6" s="839"/>
      <c r="BDD6" s="839"/>
      <c r="BDE6" s="839"/>
      <c r="BDF6" s="839"/>
      <c r="BDG6" s="839"/>
      <c r="BDH6" s="839"/>
      <c r="BDI6" s="839"/>
      <c r="BDJ6" s="839"/>
      <c r="BDK6" s="839"/>
      <c r="BDL6" s="839"/>
      <c r="BDM6" s="839"/>
      <c r="BDN6" s="839"/>
      <c r="BDO6" s="839"/>
      <c r="BDP6" s="839"/>
      <c r="BDQ6" s="839"/>
      <c r="BDR6" s="839"/>
      <c r="BDS6" s="839"/>
      <c r="BDT6" s="839"/>
      <c r="BDU6" s="839"/>
      <c r="BDV6" s="839"/>
      <c r="BDW6" s="839"/>
      <c r="BDX6" s="839"/>
      <c r="BDY6" s="839"/>
      <c r="BDZ6" s="839"/>
      <c r="BEA6" s="839"/>
      <c r="BEB6" s="839"/>
      <c r="BEC6" s="839"/>
      <c r="BED6" s="839"/>
      <c r="BEE6" s="839"/>
      <c r="BEF6" s="839"/>
      <c r="BEG6" s="839"/>
      <c r="BEH6" s="839"/>
      <c r="BEI6" s="839"/>
      <c r="BEJ6" s="839"/>
      <c r="BEK6" s="839"/>
      <c r="BEL6" s="839"/>
      <c r="BEM6" s="839"/>
      <c r="BEN6" s="839"/>
      <c r="BEO6" s="839"/>
      <c r="BEP6" s="839"/>
      <c r="BEQ6" s="839"/>
      <c r="BER6" s="839"/>
      <c r="BES6" s="839"/>
      <c r="BET6" s="839"/>
      <c r="BEU6" s="839"/>
      <c r="BEV6" s="839"/>
      <c r="BEW6" s="839"/>
      <c r="BEX6" s="839"/>
      <c r="BEY6" s="839"/>
      <c r="BEZ6" s="839"/>
      <c r="BFA6" s="839"/>
      <c r="BFB6" s="839"/>
      <c r="BFC6" s="839"/>
      <c r="BFD6" s="839"/>
      <c r="BFE6" s="839"/>
      <c r="BFF6" s="839"/>
      <c r="BFG6" s="839"/>
      <c r="BFH6" s="839"/>
      <c r="BFI6" s="839"/>
      <c r="BFJ6" s="839"/>
      <c r="BFK6" s="839"/>
      <c r="BFL6" s="839"/>
      <c r="BFM6" s="839"/>
      <c r="BFN6" s="839"/>
      <c r="BFO6" s="839"/>
      <c r="BFP6" s="839"/>
      <c r="BFQ6" s="839"/>
      <c r="BFR6" s="839"/>
      <c r="BFS6" s="839"/>
      <c r="BFT6" s="839"/>
      <c r="BFU6" s="839"/>
      <c r="BFV6" s="839"/>
      <c r="BFW6" s="839"/>
      <c r="BFX6" s="839"/>
      <c r="BFY6" s="839"/>
      <c r="BFZ6" s="839"/>
      <c r="BGA6" s="839"/>
      <c r="BGB6" s="839"/>
      <c r="BGC6" s="839"/>
      <c r="BGD6" s="839"/>
      <c r="BGE6" s="839"/>
      <c r="BGF6" s="839"/>
      <c r="BGG6" s="839"/>
      <c r="BGH6" s="839"/>
      <c r="BGI6" s="839"/>
      <c r="BGJ6" s="839"/>
      <c r="BGK6" s="839"/>
      <c r="BGL6" s="839"/>
      <c r="BGM6" s="839"/>
      <c r="BGN6" s="839"/>
      <c r="BGO6" s="839"/>
      <c r="BGP6" s="839"/>
      <c r="BGQ6" s="839"/>
      <c r="BGR6" s="839"/>
      <c r="BGS6" s="839"/>
      <c r="BGT6" s="839"/>
      <c r="BGU6" s="839"/>
      <c r="BGV6" s="839"/>
      <c r="BGW6" s="839"/>
      <c r="BGX6" s="839"/>
      <c r="BGY6" s="839"/>
      <c r="BGZ6" s="839"/>
      <c r="BHA6" s="839"/>
      <c r="BHB6" s="839"/>
      <c r="BHC6" s="839"/>
      <c r="BHD6" s="839"/>
      <c r="BHE6" s="839"/>
      <c r="BHF6" s="839"/>
      <c r="BHG6" s="839"/>
      <c r="BHH6" s="839"/>
      <c r="BHI6" s="839"/>
      <c r="BHJ6" s="839"/>
      <c r="BHK6" s="839"/>
      <c r="BHL6" s="839"/>
      <c r="BHM6" s="839"/>
      <c r="BHN6" s="839"/>
      <c r="BHO6" s="839"/>
      <c r="BHP6" s="839"/>
      <c r="BHQ6" s="839"/>
      <c r="BHR6" s="839"/>
      <c r="BHS6" s="839"/>
      <c r="BHT6" s="839"/>
      <c r="BHU6" s="839"/>
      <c r="BHV6" s="839"/>
      <c r="BHW6" s="839"/>
      <c r="BHX6" s="839"/>
      <c r="BHY6" s="839"/>
      <c r="BHZ6" s="839"/>
      <c r="BIA6" s="839"/>
      <c r="BIB6" s="839"/>
      <c r="BIC6" s="839"/>
      <c r="BID6" s="839"/>
      <c r="BIE6" s="839"/>
      <c r="BIF6" s="839"/>
      <c r="BIG6" s="839"/>
      <c r="BIH6" s="839"/>
      <c r="BII6" s="839"/>
      <c r="BIJ6" s="839"/>
      <c r="BIK6" s="839"/>
      <c r="BIL6" s="839"/>
      <c r="BIM6" s="839"/>
      <c r="BIN6" s="839"/>
      <c r="BIO6" s="839"/>
      <c r="BIP6" s="839"/>
      <c r="BIQ6" s="839"/>
      <c r="BIR6" s="839"/>
      <c r="BIS6" s="839"/>
      <c r="BIT6" s="839"/>
      <c r="BIU6" s="839"/>
      <c r="BIV6" s="839"/>
      <c r="BIW6" s="839"/>
      <c r="BIX6" s="839"/>
      <c r="BIY6" s="839"/>
      <c r="BIZ6" s="839"/>
      <c r="BJA6" s="839"/>
      <c r="BJB6" s="839"/>
      <c r="BJC6" s="839"/>
      <c r="BJD6" s="839"/>
      <c r="BJE6" s="839"/>
      <c r="BJF6" s="839"/>
      <c r="BJG6" s="839"/>
      <c r="BJH6" s="839"/>
      <c r="BJI6" s="839"/>
      <c r="BJJ6" s="839"/>
      <c r="BJK6" s="839"/>
      <c r="BJL6" s="839"/>
      <c r="BJM6" s="839"/>
      <c r="BJN6" s="839"/>
      <c r="BJO6" s="839"/>
      <c r="BJP6" s="839"/>
      <c r="BJQ6" s="839"/>
      <c r="BJR6" s="839"/>
      <c r="BJS6" s="839"/>
      <c r="BJT6" s="839"/>
      <c r="BJU6" s="839"/>
      <c r="BJV6" s="839"/>
      <c r="BJW6" s="839"/>
      <c r="BJX6" s="839"/>
      <c r="BJY6" s="839"/>
      <c r="BJZ6" s="839"/>
      <c r="BKA6" s="839"/>
      <c r="BKB6" s="839"/>
      <c r="BKC6" s="839"/>
      <c r="BKD6" s="839"/>
      <c r="BKE6" s="839"/>
      <c r="BKF6" s="839"/>
      <c r="BKG6" s="839"/>
      <c r="BKH6" s="839"/>
      <c r="BKI6" s="839"/>
      <c r="BKJ6" s="839"/>
      <c r="BKK6" s="839"/>
      <c r="BKL6" s="839"/>
      <c r="BKM6" s="839"/>
      <c r="BKN6" s="839"/>
      <c r="BKO6" s="839"/>
      <c r="BKP6" s="839"/>
      <c r="BKQ6" s="839"/>
      <c r="BKR6" s="839"/>
      <c r="BKS6" s="839"/>
      <c r="BKT6" s="839"/>
      <c r="BKU6" s="839"/>
      <c r="BKV6" s="839"/>
      <c r="BKW6" s="839"/>
      <c r="BKX6" s="839"/>
      <c r="BKY6" s="839"/>
      <c r="BKZ6" s="839"/>
      <c r="BLA6" s="839"/>
      <c r="BLB6" s="839"/>
      <c r="BLC6" s="839"/>
      <c r="BLD6" s="839"/>
      <c r="BLE6" s="839"/>
      <c r="BLF6" s="839"/>
      <c r="BLG6" s="839"/>
      <c r="BLH6" s="839"/>
      <c r="BLI6" s="839"/>
      <c r="BLJ6" s="839"/>
      <c r="BLK6" s="839"/>
      <c r="BLL6" s="839"/>
      <c r="BLM6" s="839"/>
      <c r="BLN6" s="839"/>
      <c r="BLO6" s="839"/>
      <c r="BLP6" s="839"/>
      <c r="BLQ6" s="839"/>
      <c r="BLR6" s="839"/>
      <c r="BLS6" s="839"/>
      <c r="BLT6" s="839"/>
      <c r="BLU6" s="839"/>
      <c r="BLV6" s="839"/>
      <c r="BLW6" s="839"/>
      <c r="BLX6" s="839"/>
      <c r="BLY6" s="839"/>
      <c r="BLZ6" s="839"/>
      <c r="BMA6" s="839"/>
      <c r="BMB6" s="839"/>
      <c r="BMC6" s="839"/>
      <c r="BMD6" s="839"/>
      <c r="BME6" s="839"/>
      <c r="BMF6" s="839"/>
      <c r="BMG6" s="839"/>
      <c r="BMH6" s="839"/>
      <c r="BMI6" s="839"/>
      <c r="BMJ6" s="839"/>
      <c r="BMK6" s="839"/>
      <c r="BML6" s="839"/>
      <c r="BMM6" s="839"/>
      <c r="BMN6" s="839"/>
      <c r="BMO6" s="839"/>
      <c r="BMP6" s="839"/>
      <c r="BMQ6" s="839"/>
      <c r="BMR6" s="839"/>
      <c r="BMS6" s="839"/>
      <c r="BMT6" s="839"/>
      <c r="BMU6" s="839"/>
      <c r="BMV6" s="839"/>
      <c r="BMW6" s="839"/>
      <c r="BMX6" s="839"/>
      <c r="BMY6" s="839"/>
      <c r="BMZ6" s="839"/>
      <c r="BNA6" s="839"/>
      <c r="BNB6" s="839"/>
      <c r="BNC6" s="839"/>
      <c r="BND6" s="839"/>
      <c r="BNE6" s="839"/>
      <c r="BNF6" s="839"/>
      <c r="BNG6" s="839"/>
      <c r="BNH6" s="839"/>
      <c r="BNI6" s="839"/>
      <c r="BNJ6" s="839"/>
      <c r="BNK6" s="839"/>
      <c r="BNL6" s="839"/>
      <c r="BNM6" s="839"/>
      <c r="BNN6" s="839"/>
      <c r="BNO6" s="839"/>
      <c r="BNP6" s="839"/>
      <c r="BNQ6" s="839"/>
      <c r="BNR6" s="839"/>
      <c r="BNS6" s="839"/>
      <c r="BNT6" s="839"/>
      <c r="BNU6" s="839"/>
      <c r="BNV6" s="839"/>
      <c r="BNW6" s="839"/>
      <c r="BNX6" s="839"/>
      <c r="BNY6" s="839"/>
      <c r="BNZ6" s="839"/>
      <c r="BOA6" s="839"/>
      <c r="BOB6" s="839"/>
      <c r="BOC6" s="839"/>
      <c r="BOD6" s="839"/>
      <c r="BOE6" s="839"/>
      <c r="BOF6" s="839"/>
      <c r="BOG6" s="839"/>
      <c r="BOH6" s="839"/>
      <c r="BOI6" s="839"/>
      <c r="BOJ6" s="839"/>
      <c r="BOK6" s="839"/>
      <c r="BOL6" s="839"/>
      <c r="BOM6" s="839"/>
      <c r="BON6" s="839"/>
      <c r="BOO6" s="839"/>
      <c r="BOP6" s="839"/>
      <c r="BOQ6" s="839"/>
      <c r="BOR6" s="839"/>
      <c r="BOS6" s="839"/>
      <c r="BOT6" s="839"/>
      <c r="BOU6" s="839"/>
      <c r="BOV6" s="839"/>
      <c r="BOW6" s="839"/>
      <c r="BOX6" s="839"/>
      <c r="BOY6" s="839"/>
      <c r="BOZ6" s="839"/>
      <c r="BPA6" s="839"/>
      <c r="BPB6" s="839"/>
      <c r="BPC6" s="839"/>
      <c r="BPD6" s="839"/>
      <c r="BPE6" s="839"/>
      <c r="BPF6" s="839"/>
      <c r="BPG6" s="839"/>
      <c r="BPH6" s="839"/>
      <c r="BPI6" s="839"/>
      <c r="BPJ6" s="839"/>
      <c r="BPK6" s="839"/>
      <c r="BPL6" s="839"/>
      <c r="BPM6" s="839"/>
      <c r="BPN6" s="839"/>
      <c r="BPO6" s="839"/>
      <c r="BPP6" s="839"/>
      <c r="BPQ6" s="839"/>
      <c r="BPR6" s="839"/>
      <c r="BPS6" s="839"/>
      <c r="BPT6" s="839"/>
      <c r="BPU6" s="839"/>
      <c r="BPV6" s="839"/>
      <c r="BPW6" s="839"/>
      <c r="BPX6" s="839"/>
      <c r="BPY6" s="839"/>
      <c r="BPZ6" s="839"/>
      <c r="BQA6" s="839"/>
      <c r="BQB6" s="839"/>
      <c r="BQC6" s="839"/>
      <c r="BQD6" s="839"/>
      <c r="BQE6" s="839"/>
      <c r="BQF6" s="839"/>
      <c r="BQG6" s="839"/>
      <c r="BQH6" s="839"/>
      <c r="BQI6" s="839"/>
      <c r="BQJ6" s="839"/>
      <c r="BQK6" s="839"/>
      <c r="BQL6" s="839"/>
      <c r="BQM6" s="839"/>
      <c r="BQN6" s="839"/>
      <c r="BQO6" s="839"/>
      <c r="BQP6" s="839"/>
      <c r="BQQ6" s="839"/>
      <c r="BQR6" s="839"/>
      <c r="BQS6" s="839"/>
      <c r="BQT6" s="839"/>
      <c r="BQU6" s="839"/>
      <c r="BQV6" s="839"/>
      <c r="BQW6" s="839"/>
      <c r="BQX6" s="839"/>
      <c r="BQY6" s="839"/>
      <c r="BQZ6" s="839"/>
      <c r="BRA6" s="839"/>
      <c r="BRB6" s="839"/>
      <c r="BRC6" s="839"/>
      <c r="BRD6" s="839"/>
      <c r="BRE6" s="839"/>
      <c r="BRF6" s="839"/>
      <c r="BRG6" s="839"/>
      <c r="BRH6" s="839"/>
      <c r="BRI6" s="839"/>
      <c r="BRJ6" s="839"/>
      <c r="BRK6" s="839"/>
      <c r="BRL6" s="839"/>
      <c r="BRM6" s="839"/>
      <c r="BRN6" s="839"/>
      <c r="BRO6" s="839"/>
      <c r="BRP6" s="839"/>
      <c r="BRQ6" s="839"/>
      <c r="BRR6" s="839"/>
      <c r="BRS6" s="839"/>
      <c r="BRT6" s="839"/>
      <c r="BRU6" s="839"/>
      <c r="BRV6" s="839"/>
      <c r="BRW6" s="839"/>
      <c r="BRX6" s="839"/>
      <c r="BRY6" s="839"/>
      <c r="BRZ6" s="839"/>
      <c r="BSA6" s="839"/>
      <c r="BSB6" s="839"/>
      <c r="BSC6" s="839"/>
      <c r="BSD6" s="839"/>
      <c r="BSE6" s="839"/>
      <c r="BSF6" s="839"/>
      <c r="BSG6" s="839"/>
      <c r="BSH6" s="839"/>
      <c r="BSI6" s="839"/>
      <c r="BSJ6" s="839"/>
      <c r="BSK6" s="839"/>
      <c r="BSL6" s="839"/>
      <c r="BSM6" s="839"/>
      <c r="BSN6" s="839"/>
      <c r="BSO6" s="839"/>
      <c r="BSP6" s="839"/>
      <c r="BSQ6" s="839"/>
      <c r="BSR6" s="839"/>
      <c r="BSS6" s="839"/>
      <c r="BST6" s="839"/>
    </row>
    <row r="7" spans="1:1866" s="825" customFormat="1" ht="20.100000000000001" customHeight="1" x14ac:dyDescent="0.25">
      <c r="A7" s="826"/>
      <c r="B7" s="3172" t="s">
        <v>850</v>
      </c>
      <c r="C7" s="1479" t="s">
        <v>154</v>
      </c>
      <c r="D7" s="1480">
        <f>SUMIF(Bfr!$B$26:$B$29,"="&amp;C7,Bfr!$D$26:$D$29)</f>
        <v>0</v>
      </c>
      <c r="E7" s="1481">
        <f>E6*$D$7</f>
        <v>0</v>
      </c>
      <c r="F7" s="1481">
        <f t="shared" ref="F7:P7" si="2">F6*$D$7</f>
        <v>0</v>
      </c>
      <c r="G7" s="1481">
        <f t="shared" si="2"/>
        <v>0</v>
      </c>
      <c r="H7" s="1481">
        <f t="shared" si="2"/>
        <v>0</v>
      </c>
      <c r="I7" s="1481">
        <f t="shared" si="2"/>
        <v>0</v>
      </c>
      <c r="J7" s="1481">
        <f t="shared" si="2"/>
        <v>0</v>
      </c>
      <c r="K7" s="1481">
        <f t="shared" si="2"/>
        <v>0</v>
      </c>
      <c r="L7" s="1481">
        <f t="shared" si="2"/>
        <v>0</v>
      </c>
      <c r="M7" s="1481">
        <f t="shared" si="2"/>
        <v>0</v>
      </c>
      <c r="N7" s="1481">
        <f t="shared" si="2"/>
        <v>0</v>
      </c>
      <c r="O7" s="1481">
        <f t="shared" si="2"/>
        <v>0</v>
      </c>
      <c r="P7" s="1481">
        <f t="shared" si="2"/>
        <v>0</v>
      </c>
      <c r="Q7" s="1481">
        <f t="shared" ref="Q7" si="3">Q6*$D$7</f>
        <v>0</v>
      </c>
      <c r="R7" s="1481">
        <f t="shared" ref="R7" si="4">R6*$D$7</f>
        <v>0</v>
      </c>
      <c r="S7" s="1481">
        <f t="shared" ref="S7" si="5">S6*$D$7</f>
        <v>0</v>
      </c>
      <c r="T7" s="1481">
        <f t="shared" ref="T7" si="6">T6*$D$7</f>
        <v>0</v>
      </c>
      <c r="U7" s="1481">
        <f t="shared" ref="U7" si="7">U6*$D$7</f>
        <v>0</v>
      </c>
      <c r="V7" s="1482">
        <f t="shared" ref="V7" si="8">V6*$D$7</f>
        <v>0</v>
      </c>
      <c r="W7" s="826"/>
      <c r="X7" s="874">
        <f t="shared" ref="X7:X12" si="9">SUM(E7:V7)</f>
        <v>0</v>
      </c>
      <c r="Y7" s="873"/>
      <c r="Z7" s="873"/>
      <c r="AA7" s="866"/>
      <c r="AB7" s="826"/>
      <c r="AC7" s="826"/>
      <c r="AD7" s="826"/>
      <c r="AE7" s="826"/>
      <c r="AF7" s="826"/>
      <c r="AG7" s="826"/>
      <c r="AH7" s="826"/>
      <c r="AI7" s="826"/>
      <c r="AJ7" s="826"/>
      <c r="AK7" s="826"/>
      <c r="AL7" s="826"/>
      <c r="AM7" s="826"/>
      <c r="AN7" s="826"/>
      <c r="AO7" s="826"/>
      <c r="AP7" s="826"/>
      <c r="AQ7" s="826"/>
      <c r="AR7" s="826"/>
      <c r="AS7" s="826"/>
      <c r="AT7" s="826"/>
      <c r="AU7" s="826"/>
      <c r="AV7" s="826"/>
      <c r="AW7" s="826"/>
      <c r="AX7" s="826"/>
      <c r="AY7" s="826"/>
      <c r="AZ7" s="826"/>
      <c r="BA7" s="826"/>
      <c r="BB7" s="826"/>
      <c r="BC7" s="826"/>
      <c r="BD7" s="826"/>
      <c r="BE7" s="826"/>
      <c r="BF7" s="826"/>
      <c r="BG7" s="826"/>
      <c r="BH7" s="826"/>
      <c r="BI7" s="826"/>
      <c r="BJ7" s="826"/>
      <c r="BK7" s="826"/>
      <c r="BL7" s="826"/>
      <c r="BM7" s="826"/>
      <c r="BN7" s="826"/>
      <c r="BO7" s="826"/>
      <c r="BP7" s="826"/>
      <c r="BQ7" s="826"/>
      <c r="BR7" s="826"/>
      <c r="BS7" s="826"/>
      <c r="BT7" s="826"/>
      <c r="BU7" s="826"/>
      <c r="BV7" s="826"/>
      <c r="BW7" s="826"/>
      <c r="BX7" s="826"/>
      <c r="BY7" s="826"/>
      <c r="BZ7" s="826"/>
      <c r="CA7" s="826"/>
      <c r="CB7" s="826"/>
      <c r="CC7" s="826"/>
      <c r="CD7" s="826"/>
      <c r="CE7" s="826"/>
      <c r="CF7" s="826"/>
      <c r="CG7" s="826"/>
      <c r="CH7" s="826"/>
      <c r="CI7" s="826"/>
      <c r="CJ7" s="826"/>
      <c r="CK7" s="826"/>
      <c r="CL7" s="826"/>
      <c r="CM7" s="826"/>
      <c r="CN7" s="826"/>
      <c r="CO7" s="826"/>
      <c r="CP7" s="826"/>
      <c r="CQ7" s="826"/>
      <c r="CR7" s="826"/>
      <c r="CS7" s="826"/>
      <c r="CT7" s="826"/>
      <c r="CU7" s="826"/>
      <c r="CV7" s="826"/>
      <c r="CW7" s="826"/>
      <c r="CX7" s="826"/>
      <c r="CY7" s="826"/>
      <c r="CZ7" s="826"/>
      <c r="DA7" s="826"/>
      <c r="DB7" s="826"/>
      <c r="DC7" s="826"/>
      <c r="DD7" s="826"/>
      <c r="DE7" s="826"/>
      <c r="DF7" s="826"/>
      <c r="DG7" s="826"/>
      <c r="DH7" s="826"/>
      <c r="DI7" s="826"/>
      <c r="DJ7" s="826"/>
      <c r="DK7" s="826"/>
      <c r="DL7" s="826"/>
      <c r="DM7" s="826"/>
      <c r="DN7" s="826"/>
      <c r="DO7" s="826"/>
      <c r="DP7" s="826"/>
      <c r="DQ7" s="826"/>
      <c r="DR7" s="826"/>
      <c r="DS7" s="826"/>
      <c r="DT7" s="826"/>
      <c r="DU7" s="826"/>
      <c r="DV7" s="826"/>
      <c r="DW7" s="826"/>
      <c r="DX7" s="826"/>
      <c r="DY7" s="826"/>
      <c r="DZ7" s="826"/>
      <c r="EA7" s="826"/>
      <c r="EB7" s="826"/>
      <c r="EC7" s="826"/>
      <c r="ED7" s="826"/>
      <c r="EE7" s="826"/>
      <c r="EF7" s="826"/>
      <c r="EG7" s="826"/>
      <c r="EH7" s="826"/>
      <c r="EI7" s="826"/>
      <c r="EJ7" s="826"/>
      <c r="EK7" s="826"/>
      <c r="EL7" s="826"/>
      <c r="EM7" s="826"/>
      <c r="EN7" s="826"/>
      <c r="EO7" s="826"/>
      <c r="EP7" s="826"/>
      <c r="EQ7" s="826"/>
      <c r="ER7" s="826"/>
      <c r="ES7" s="826"/>
      <c r="ET7" s="826"/>
      <c r="EU7" s="826"/>
      <c r="EV7" s="826"/>
      <c r="EW7" s="826"/>
      <c r="EX7" s="826"/>
      <c r="EY7" s="826"/>
      <c r="EZ7" s="826"/>
      <c r="FA7" s="826"/>
      <c r="FB7" s="826"/>
      <c r="FC7" s="826"/>
      <c r="FD7" s="826"/>
      <c r="FE7" s="826"/>
      <c r="FF7" s="826"/>
      <c r="FG7" s="826"/>
      <c r="FH7" s="826"/>
      <c r="FI7" s="826"/>
      <c r="FJ7" s="826"/>
      <c r="FK7" s="826"/>
      <c r="FL7" s="826"/>
      <c r="FM7" s="826"/>
      <c r="FN7" s="826"/>
      <c r="FO7" s="826"/>
      <c r="FP7" s="826"/>
      <c r="FQ7" s="826"/>
      <c r="FR7" s="826"/>
      <c r="FS7" s="826"/>
      <c r="FT7" s="826"/>
      <c r="FU7" s="826"/>
      <c r="FV7" s="826"/>
      <c r="FW7" s="826"/>
      <c r="FX7" s="826"/>
      <c r="FY7" s="826"/>
      <c r="FZ7" s="826"/>
      <c r="GA7" s="826"/>
      <c r="GB7" s="826"/>
      <c r="GC7" s="826"/>
      <c r="GD7" s="826"/>
      <c r="GE7" s="826"/>
      <c r="GF7" s="826"/>
      <c r="GG7" s="826"/>
      <c r="GH7" s="826"/>
      <c r="GI7" s="826"/>
      <c r="GJ7" s="826"/>
      <c r="GK7" s="826"/>
      <c r="GL7" s="826"/>
      <c r="GM7" s="826"/>
      <c r="GN7" s="826"/>
      <c r="GO7" s="826"/>
      <c r="GP7" s="826"/>
      <c r="GQ7" s="826"/>
      <c r="GR7" s="826"/>
      <c r="GS7" s="826"/>
      <c r="GT7" s="826"/>
      <c r="GU7" s="826"/>
      <c r="GV7" s="826"/>
      <c r="GW7" s="826"/>
      <c r="GX7" s="826"/>
      <c r="GY7" s="826"/>
      <c r="GZ7" s="826"/>
      <c r="HA7" s="826"/>
      <c r="HB7" s="826"/>
      <c r="HC7" s="826"/>
      <c r="HD7" s="826"/>
      <c r="HE7" s="826"/>
      <c r="HF7" s="826"/>
      <c r="HG7" s="826"/>
      <c r="HH7" s="826"/>
      <c r="HI7" s="826"/>
      <c r="HJ7" s="826"/>
      <c r="HK7" s="826"/>
      <c r="HL7" s="826"/>
      <c r="HM7" s="826"/>
      <c r="HN7" s="826"/>
      <c r="HO7" s="826"/>
      <c r="HP7" s="826"/>
      <c r="HQ7" s="826"/>
      <c r="HR7" s="826"/>
      <c r="HS7" s="826"/>
      <c r="HT7" s="826"/>
      <c r="HU7" s="826"/>
      <c r="HV7" s="826"/>
      <c r="HW7" s="826"/>
      <c r="HX7" s="826"/>
      <c r="HY7" s="826"/>
      <c r="HZ7" s="826"/>
      <c r="IA7" s="826"/>
      <c r="IB7" s="826"/>
      <c r="IC7" s="826"/>
      <c r="ID7" s="826"/>
      <c r="IE7" s="826"/>
      <c r="IF7" s="826"/>
      <c r="IG7" s="826"/>
      <c r="IH7" s="826"/>
      <c r="II7" s="826"/>
      <c r="IJ7" s="826"/>
      <c r="IK7" s="826"/>
      <c r="IL7" s="826"/>
      <c r="IM7" s="826"/>
      <c r="IN7" s="826"/>
      <c r="IO7" s="826"/>
      <c r="IP7" s="826"/>
      <c r="IQ7" s="826"/>
      <c r="IR7" s="826"/>
      <c r="IS7" s="826"/>
      <c r="IT7" s="826"/>
      <c r="IU7" s="826"/>
      <c r="IV7" s="826"/>
      <c r="IW7" s="826"/>
      <c r="IX7" s="826"/>
      <c r="IY7" s="826"/>
      <c r="IZ7" s="826"/>
      <c r="JA7" s="826"/>
      <c r="JB7" s="826"/>
      <c r="JC7" s="826"/>
      <c r="JD7" s="826"/>
      <c r="JE7" s="826"/>
      <c r="JF7" s="826"/>
      <c r="JG7" s="826"/>
      <c r="JH7" s="826"/>
      <c r="JI7" s="826"/>
      <c r="JJ7" s="826"/>
      <c r="JK7" s="826"/>
      <c r="JL7" s="826"/>
      <c r="JM7" s="826"/>
      <c r="JN7" s="826"/>
      <c r="JO7" s="826"/>
      <c r="JP7" s="826"/>
      <c r="JQ7" s="826"/>
      <c r="JR7" s="826"/>
      <c r="JS7" s="826"/>
      <c r="JT7" s="826"/>
      <c r="JU7" s="826"/>
      <c r="JV7" s="826"/>
      <c r="JW7" s="826"/>
      <c r="JX7" s="826"/>
      <c r="JY7" s="826"/>
      <c r="JZ7" s="826"/>
      <c r="KA7" s="826"/>
      <c r="KB7" s="826"/>
      <c r="KC7" s="826"/>
      <c r="KD7" s="826"/>
      <c r="KE7" s="826"/>
      <c r="KF7" s="826"/>
      <c r="KG7" s="826"/>
      <c r="KH7" s="826"/>
      <c r="KI7" s="826"/>
      <c r="KJ7" s="826"/>
      <c r="KK7" s="826"/>
      <c r="KL7" s="826"/>
      <c r="KM7" s="826"/>
      <c r="KN7" s="826"/>
      <c r="KO7" s="826"/>
      <c r="KP7" s="826"/>
      <c r="KQ7" s="826"/>
      <c r="KR7" s="826"/>
      <c r="KS7" s="826"/>
      <c r="KT7" s="826"/>
      <c r="KU7" s="826"/>
      <c r="KV7" s="826"/>
      <c r="KW7" s="826"/>
      <c r="KX7" s="826"/>
      <c r="KY7" s="826"/>
      <c r="KZ7" s="826"/>
      <c r="LA7" s="826"/>
      <c r="LB7" s="826"/>
      <c r="LC7" s="826"/>
      <c r="LD7" s="826"/>
      <c r="LE7" s="826"/>
      <c r="LF7" s="826"/>
      <c r="LG7" s="826"/>
      <c r="LH7" s="826"/>
      <c r="LI7" s="826"/>
      <c r="LJ7" s="826"/>
      <c r="LK7" s="826"/>
      <c r="LL7" s="826"/>
      <c r="LM7" s="826"/>
      <c r="LN7" s="826"/>
      <c r="LO7" s="826"/>
      <c r="LP7" s="826"/>
      <c r="LQ7" s="826"/>
      <c r="LR7" s="826"/>
      <c r="LS7" s="826"/>
      <c r="LT7" s="826"/>
      <c r="LU7" s="826"/>
      <c r="LV7" s="826"/>
      <c r="LW7" s="826"/>
      <c r="LX7" s="826"/>
      <c r="LY7" s="826"/>
      <c r="LZ7" s="826"/>
      <c r="MA7" s="826"/>
      <c r="MB7" s="826"/>
      <c r="MC7" s="826"/>
      <c r="MD7" s="826"/>
      <c r="ME7" s="826"/>
      <c r="MF7" s="826"/>
      <c r="MG7" s="826"/>
      <c r="MH7" s="826"/>
      <c r="MI7" s="826"/>
      <c r="MJ7" s="826"/>
      <c r="MK7" s="826"/>
      <c r="ML7" s="826"/>
      <c r="MM7" s="826"/>
      <c r="MN7" s="826"/>
      <c r="MO7" s="826"/>
      <c r="MP7" s="826"/>
      <c r="MQ7" s="826"/>
      <c r="MR7" s="826"/>
      <c r="MS7" s="826"/>
      <c r="MT7" s="826"/>
      <c r="MU7" s="826"/>
      <c r="MV7" s="826"/>
      <c r="MW7" s="826"/>
      <c r="MX7" s="826"/>
      <c r="MY7" s="826"/>
      <c r="MZ7" s="826"/>
      <c r="NA7" s="826"/>
      <c r="NB7" s="826"/>
      <c r="NC7" s="826"/>
      <c r="ND7" s="826"/>
      <c r="NE7" s="826"/>
      <c r="NF7" s="826"/>
      <c r="NG7" s="826"/>
      <c r="NH7" s="826"/>
      <c r="NI7" s="826"/>
      <c r="NJ7" s="826"/>
      <c r="NK7" s="826"/>
      <c r="NL7" s="826"/>
      <c r="NM7" s="826"/>
      <c r="NN7" s="826"/>
      <c r="NO7" s="826"/>
      <c r="NP7" s="826"/>
      <c r="NQ7" s="826"/>
      <c r="NR7" s="826"/>
      <c r="NS7" s="826"/>
      <c r="NT7" s="826"/>
      <c r="NU7" s="826"/>
      <c r="NV7" s="826"/>
      <c r="NW7" s="826"/>
      <c r="NX7" s="826"/>
      <c r="NY7" s="826"/>
      <c r="NZ7" s="826"/>
      <c r="OA7" s="826"/>
      <c r="OB7" s="826"/>
      <c r="OC7" s="826"/>
      <c r="OD7" s="826"/>
      <c r="OE7" s="826"/>
      <c r="OF7" s="826"/>
      <c r="OG7" s="826"/>
      <c r="OH7" s="826"/>
      <c r="OI7" s="826"/>
      <c r="OJ7" s="826"/>
      <c r="OK7" s="826"/>
      <c r="OL7" s="826"/>
      <c r="OM7" s="826"/>
      <c r="ON7" s="826"/>
      <c r="OO7" s="826"/>
      <c r="OP7" s="826"/>
      <c r="OQ7" s="826"/>
      <c r="OR7" s="826"/>
      <c r="OS7" s="826"/>
      <c r="OT7" s="826"/>
      <c r="OU7" s="826"/>
      <c r="OV7" s="826"/>
      <c r="OW7" s="826"/>
      <c r="OX7" s="826"/>
      <c r="OY7" s="826"/>
      <c r="OZ7" s="826"/>
      <c r="PA7" s="826"/>
      <c r="PB7" s="826"/>
      <c r="PC7" s="826"/>
      <c r="PD7" s="826"/>
      <c r="PE7" s="826"/>
      <c r="PF7" s="826"/>
      <c r="PG7" s="826"/>
      <c r="PH7" s="826"/>
      <c r="PI7" s="826"/>
      <c r="PJ7" s="826"/>
      <c r="PK7" s="826"/>
      <c r="PL7" s="826"/>
      <c r="PM7" s="826"/>
      <c r="PN7" s="826"/>
      <c r="PO7" s="826"/>
      <c r="PP7" s="826"/>
      <c r="PQ7" s="826"/>
      <c r="PR7" s="826"/>
      <c r="PS7" s="826"/>
      <c r="PT7" s="826"/>
      <c r="PU7" s="826"/>
      <c r="PV7" s="826"/>
      <c r="PW7" s="826"/>
      <c r="PX7" s="826"/>
      <c r="PY7" s="826"/>
      <c r="PZ7" s="826"/>
      <c r="QA7" s="826"/>
      <c r="QB7" s="826"/>
      <c r="QC7" s="826"/>
      <c r="QD7" s="826"/>
      <c r="QE7" s="826"/>
      <c r="QF7" s="826"/>
      <c r="QG7" s="826"/>
      <c r="QH7" s="826"/>
      <c r="QI7" s="826"/>
      <c r="QJ7" s="826"/>
      <c r="QK7" s="826"/>
      <c r="QL7" s="826"/>
      <c r="QM7" s="826"/>
      <c r="QN7" s="826"/>
      <c r="QO7" s="826"/>
      <c r="QP7" s="826"/>
      <c r="QQ7" s="826"/>
      <c r="QR7" s="826"/>
      <c r="QS7" s="826"/>
      <c r="QT7" s="826"/>
      <c r="QU7" s="826"/>
      <c r="QV7" s="826"/>
      <c r="QW7" s="826"/>
      <c r="QX7" s="826"/>
      <c r="QY7" s="826"/>
      <c r="QZ7" s="826"/>
      <c r="RA7" s="826"/>
      <c r="RB7" s="826"/>
      <c r="RC7" s="826"/>
      <c r="RD7" s="826"/>
      <c r="RE7" s="826"/>
      <c r="RF7" s="826"/>
      <c r="RG7" s="826"/>
      <c r="RH7" s="826"/>
      <c r="RI7" s="826"/>
      <c r="RJ7" s="826"/>
      <c r="RK7" s="826"/>
      <c r="RL7" s="826"/>
      <c r="RM7" s="826"/>
      <c r="RN7" s="826"/>
      <c r="RO7" s="826"/>
      <c r="RP7" s="826"/>
      <c r="RQ7" s="826"/>
      <c r="RR7" s="826"/>
      <c r="RS7" s="826"/>
      <c r="RT7" s="826"/>
      <c r="RU7" s="826"/>
      <c r="RV7" s="826"/>
      <c r="RW7" s="826"/>
      <c r="RX7" s="826"/>
      <c r="RY7" s="826"/>
      <c r="RZ7" s="826"/>
      <c r="SA7" s="826"/>
      <c r="SB7" s="826"/>
      <c r="SC7" s="826"/>
      <c r="SD7" s="826"/>
      <c r="SE7" s="826"/>
      <c r="SF7" s="826"/>
      <c r="SG7" s="826"/>
      <c r="SH7" s="826"/>
      <c r="SI7" s="826"/>
      <c r="SJ7" s="826"/>
      <c r="SK7" s="826"/>
      <c r="SL7" s="826"/>
      <c r="SM7" s="826"/>
      <c r="SN7" s="826"/>
      <c r="SO7" s="826"/>
      <c r="SP7" s="826"/>
      <c r="SQ7" s="826"/>
      <c r="SR7" s="826"/>
      <c r="SS7" s="826"/>
      <c r="ST7" s="826"/>
      <c r="SU7" s="826"/>
      <c r="SV7" s="826"/>
      <c r="SW7" s="826"/>
      <c r="SX7" s="826"/>
      <c r="SY7" s="826"/>
      <c r="SZ7" s="826"/>
      <c r="TA7" s="826"/>
      <c r="TB7" s="826"/>
      <c r="TC7" s="826"/>
      <c r="TD7" s="826"/>
      <c r="TE7" s="826"/>
      <c r="TF7" s="826"/>
      <c r="TG7" s="826"/>
      <c r="TH7" s="826"/>
      <c r="TI7" s="826"/>
      <c r="TJ7" s="826"/>
      <c r="TK7" s="826"/>
      <c r="TL7" s="826"/>
      <c r="TM7" s="826"/>
      <c r="TN7" s="826"/>
      <c r="TO7" s="826"/>
      <c r="TP7" s="826"/>
      <c r="TQ7" s="826"/>
      <c r="TR7" s="826"/>
      <c r="TS7" s="826"/>
      <c r="TT7" s="826"/>
      <c r="TU7" s="826"/>
      <c r="TV7" s="826"/>
      <c r="TW7" s="826"/>
      <c r="TX7" s="826"/>
      <c r="TY7" s="826"/>
      <c r="TZ7" s="826"/>
      <c r="UA7" s="826"/>
      <c r="UB7" s="826"/>
      <c r="UC7" s="826"/>
      <c r="UD7" s="826"/>
      <c r="UE7" s="826"/>
      <c r="UF7" s="826"/>
      <c r="UG7" s="826"/>
      <c r="UH7" s="826"/>
      <c r="UI7" s="826"/>
      <c r="UJ7" s="826"/>
      <c r="UK7" s="826"/>
      <c r="UL7" s="826"/>
      <c r="UM7" s="826"/>
      <c r="UN7" s="826"/>
      <c r="UO7" s="826"/>
      <c r="UP7" s="826"/>
      <c r="UQ7" s="826"/>
      <c r="UR7" s="826"/>
      <c r="US7" s="826"/>
      <c r="UT7" s="826"/>
      <c r="UU7" s="826"/>
      <c r="UV7" s="826"/>
      <c r="UW7" s="826"/>
      <c r="UX7" s="826"/>
      <c r="UY7" s="826"/>
      <c r="UZ7" s="826"/>
      <c r="VA7" s="826"/>
      <c r="VB7" s="826"/>
      <c r="VC7" s="826"/>
      <c r="VD7" s="826"/>
      <c r="VE7" s="826"/>
      <c r="VF7" s="826"/>
      <c r="VG7" s="826"/>
      <c r="VH7" s="826"/>
      <c r="VI7" s="826"/>
      <c r="VJ7" s="826"/>
      <c r="VK7" s="826"/>
      <c r="VL7" s="826"/>
      <c r="VM7" s="826"/>
      <c r="VN7" s="826"/>
      <c r="VO7" s="826"/>
      <c r="VP7" s="826"/>
      <c r="VQ7" s="826"/>
      <c r="VR7" s="826"/>
      <c r="VS7" s="826"/>
      <c r="VT7" s="826"/>
      <c r="VU7" s="826"/>
      <c r="VV7" s="826"/>
      <c r="VW7" s="826"/>
      <c r="VX7" s="826"/>
      <c r="VY7" s="826"/>
      <c r="VZ7" s="826"/>
      <c r="WA7" s="826"/>
      <c r="WB7" s="826"/>
      <c r="WC7" s="826"/>
      <c r="WD7" s="826"/>
      <c r="WE7" s="826"/>
      <c r="WF7" s="826"/>
      <c r="WG7" s="826"/>
      <c r="WH7" s="826"/>
      <c r="WI7" s="826"/>
      <c r="WJ7" s="826"/>
      <c r="WK7" s="826"/>
      <c r="WL7" s="826"/>
      <c r="WM7" s="826"/>
      <c r="WN7" s="826"/>
      <c r="WO7" s="826"/>
      <c r="WP7" s="826"/>
      <c r="WQ7" s="826"/>
      <c r="WR7" s="826"/>
      <c r="WS7" s="826"/>
      <c r="WT7" s="826"/>
      <c r="WU7" s="826"/>
      <c r="WV7" s="826"/>
      <c r="WW7" s="826"/>
      <c r="WX7" s="826"/>
      <c r="WY7" s="826"/>
      <c r="WZ7" s="826"/>
      <c r="XA7" s="826"/>
      <c r="XB7" s="826"/>
      <c r="XC7" s="826"/>
      <c r="XD7" s="826"/>
      <c r="XE7" s="826"/>
      <c r="XF7" s="826"/>
      <c r="XG7" s="826"/>
      <c r="XH7" s="826"/>
      <c r="XI7" s="826"/>
      <c r="XJ7" s="826"/>
      <c r="XK7" s="826"/>
      <c r="XL7" s="826"/>
      <c r="XM7" s="826"/>
      <c r="XN7" s="826"/>
      <c r="XO7" s="826"/>
      <c r="XP7" s="826"/>
      <c r="XQ7" s="826"/>
      <c r="XR7" s="826"/>
      <c r="XS7" s="826"/>
      <c r="XT7" s="826"/>
      <c r="XU7" s="826"/>
      <c r="XV7" s="826"/>
      <c r="XW7" s="826"/>
      <c r="XX7" s="826"/>
      <c r="XY7" s="826"/>
      <c r="XZ7" s="826"/>
      <c r="YA7" s="826"/>
      <c r="YB7" s="826"/>
      <c r="YC7" s="826"/>
      <c r="YD7" s="826"/>
      <c r="YE7" s="826"/>
      <c r="YF7" s="826"/>
      <c r="YG7" s="826"/>
      <c r="YH7" s="826"/>
      <c r="YI7" s="826"/>
      <c r="YJ7" s="826"/>
      <c r="YK7" s="826"/>
      <c r="YL7" s="826"/>
      <c r="YM7" s="826"/>
      <c r="YN7" s="826"/>
      <c r="YO7" s="826"/>
      <c r="YP7" s="826"/>
      <c r="YQ7" s="826"/>
      <c r="YR7" s="826"/>
      <c r="YS7" s="826"/>
      <c r="YT7" s="826"/>
      <c r="YU7" s="826"/>
      <c r="YV7" s="826"/>
      <c r="YW7" s="826"/>
      <c r="YX7" s="826"/>
      <c r="YY7" s="826"/>
      <c r="YZ7" s="826"/>
      <c r="ZA7" s="826"/>
      <c r="ZB7" s="826"/>
      <c r="ZC7" s="826"/>
      <c r="ZD7" s="826"/>
      <c r="ZE7" s="826"/>
      <c r="ZF7" s="826"/>
      <c r="ZG7" s="826"/>
      <c r="ZH7" s="826"/>
      <c r="ZI7" s="826"/>
      <c r="ZJ7" s="826"/>
      <c r="ZK7" s="826"/>
      <c r="ZL7" s="826"/>
      <c r="ZM7" s="826"/>
      <c r="ZN7" s="826"/>
      <c r="ZO7" s="826"/>
      <c r="ZP7" s="826"/>
      <c r="ZQ7" s="826"/>
      <c r="ZR7" s="826"/>
      <c r="ZS7" s="826"/>
      <c r="ZT7" s="826"/>
      <c r="ZU7" s="826"/>
      <c r="ZV7" s="826"/>
      <c r="ZW7" s="826"/>
      <c r="ZX7" s="826"/>
      <c r="ZY7" s="826"/>
      <c r="ZZ7" s="826"/>
      <c r="AAA7" s="826"/>
      <c r="AAB7" s="826"/>
      <c r="AAC7" s="826"/>
      <c r="AAD7" s="826"/>
      <c r="AAE7" s="826"/>
      <c r="AAF7" s="826"/>
      <c r="AAG7" s="826"/>
      <c r="AAH7" s="826"/>
      <c r="AAI7" s="826"/>
      <c r="AAJ7" s="826"/>
      <c r="AAK7" s="826"/>
      <c r="AAL7" s="826"/>
      <c r="AAM7" s="826"/>
      <c r="AAN7" s="826"/>
      <c r="AAO7" s="826"/>
      <c r="AAP7" s="826"/>
      <c r="AAQ7" s="826"/>
      <c r="AAR7" s="826"/>
      <c r="AAS7" s="826"/>
      <c r="AAT7" s="826"/>
      <c r="AAU7" s="826"/>
      <c r="AAV7" s="826"/>
      <c r="AAW7" s="826"/>
      <c r="AAX7" s="826"/>
      <c r="AAY7" s="826"/>
      <c r="AAZ7" s="826"/>
      <c r="ABA7" s="826"/>
      <c r="ABB7" s="826"/>
      <c r="ABC7" s="826"/>
      <c r="ABD7" s="826"/>
      <c r="ABE7" s="826"/>
      <c r="ABF7" s="826"/>
      <c r="ABG7" s="826"/>
      <c r="ABH7" s="826"/>
      <c r="ABI7" s="826"/>
      <c r="ABJ7" s="826"/>
      <c r="ABK7" s="826"/>
      <c r="ABL7" s="826"/>
      <c r="ABM7" s="826"/>
      <c r="ABN7" s="826"/>
      <c r="ABO7" s="826"/>
      <c r="ABP7" s="826"/>
      <c r="ABQ7" s="826"/>
      <c r="ABR7" s="826"/>
      <c r="ABS7" s="826"/>
      <c r="ABT7" s="826"/>
      <c r="ABU7" s="826"/>
      <c r="ABV7" s="826"/>
      <c r="ABW7" s="826"/>
      <c r="ABX7" s="826"/>
      <c r="ABY7" s="826"/>
      <c r="ABZ7" s="826"/>
      <c r="ACA7" s="826"/>
      <c r="ACB7" s="826"/>
      <c r="ACC7" s="826"/>
      <c r="ACD7" s="826"/>
      <c r="ACE7" s="826"/>
      <c r="ACF7" s="826"/>
      <c r="ACG7" s="826"/>
      <c r="ACH7" s="826"/>
      <c r="ACI7" s="826"/>
      <c r="ACJ7" s="826"/>
      <c r="ACK7" s="826"/>
      <c r="ACL7" s="826"/>
      <c r="ACM7" s="826"/>
      <c r="ACN7" s="826"/>
      <c r="ACO7" s="826"/>
      <c r="ACP7" s="826"/>
      <c r="ACQ7" s="826"/>
      <c r="ACR7" s="826"/>
      <c r="ACS7" s="826"/>
      <c r="ACT7" s="826"/>
      <c r="ACU7" s="826"/>
      <c r="ACV7" s="826"/>
      <c r="ACW7" s="826"/>
      <c r="ACX7" s="826"/>
      <c r="ACY7" s="826"/>
      <c r="ACZ7" s="826"/>
      <c r="ADA7" s="826"/>
      <c r="ADB7" s="826"/>
      <c r="ADC7" s="826"/>
      <c r="ADD7" s="826"/>
      <c r="ADE7" s="826"/>
      <c r="ADF7" s="826"/>
      <c r="ADG7" s="826"/>
      <c r="ADH7" s="826"/>
      <c r="ADI7" s="826"/>
      <c r="ADJ7" s="826"/>
      <c r="ADK7" s="826"/>
      <c r="ADL7" s="826"/>
      <c r="ADM7" s="826"/>
      <c r="ADN7" s="826"/>
      <c r="ADO7" s="826"/>
      <c r="ADP7" s="826"/>
      <c r="ADQ7" s="826"/>
      <c r="ADR7" s="826"/>
      <c r="ADS7" s="826"/>
      <c r="ADT7" s="826"/>
      <c r="ADU7" s="826"/>
      <c r="ADV7" s="826"/>
      <c r="ADW7" s="826"/>
      <c r="ADX7" s="826"/>
      <c r="ADY7" s="826"/>
      <c r="ADZ7" s="826"/>
      <c r="AEA7" s="826"/>
      <c r="AEB7" s="826"/>
      <c r="AEC7" s="826"/>
      <c r="AED7" s="826"/>
      <c r="AEE7" s="826"/>
      <c r="AEF7" s="826"/>
      <c r="AEG7" s="826"/>
      <c r="AEH7" s="826"/>
      <c r="AEI7" s="826"/>
      <c r="AEJ7" s="826"/>
      <c r="AEK7" s="826"/>
      <c r="AEL7" s="826"/>
      <c r="AEM7" s="826"/>
      <c r="AEN7" s="826"/>
      <c r="AEO7" s="826"/>
      <c r="AEP7" s="826"/>
      <c r="AEQ7" s="826"/>
      <c r="AER7" s="826"/>
      <c r="AES7" s="826"/>
      <c r="AET7" s="826"/>
      <c r="AEU7" s="826"/>
      <c r="AEV7" s="826"/>
      <c r="AEW7" s="826"/>
      <c r="AEX7" s="826"/>
      <c r="AEY7" s="826"/>
      <c r="AEZ7" s="826"/>
      <c r="AFA7" s="826"/>
      <c r="AFB7" s="826"/>
      <c r="AFC7" s="826"/>
      <c r="AFD7" s="826"/>
      <c r="AFE7" s="826"/>
      <c r="AFF7" s="826"/>
      <c r="AFG7" s="826"/>
      <c r="AFH7" s="826"/>
      <c r="AFI7" s="826"/>
      <c r="AFJ7" s="826"/>
      <c r="AFK7" s="826"/>
      <c r="AFL7" s="826"/>
      <c r="AFM7" s="826"/>
      <c r="AFN7" s="826"/>
      <c r="AFO7" s="826"/>
      <c r="AFP7" s="826"/>
      <c r="AFQ7" s="826"/>
      <c r="AFR7" s="826"/>
      <c r="AFS7" s="826"/>
      <c r="AFT7" s="826"/>
      <c r="AFU7" s="826"/>
      <c r="AFV7" s="826"/>
      <c r="AFW7" s="826"/>
      <c r="AFX7" s="826"/>
      <c r="AFY7" s="826"/>
      <c r="AFZ7" s="826"/>
      <c r="AGA7" s="826"/>
      <c r="AGB7" s="826"/>
      <c r="AGC7" s="826"/>
      <c r="AGD7" s="826"/>
      <c r="AGE7" s="826"/>
      <c r="AGF7" s="826"/>
      <c r="AGG7" s="826"/>
      <c r="AGH7" s="826"/>
      <c r="AGI7" s="826"/>
      <c r="AGJ7" s="826"/>
      <c r="AGK7" s="826"/>
      <c r="AGL7" s="826"/>
      <c r="AGM7" s="826"/>
      <c r="AGN7" s="826"/>
      <c r="AGO7" s="826"/>
      <c r="AGP7" s="826"/>
      <c r="AGQ7" s="826"/>
      <c r="AGR7" s="826"/>
      <c r="AGS7" s="826"/>
      <c r="AGT7" s="826"/>
      <c r="AGU7" s="826"/>
      <c r="AGV7" s="826"/>
      <c r="AGW7" s="826"/>
      <c r="AGX7" s="826"/>
      <c r="AGY7" s="826"/>
      <c r="AGZ7" s="826"/>
      <c r="AHA7" s="826"/>
      <c r="AHB7" s="826"/>
      <c r="AHC7" s="826"/>
      <c r="AHD7" s="826"/>
      <c r="AHE7" s="826"/>
      <c r="AHF7" s="826"/>
      <c r="AHG7" s="826"/>
      <c r="AHH7" s="826"/>
      <c r="AHI7" s="826"/>
      <c r="AHJ7" s="826"/>
      <c r="AHK7" s="826"/>
      <c r="AHL7" s="826"/>
      <c r="AHM7" s="826"/>
      <c r="AHN7" s="826"/>
      <c r="AHO7" s="826"/>
      <c r="AHP7" s="826"/>
      <c r="AHQ7" s="826"/>
      <c r="AHR7" s="826"/>
      <c r="AHS7" s="826"/>
      <c r="AHT7" s="826"/>
      <c r="AHU7" s="826"/>
      <c r="AHV7" s="826"/>
      <c r="AHW7" s="826"/>
      <c r="AHX7" s="826"/>
      <c r="AHY7" s="826"/>
      <c r="AHZ7" s="826"/>
      <c r="AIA7" s="826"/>
      <c r="AIB7" s="826"/>
      <c r="AIC7" s="826"/>
      <c r="AID7" s="826"/>
      <c r="AIE7" s="826"/>
      <c r="AIF7" s="826"/>
      <c r="AIG7" s="826"/>
      <c r="AIH7" s="826"/>
      <c r="AII7" s="826"/>
      <c r="AIJ7" s="826"/>
      <c r="AIK7" s="826"/>
      <c r="AIL7" s="826"/>
      <c r="AIM7" s="826"/>
      <c r="AIN7" s="826"/>
      <c r="AIO7" s="826"/>
      <c r="AIP7" s="826"/>
      <c r="AIQ7" s="826"/>
      <c r="AIR7" s="826"/>
      <c r="AIS7" s="826"/>
      <c r="AIT7" s="826"/>
      <c r="AIU7" s="826"/>
      <c r="AIV7" s="826"/>
      <c r="AIW7" s="826"/>
      <c r="AIX7" s="826"/>
      <c r="AIY7" s="826"/>
      <c r="AIZ7" s="826"/>
      <c r="AJA7" s="826"/>
      <c r="AJB7" s="826"/>
      <c r="AJC7" s="826"/>
      <c r="AJD7" s="826"/>
      <c r="AJE7" s="826"/>
      <c r="AJF7" s="826"/>
      <c r="AJG7" s="826"/>
      <c r="AJH7" s="826"/>
      <c r="AJI7" s="826"/>
      <c r="AJJ7" s="826"/>
      <c r="AJK7" s="826"/>
      <c r="AJL7" s="826"/>
      <c r="AJM7" s="826"/>
      <c r="AJN7" s="826"/>
      <c r="AJO7" s="826"/>
      <c r="AJP7" s="826"/>
      <c r="AJQ7" s="826"/>
      <c r="AJR7" s="826"/>
      <c r="AJS7" s="826"/>
      <c r="AJT7" s="826"/>
      <c r="AJU7" s="826"/>
      <c r="AJV7" s="826"/>
      <c r="AJW7" s="826"/>
      <c r="AJX7" s="826"/>
      <c r="AJY7" s="826"/>
      <c r="AJZ7" s="826"/>
      <c r="AKA7" s="826"/>
      <c r="AKB7" s="826"/>
      <c r="AKC7" s="826"/>
      <c r="AKD7" s="826"/>
      <c r="AKE7" s="826"/>
      <c r="AKF7" s="826"/>
      <c r="AKG7" s="826"/>
      <c r="AKH7" s="826"/>
      <c r="AKI7" s="826"/>
      <c r="AKJ7" s="826"/>
      <c r="AKK7" s="826"/>
      <c r="AKL7" s="826"/>
      <c r="AKM7" s="826"/>
      <c r="AKN7" s="826"/>
      <c r="AKO7" s="826"/>
      <c r="AKP7" s="826"/>
      <c r="AKQ7" s="826"/>
      <c r="AKR7" s="826"/>
      <c r="AKS7" s="826"/>
      <c r="AKT7" s="826"/>
      <c r="AKU7" s="826"/>
      <c r="AKV7" s="826"/>
      <c r="AKW7" s="826"/>
      <c r="AKX7" s="826"/>
      <c r="AKY7" s="826"/>
      <c r="AKZ7" s="826"/>
      <c r="ALA7" s="826"/>
      <c r="ALB7" s="826"/>
      <c r="ALC7" s="826"/>
      <c r="ALD7" s="826"/>
      <c r="ALE7" s="826"/>
      <c r="ALF7" s="826"/>
      <c r="ALG7" s="826"/>
      <c r="ALH7" s="826"/>
      <c r="ALI7" s="826"/>
      <c r="ALJ7" s="826"/>
      <c r="ALK7" s="826"/>
      <c r="ALL7" s="826"/>
      <c r="ALM7" s="826"/>
      <c r="ALN7" s="826"/>
      <c r="ALO7" s="826"/>
      <c r="ALP7" s="826"/>
      <c r="ALQ7" s="826"/>
      <c r="ALR7" s="826"/>
      <c r="ALS7" s="826"/>
      <c r="ALT7" s="826"/>
      <c r="ALU7" s="826"/>
      <c r="ALV7" s="826"/>
      <c r="ALW7" s="826"/>
      <c r="ALX7" s="826"/>
      <c r="ALY7" s="826"/>
      <c r="ALZ7" s="826"/>
      <c r="AMA7" s="826"/>
      <c r="AMB7" s="826"/>
      <c r="AMC7" s="826"/>
      <c r="AMD7" s="826"/>
      <c r="AME7" s="826"/>
      <c r="AMF7" s="826"/>
      <c r="AMG7" s="826"/>
      <c r="AMH7" s="826"/>
      <c r="AMI7" s="826"/>
      <c r="AMJ7" s="826"/>
      <c r="AMK7" s="826"/>
      <c r="AML7" s="826"/>
      <c r="AMM7" s="826"/>
      <c r="AMN7" s="826"/>
      <c r="AMO7" s="826"/>
      <c r="AMP7" s="826"/>
      <c r="AMQ7" s="826"/>
      <c r="AMR7" s="826"/>
      <c r="AMS7" s="826"/>
      <c r="AMT7" s="826"/>
      <c r="AMU7" s="826"/>
      <c r="AMV7" s="826"/>
      <c r="AMW7" s="826"/>
      <c r="AMX7" s="826"/>
      <c r="AMY7" s="826"/>
      <c r="AMZ7" s="826"/>
      <c r="ANA7" s="826"/>
      <c r="ANB7" s="826"/>
      <c r="ANC7" s="826"/>
      <c r="AND7" s="826"/>
      <c r="ANE7" s="826"/>
      <c r="ANF7" s="826"/>
      <c r="ANG7" s="826"/>
      <c r="ANH7" s="826"/>
      <c r="ANI7" s="826"/>
      <c r="ANJ7" s="826"/>
      <c r="ANK7" s="826"/>
      <c r="ANL7" s="826"/>
      <c r="ANM7" s="826"/>
      <c r="ANN7" s="826"/>
      <c r="ANO7" s="826"/>
      <c r="ANP7" s="826"/>
      <c r="ANQ7" s="826"/>
      <c r="ANR7" s="826"/>
      <c r="ANS7" s="826"/>
      <c r="ANT7" s="826"/>
      <c r="ANU7" s="826"/>
      <c r="ANV7" s="826"/>
      <c r="ANW7" s="826"/>
      <c r="ANX7" s="826"/>
      <c r="ANY7" s="826"/>
      <c r="ANZ7" s="826"/>
      <c r="AOA7" s="826"/>
      <c r="AOB7" s="826"/>
      <c r="AOC7" s="826"/>
      <c r="AOD7" s="826"/>
      <c r="AOE7" s="826"/>
      <c r="AOF7" s="826"/>
      <c r="AOG7" s="826"/>
      <c r="AOH7" s="826"/>
      <c r="AOI7" s="826"/>
      <c r="AOJ7" s="826"/>
      <c r="AOK7" s="826"/>
      <c r="AOL7" s="826"/>
      <c r="AOM7" s="826"/>
      <c r="AON7" s="826"/>
      <c r="AOO7" s="826"/>
      <c r="AOP7" s="826"/>
      <c r="AOQ7" s="826"/>
      <c r="AOR7" s="826"/>
      <c r="AOS7" s="826"/>
      <c r="AOT7" s="826"/>
      <c r="AOU7" s="826"/>
      <c r="AOV7" s="826"/>
      <c r="AOW7" s="826"/>
      <c r="AOX7" s="826"/>
      <c r="AOY7" s="826"/>
      <c r="AOZ7" s="826"/>
      <c r="APA7" s="826"/>
      <c r="APB7" s="826"/>
      <c r="APC7" s="826"/>
      <c r="APD7" s="826"/>
      <c r="APE7" s="826"/>
      <c r="APF7" s="826"/>
      <c r="APG7" s="826"/>
      <c r="APH7" s="826"/>
      <c r="API7" s="826"/>
      <c r="APJ7" s="826"/>
      <c r="APK7" s="826"/>
      <c r="APL7" s="826"/>
      <c r="APM7" s="826"/>
      <c r="APN7" s="826"/>
      <c r="APO7" s="826"/>
      <c r="APP7" s="826"/>
      <c r="APQ7" s="826"/>
      <c r="APR7" s="826"/>
      <c r="APS7" s="826"/>
      <c r="APT7" s="826"/>
      <c r="APU7" s="826"/>
      <c r="APV7" s="826"/>
      <c r="APW7" s="826"/>
      <c r="APX7" s="826"/>
      <c r="APY7" s="826"/>
      <c r="APZ7" s="826"/>
      <c r="AQA7" s="826"/>
      <c r="AQB7" s="826"/>
      <c r="AQC7" s="826"/>
      <c r="AQD7" s="826"/>
      <c r="AQE7" s="826"/>
      <c r="AQF7" s="826"/>
      <c r="AQG7" s="826"/>
      <c r="AQH7" s="826"/>
      <c r="AQI7" s="826"/>
      <c r="AQJ7" s="826"/>
      <c r="AQK7" s="826"/>
      <c r="AQL7" s="826"/>
      <c r="AQM7" s="826"/>
      <c r="AQN7" s="826"/>
      <c r="AQO7" s="826"/>
      <c r="AQP7" s="826"/>
      <c r="AQQ7" s="826"/>
      <c r="AQR7" s="826"/>
      <c r="AQS7" s="826"/>
      <c r="AQT7" s="826"/>
      <c r="AQU7" s="826"/>
      <c r="AQV7" s="826"/>
      <c r="AQW7" s="826"/>
      <c r="AQX7" s="826"/>
      <c r="AQY7" s="826"/>
      <c r="AQZ7" s="826"/>
      <c r="ARA7" s="826"/>
      <c r="ARB7" s="826"/>
      <c r="ARC7" s="826"/>
      <c r="ARD7" s="826"/>
      <c r="ARE7" s="826"/>
      <c r="ARF7" s="826"/>
      <c r="ARG7" s="826"/>
      <c r="ARH7" s="826"/>
      <c r="ARI7" s="826"/>
      <c r="ARJ7" s="826"/>
      <c r="ARK7" s="826"/>
      <c r="ARL7" s="826"/>
      <c r="ARM7" s="826"/>
      <c r="ARN7" s="826"/>
      <c r="ARO7" s="826"/>
      <c r="ARP7" s="826"/>
      <c r="ARQ7" s="826"/>
      <c r="ARR7" s="826"/>
      <c r="ARS7" s="826"/>
      <c r="ART7" s="826"/>
      <c r="ARU7" s="826"/>
      <c r="ARV7" s="826"/>
      <c r="ARW7" s="826"/>
      <c r="ARX7" s="826"/>
      <c r="ARY7" s="826"/>
      <c r="ARZ7" s="826"/>
      <c r="ASA7" s="826"/>
      <c r="ASB7" s="826"/>
      <c r="ASC7" s="826"/>
      <c r="ASD7" s="826"/>
      <c r="ASE7" s="826"/>
      <c r="ASF7" s="826"/>
      <c r="ASG7" s="826"/>
      <c r="ASH7" s="826"/>
      <c r="ASI7" s="826"/>
      <c r="ASJ7" s="826"/>
      <c r="ASK7" s="826"/>
      <c r="ASL7" s="826"/>
      <c r="ASM7" s="826"/>
      <c r="ASN7" s="826"/>
      <c r="ASO7" s="826"/>
      <c r="ASP7" s="826"/>
      <c r="ASQ7" s="826"/>
      <c r="ASR7" s="826"/>
      <c r="ASS7" s="826"/>
      <c r="AST7" s="826"/>
      <c r="ASU7" s="826"/>
      <c r="ASV7" s="826"/>
      <c r="ASW7" s="826"/>
      <c r="ASX7" s="826"/>
      <c r="ASY7" s="826"/>
      <c r="ASZ7" s="826"/>
      <c r="ATA7" s="826"/>
      <c r="ATB7" s="826"/>
      <c r="ATC7" s="826"/>
      <c r="ATD7" s="826"/>
      <c r="ATE7" s="826"/>
      <c r="ATF7" s="826"/>
      <c r="ATG7" s="826"/>
      <c r="ATH7" s="826"/>
      <c r="ATI7" s="826"/>
      <c r="ATJ7" s="826"/>
      <c r="ATK7" s="826"/>
      <c r="ATL7" s="826"/>
      <c r="ATM7" s="826"/>
      <c r="ATN7" s="826"/>
      <c r="ATO7" s="826"/>
      <c r="ATP7" s="826"/>
      <c r="ATQ7" s="826"/>
      <c r="ATR7" s="826"/>
      <c r="ATS7" s="826"/>
      <c r="ATT7" s="826"/>
      <c r="ATU7" s="826"/>
      <c r="ATV7" s="826"/>
      <c r="ATW7" s="826"/>
      <c r="ATX7" s="826"/>
      <c r="ATY7" s="826"/>
      <c r="ATZ7" s="826"/>
      <c r="AUA7" s="826"/>
      <c r="AUB7" s="826"/>
      <c r="AUC7" s="826"/>
      <c r="AUD7" s="826"/>
      <c r="AUE7" s="826"/>
      <c r="AUF7" s="826"/>
      <c r="AUG7" s="826"/>
      <c r="AUH7" s="826"/>
      <c r="AUI7" s="826"/>
      <c r="AUJ7" s="826"/>
      <c r="AUK7" s="826"/>
      <c r="AUL7" s="826"/>
      <c r="AUM7" s="826"/>
      <c r="AUN7" s="826"/>
      <c r="AUO7" s="826"/>
      <c r="AUP7" s="826"/>
      <c r="AUQ7" s="826"/>
      <c r="AUR7" s="826"/>
      <c r="AUS7" s="826"/>
      <c r="AUT7" s="826"/>
      <c r="AUU7" s="826"/>
      <c r="AUV7" s="826"/>
      <c r="AUW7" s="826"/>
      <c r="AUX7" s="826"/>
      <c r="AUY7" s="826"/>
      <c r="AUZ7" s="826"/>
      <c r="AVA7" s="826"/>
      <c r="AVB7" s="826"/>
      <c r="AVC7" s="826"/>
      <c r="AVD7" s="826"/>
      <c r="AVE7" s="826"/>
      <c r="AVF7" s="826"/>
      <c r="AVG7" s="826"/>
      <c r="AVH7" s="826"/>
      <c r="AVI7" s="826"/>
      <c r="AVJ7" s="826"/>
      <c r="AVK7" s="826"/>
      <c r="AVL7" s="826"/>
      <c r="AVM7" s="826"/>
      <c r="AVN7" s="826"/>
      <c r="AVO7" s="826"/>
      <c r="AVP7" s="826"/>
      <c r="AVQ7" s="826"/>
      <c r="AVR7" s="826"/>
      <c r="AVS7" s="826"/>
      <c r="AVT7" s="826"/>
      <c r="AVU7" s="826"/>
      <c r="AVV7" s="826"/>
      <c r="AVW7" s="826"/>
      <c r="AVX7" s="826"/>
      <c r="AVY7" s="826"/>
      <c r="AVZ7" s="826"/>
      <c r="AWA7" s="826"/>
      <c r="AWB7" s="826"/>
      <c r="AWC7" s="826"/>
      <c r="AWD7" s="826"/>
      <c r="AWE7" s="826"/>
      <c r="AWF7" s="826"/>
      <c r="AWG7" s="826"/>
      <c r="AWH7" s="826"/>
      <c r="AWI7" s="826"/>
      <c r="AWJ7" s="826"/>
      <c r="AWK7" s="826"/>
      <c r="AWL7" s="826"/>
      <c r="AWM7" s="826"/>
      <c r="AWN7" s="826"/>
      <c r="AWO7" s="826"/>
      <c r="AWP7" s="826"/>
      <c r="AWQ7" s="826"/>
      <c r="AWR7" s="826"/>
      <c r="AWS7" s="826"/>
      <c r="AWT7" s="826"/>
      <c r="AWU7" s="826"/>
      <c r="AWV7" s="826"/>
      <c r="AWW7" s="826"/>
      <c r="AWX7" s="826"/>
      <c r="AWY7" s="826"/>
      <c r="AWZ7" s="826"/>
      <c r="AXA7" s="826"/>
      <c r="AXB7" s="826"/>
      <c r="AXC7" s="826"/>
      <c r="AXD7" s="826"/>
      <c r="AXE7" s="826"/>
      <c r="AXF7" s="826"/>
      <c r="AXG7" s="826"/>
      <c r="AXH7" s="826"/>
      <c r="AXI7" s="826"/>
      <c r="AXJ7" s="826"/>
      <c r="AXK7" s="826"/>
      <c r="AXL7" s="826"/>
      <c r="AXM7" s="826"/>
      <c r="AXN7" s="826"/>
      <c r="AXO7" s="826"/>
      <c r="AXP7" s="826"/>
      <c r="AXQ7" s="826"/>
      <c r="AXR7" s="826"/>
      <c r="AXS7" s="826"/>
      <c r="AXT7" s="826"/>
      <c r="AXU7" s="826"/>
      <c r="AXV7" s="826"/>
      <c r="AXW7" s="826"/>
      <c r="AXX7" s="826"/>
      <c r="AXY7" s="826"/>
      <c r="AXZ7" s="826"/>
      <c r="AYA7" s="826"/>
      <c r="AYB7" s="826"/>
      <c r="AYC7" s="826"/>
      <c r="AYD7" s="826"/>
      <c r="AYE7" s="826"/>
      <c r="AYF7" s="826"/>
      <c r="AYG7" s="826"/>
      <c r="AYH7" s="826"/>
      <c r="AYI7" s="826"/>
      <c r="AYJ7" s="826"/>
      <c r="AYK7" s="826"/>
      <c r="AYL7" s="826"/>
      <c r="AYM7" s="826"/>
      <c r="AYN7" s="826"/>
      <c r="AYO7" s="826"/>
      <c r="AYP7" s="826"/>
      <c r="AYQ7" s="826"/>
      <c r="AYR7" s="826"/>
      <c r="AYS7" s="826"/>
      <c r="AYT7" s="826"/>
      <c r="AYU7" s="826"/>
      <c r="AYV7" s="826"/>
      <c r="AYW7" s="826"/>
      <c r="AYX7" s="826"/>
      <c r="AYY7" s="826"/>
      <c r="AYZ7" s="826"/>
      <c r="AZA7" s="826"/>
      <c r="AZB7" s="826"/>
      <c r="AZC7" s="826"/>
      <c r="AZD7" s="826"/>
      <c r="AZE7" s="826"/>
      <c r="AZF7" s="826"/>
      <c r="AZG7" s="826"/>
      <c r="AZH7" s="826"/>
      <c r="AZI7" s="826"/>
      <c r="AZJ7" s="826"/>
      <c r="AZK7" s="826"/>
      <c r="AZL7" s="826"/>
      <c r="AZM7" s="826"/>
      <c r="AZN7" s="826"/>
      <c r="AZO7" s="826"/>
      <c r="AZP7" s="826"/>
      <c r="AZQ7" s="826"/>
      <c r="AZR7" s="826"/>
      <c r="AZS7" s="826"/>
      <c r="AZT7" s="826"/>
      <c r="AZU7" s="826"/>
      <c r="AZV7" s="826"/>
      <c r="AZW7" s="826"/>
      <c r="AZX7" s="826"/>
      <c r="AZY7" s="826"/>
      <c r="AZZ7" s="826"/>
      <c r="BAA7" s="826"/>
      <c r="BAB7" s="826"/>
      <c r="BAC7" s="826"/>
      <c r="BAD7" s="826"/>
      <c r="BAE7" s="826"/>
      <c r="BAF7" s="826"/>
      <c r="BAG7" s="826"/>
      <c r="BAH7" s="826"/>
      <c r="BAI7" s="826"/>
      <c r="BAJ7" s="826"/>
      <c r="BAK7" s="826"/>
      <c r="BAL7" s="826"/>
      <c r="BAM7" s="826"/>
      <c r="BAN7" s="826"/>
      <c r="BAO7" s="826"/>
      <c r="BAP7" s="826"/>
      <c r="BAQ7" s="826"/>
      <c r="BAR7" s="826"/>
      <c r="BAS7" s="826"/>
      <c r="BAT7" s="826"/>
      <c r="BAU7" s="826"/>
      <c r="BAV7" s="826"/>
      <c r="BAW7" s="826"/>
      <c r="BAX7" s="826"/>
      <c r="BAY7" s="826"/>
      <c r="BAZ7" s="826"/>
      <c r="BBA7" s="826"/>
      <c r="BBB7" s="826"/>
      <c r="BBC7" s="826"/>
      <c r="BBD7" s="826"/>
      <c r="BBE7" s="826"/>
      <c r="BBF7" s="826"/>
      <c r="BBG7" s="826"/>
      <c r="BBH7" s="826"/>
      <c r="BBI7" s="826"/>
      <c r="BBJ7" s="826"/>
      <c r="BBK7" s="826"/>
      <c r="BBL7" s="826"/>
      <c r="BBM7" s="826"/>
      <c r="BBN7" s="826"/>
      <c r="BBO7" s="826"/>
      <c r="BBP7" s="826"/>
      <c r="BBQ7" s="826"/>
      <c r="BBR7" s="826"/>
      <c r="BBS7" s="826"/>
      <c r="BBT7" s="826"/>
      <c r="BBU7" s="826"/>
      <c r="BBV7" s="826"/>
      <c r="BBW7" s="826"/>
      <c r="BBX7" s="826"/>
      <c r="BBY7" s="826"/>
      <c r="BBZ7" s="826"/>
      <c r="BCA7" s="826"/>
      <c r="BCB7" s="826"/>
      <c r="BCC7" s="826"/>
      <c r="BCD7" s="826"/>
      <c r="BCE7" s="826"/>
      <c r="BCF7" s="826"/>
      <c r="BCG7" s="826"/>
      <c r="BCH7" s="826"/>
      <c r="BCI7" s="826"/>
      <c r="BCJ7" s="826"/>
      <c r="BCK7" s="826"/>
      <c r="BCL7" s="826"/>
      <c r="BCM7" s="826"/>
      <c r="BCN7" s="826"/>
      <c r="BCO7" s="826"/>
      <c r="BCP7" s="826"/>
      <c r="BCQ7" s="826"/>
      <c r="BCR7" s="826"/>
      <c r="BCS7" s="826"/>
      <c r="BCT7" s="826"/>
      <c r="BCU7" s="826"/>
      <c r="BCV7" s="826"/>
      <c r="BCW7" s="826"/>
      <c r="BCX7" s="826"/>
      <c r="BCY7" s="826"/>
      <c r="BCZ7" s="826"/>
      <c r="BDA7" s="826"/>
      <c r="BDB7" s="826"/>
      <c r="BDC7" s="826"/>
      <c r="BDD7" s="826"/>
      <c r="BDE7" s="826"/>
      <c r="BDF7" s="826"/>
      <c r="BDG7" s="826"/>
      <c r="BDH7" s="826"/>
      <c r="BDI7" s="826"/>
      <c r="BDJ7" s="826"/>
      <c r="BDK7" s="826"/>
      <c r="BDL7" s="826"/>
      <c r="BDM7" s="826"/>
      <c r="BDN7" s="826"/>
      <c r="BDO7" s="826"/>
      <c r="BDP7" s="826"/>
      <c r="BDQ7" s="826"/>
      <c r="BDR7" s="826"/>
      <c r="BDS7" s="826"/>
      <c r="BDT7" s="826"/>
      <c r="BDU7" s="826"/>
      <c r="BDV7" s="826"/>
      <c r="BDW7" s="826"/>
      <c r="BDX7" s="826"/>
      <c r="BDY7" s="826"/>
      <c r="BDZ7" s="826"/>
      <c r="BEA7" s="826"/>
      <c r="BEB7" s="826"/>
      <c r="BEC7" s="826"/>
      <c r="BED7" s="826"/>
      <c r="BEE7" s="826"/>
      <c r="BEF7" s="826"/>
      <c r="BEG7" s="826"/>
      <c r="BEH7" s="826"/>
      <c r="BEI7" s="826"/>
      <c r="BEJ7" s="826"/>
      <c r="BEK7" s="826"/>
      <c r="BEL7" s="826"/>
      <c r="BEM7" s="826"/>
      <c r="BEN7" s="826"/>
      <c r="BEO7" s="826"/>
      <c r="BEP7" s="826"/>
      <c r="BEQ7" s="826"/>
      <c r="BER7" s="826"/>
      <c r="BES7" s="826"/>
      <c r="BET7" s="826"/>
      <c r="BEU7" s="826"/>
      <c r="BEV7" s="826"/>
      <c r="BEW7" s="826"/>
      <c r="BEX7" s="826"/>
      <c r="BEY7" s="826"/>
      <c r="BEZ7" s="826"/>
      <c r="BFA7" s="826"/>
      <c r="BFB7" s="826"/>
      <c r="BFC7" s="826"/>
      <c r="BFD7" s="826"/>
      <c r="BFE7" s="826"/>
      <c r="BFF7" s="826"/>
      <c r="BFG7" s="826"/>
      <c r="BFH7" s="826"/>
      <c r="BFI7" s="826"/>
      <c r="BFJ7" s="826"/>
      <c r="BFK7" s="826"/>
      <c r="BFL7" s="826"/>
      <c r="BFM7" s="826"/>
      <c r="BFN7" s="826"/>
      <c r="BFO7" s="826"/>
      <c r="BFP7" s="826"/>
      <c r="BFQ7" s="826"/>
      <c r="BFR7" s="826"/>
      <c r="BFS7" s="826"/>
      <c r="BFT7" s="826"/>
      <c r="BFU7" s="826"/>
      <c r="BFV7" s="826"/>
      <c r="BFW7" s="826"/>
      <c r="BFX7" s="826"/>
      <c r="BFY7" s="826"/>
      <c r="BFZ7" s="826"/>
      <c r="BGA7" s="826"/>
      <c r="BGB7" s="826"/>
      <c r="BGC7" s="826"/>
      <c r="BGD7" s="826"/>
      <c r="BGE7" s="826"/>
      <c r="BGF7" s="826"/>
      <c r="BGG7" s="826"/>
      <c r="BGH7" s="826"/>
      <c r="BGI7" s="826"/>
      <c r="BGJ7" s="826"/>
      <c r="BGK7" s="826"/>
      <c r="BGL7" s="826"/>
      <c r="BGM7" s="826"/>
      <c r="BGN7" s="826"/>
      <c r="BGO7" s="826"/>
      <c r="BGP7" s="826"/>
      <c r="BGQ7" s="826"/>
      <c r="BGR7" s="826"/>
      <c r="BGS7" s="826"/>
      <c r="BGT7" s="826"/>
      <c r="BGU7" s="826"/>
      <c r="BGV7" s="826"/>
      <c r="BGW7" s="826"/>
      <c r="BGX7" s="826"/>
      <c r="BGY7" s="826"/>
      <c r="BGZ7" s="826"/>
      <c r="BHA7" s="826"/>
      <c r="BHB7" s="826"/>
      <c r="BHC7" s="826"/>
      <c r="BHD7" s="826"/>
      <c r="BHE7" s="826"/>
      <c r="BHF7" s="826"/>
      <c r="BHG7" s="826"/>
      <c r="BHH7" s="826"/>
      <c r="BHI7" s="826"/>
      <c r="BHJ7" s="826"/>
      <c r="BHK7" s="826"/>
      <c r="BHL7" s="826"/>
      <c r="BHM7" s="826"/>
      <c r="BHN7" s="826"/>
      <c r="BHO7" s="826"/>
      <c r="BHP7" s="826"/>
      <c r="BHQ7" s="826"/>
      <c r="BHR7" s="826"/>
      <c r="BHS7" s="826"/>
      <c r="BHT7" s="826"/>
      <c r="BHU7" s="826"/>
      <c r="BHV7" s="826"/>
      <c r="BHW7" s="826"/>
      <c r="BHX7" s="826"/>
      <c r="BHY7" s="826"/>
      <c r="BHZ7" s="826"/>
      <c r="BIA7" s="826"/>
      <c r="BIB7" s="826"/>
      <c r="BIC7" s="826"/>
      <c r="BID7" s="826"/>
      <c r="BIE7" s="826"/>
      <c r="BIF7" s="826"/>
      <c r="BIG7" s="826"/>
      <c r="BIH7" s="826"/>
      <c r="BII7" s="826"/>
      <c r="BIJ7" s="826"/>
      <c r="BIK7" s="826"/>
      <c r="BIL7" s="826"/>
      <c r="BIM7" s="826"/>
      <c r="BIN7" s="826"/>
      <c r="BIO7" s="826"/>
      <c r="BIP7" s="826"/>
      <c r="BIQ7" s="826"/>
      <c r="BIR7" s="826"/>
      <c r="BIS7" s="826"/>
      <c r="BIT7" s="826"/>
      <c r="BIU7" s="826"/>
      <c r="BIV7" s="826"/>
      <c r="BIW7" s="826"/>
      <c r="BIX7" s="826"/>
      <c r="BIY7" s="826"/>
      <c r="BIZ7" s="826"/>
      <c r="BJA7" s="826"/>
      <c r="BJB7" s="826"/>
      <c r="BJC7" s="826"/>
      <c r="BJD7" s="826"/>
      <c r="BJE7" s="826"/>
      <c r="BJF7" s="826"/>
      <c r="BJG7" s="826"/>
      <c r="BJH7" s="826"/>
      <c r="BJI7" s="826"/>
      <c r="BJJ7" s="826"/>
      <c r="BJK7" s="826"/>
      <c r="BJL7" s="826"/>
      <c r="BJM7" s="826"/>
      <c r="BJN7" s="826"/>
      <c r="BJO7" s="826"/>
      <c r="BJP7" s="826"/>
      <c r="BJQ7" s="826"/>
      <c r="BJR7" s="826"/>
      <c r="BJS7" s="826"/>
      <c r="BJT7" s="826"/>
      <c r="BJU7" s="826"/>
      <c r="BJV7" s="826"/>
      <c r="BJW7" s="826"/>
      <c r="BJX7" s="826"/>
      <c r="BJY7" s="826"/>
      <c r="BJZ7" s="826"/>
      <c r="BKA7" s="826"/>
      <c r="BKB7" s="826"/>
      <c r="BKC7" s="826"/>
      <c r="BKD7" s="826"/>
      <c r="BKE7" s="826"/>
      <c r="BKF7" s="826"/>
      <c r="BKG7" s="826"/>
      <c r="BKH7" s="826"/>
      <c r="BKI7" s="826"/>
      <c r="BKJ7" s="826"/>
      <c r="BKK7" s="826"/>
      <c r="BKL7" s="826"/>
      <c r="BKM7" s="826"/>
      <c r="BKN7" s="826"/>
      <c r="BKO7" s="826"/>
      <c r="BKP7" s="826"/>
      <c r="BKQ7" s="826"/>
      <c r="BKR7" s="826"/>
      <c r="BKS7" s="826"/>
      <c r="BKT7" s="826"/>
      <c r="BKU7" s="826"/>
      <c r="BKV7" s="826"/>
      <c r="BKW7" s="826"/>
      <c r="BKX7" s="826"/>
      <c r="BKY7" s="826"/>
      <c r="BKZ7" s="826"/>
      <c r="BLA7" s="826"/>
      <c r="BLB7" s="826"/>
      <c r="BLC7" s="826"/>
      <c r="BLD7" s="826"/>
      <c r="BLE7" s="826"/>
      <c r="BLF7" s="826"/>
      <c r="BLG7" s="826"/>
      <c r="BLH7" s="826"/>
      <c r="BLI7" s="826"/>
      <c r="BLJ7" s="826"/>
      <c r="BLK7" s="826"/>
      <c r="BLL7" s="826"/>
      <c r="BLM7" s="826"/>
      <c r="BLN7" s="826"/>
      <c r="BLO7" s="826"/>
      <c r="BLP7" s="826"/>
      <c r="BLQ7" s="826"/>
      <c r="BLR7" s="826"/>
      <c r="BLS7" s="826"/>
      <c r="BLT7" s="826"/>
      <c r="BLU7" s="826"/>
      <c r="BLV7" s="826"/>
      <c r="BLW7" s="826"/>
      <c r="BLX7" s="826"/>
      <c r="BLY7" s="826"/>
      <c r="BLZ7" s="826"/>
      <c r="BMA7" s="826"/>
      <c r="BMB7" s="826"/>
      <c r="BMC7" s="826"/>
      <c r="BMD7" s="826"/>
      <c r="BME7" s="826"/>
      <c r="BMF7" s="826"/>
      <c r="BMG7" s="826"/>
      <c r="BMH7" s="826"/>
      <c r="BMI7" s="826"/>
      <c r="BMJ7" s="826"/>
      <c r="BMK7" s="826"/>
      <c r="BML7" s="826"/>
      <c r="BMM7" s="826"/>
      <c r="BMN7" s="826"/>
      <c r="BMO7" s="826"/>
      <c r="BMP7" s="826"/>
      <c r="BMQ7" s="826"/>
      <c r="BMR7" s="826"/>
      <c r="BMS7" s="826"/>
      <c r="BMT7" s="826"/>
      <c r="BMU7" s="826"/>
      <c r="BMV7" s="826"/>
      <c r="BMW7" s="826"/>
      <c r="BMX7" s="826"/>
      <c r="BMY7" s="826"/>
      <c r="BMZ7" s="826"/>
      <c r="BNA7" s="826"/>
      <c r="BNB7" s="826"/>
      <c r="BNC7" s="826"/>
      <c r="BND7" s="826"/>
      <c r="BNE7" s="826"/>
      <c r="BNF7" s="826"/>
      <c r="BNG7" s="826"/>
      <c r="BNH7" s="826"/>
      <c r="BNI7" s="826"/>
      <c r="BNJ7" s="826"/>
      <c r="BNK7" s="826"/>
      <c r="BNL7" s="826"/>
      <c r="BNM7" s="826"/>
      <c r="BNN7" s="826"/>
      <c r="BNO7" s="826"/>
      <c r="BNP7" s="826"/>
      <c r="BNQ7" s="826"/>
      <c r="BNR7" s="826"/>
      <c r="BNS7" s="826"/>
      <c r="BNT7" s="826"/>
      <c r="BNU7" s="826"/>
      <c r="BNV7" s="826"/>
      <c r="BNW7" s="826"/>
      <c r="BNX7" s="826"/>
      <c r="BNY7" s="826"/>
      <c r="BNZ7" s="826"/>
      <c r="BOA7" s="826"/>
      <c r="BOB7" s="826"/>
      <c r="BOC7" s="826"/>
      <c r="BOD7" s="826"/>
      <c r="BOE7" s="826"/>
      <c r="BOF7" s="826"/>
      <c r="BOG7" s="826"/>
      <c r="BOH7" s="826"/>
      <c r="BOI7" s="826"/>
      <c r="BOJ7" s="826"/>
      <c r="BOK7" s="826"/>
      <c r="BOL7" s="826"/>
      <c r="BOM7" s="826"/>
      <c r="BON7" s="826"/>
      <c r="BOO7" s="826"/>
      <c r="BOP7" s="826"/>
      <c r="BOQ7" s="826"/>
      <c r="BOR7" s="826"/>
      <c r="BOS7" s="826"/>
      <c r="BOT7" s="826"/>
      <c r="BOU7" s="826"/>
      <c r="BOV7" s="826"/>
      <c r="BOW7" s="826"/>
      <c r="BOX7" s="826"/>
      <c r="BOY7" s="826"/>
      <c r="BOZ7" s="826"/>
      <c r="BPA7" s="826"/>
      <c r="BPB7" s="826"/>
      <c r="BPC7" s="826"/>
      <c r="BPD7" s="826"/>
      <c r="BPE7" s="826"/>
      <c r="BPF7" s="826"/>
      <c r="BPG7" s="826"/>
      <c r="BPH7" s="826"/>
      <c r="BPI7" s="826"/>
      <c r="BPJ7" s="826"/>
      <c r="BPK7" s="826"/>
      <c r="BPL7" s="826"/>
      <c r="BPM7" s="826"/>
      <c r="BPN7" s="826"/>
      <c r="BPO7" s="826"/>
      <c r="BPP7" s="826"/>
      <c r="BPQ7" s="826"/>
      <c r="BPR7" s="826"/>
      <c r="BPS7" s="826"/>
      <c r="BPT7" s="826"/>
      <c r="BPU7" s="826"/>
      <c r="BPV7" s="826"/>
      <c r="BPW7" s="826"/>
      <c r="BPX7" s="826"/>
      <c r="BPY7" s="826"/>
      <c r="BPZ7" s="826"/>
      <c r="BQA7" s="826"/>
      <c r="BQB7" s="826"/>
      <c r="BQC7" s="826"/>
      <c r="BQD7" s="826"/>
      <c r="BQE7" s="826"/>
      <c r="BQF7" s="826"/>
      <c r="BQG7" s="826"/>
      <c r="BQH7" s="826"/>
      <c r="BQI7" s="826"/>
      <c r="BQJ7" s="826"/>
      <c r="BQK7" s="826"/>
      <c r="BQL7" s="826"/>
      <c r="BQM7" s="826"/>
      <c r="BQN7" s="826"/>
      <c r="BQO7" s="826"/>
      <c r="BQP7" s="826"/>
      <c r="BQQ7" s="826"/>
      <c r="BQR7" s="826"/>
      <c r="BQS7" s="826"/>
      <c r="BQT7" s="826"/>
      <c r="BQU7" s="826"/>
      <c r="BQV7" s="826"/>
      <c r="BQW7" s="826"/>
      <c r="BQX7" s="826"/>
      <c r="BQY7" s="826"/>
      <c r="BQZ7" s="826"/>
      <c r="BRA7" s="826"/>
      <c r="BRB7" s="826"/>
      <c r="BRC7" s="826"/>
      <c r="BRD7" s="826"/>
      <c r="BRE7" s="826"/>
      <c r="BRF7" s="826"/>
      <c r="BRG7" s="826"/>
      <c r="BRH7" s="826"/>
      <c r="BRI7" s="826"/>
      <c r="BRJ7" s="826"/>
      <c r="BRK7" s="826"/>
      <c r="BRL7" s="826"/>
      <c r="BRM7" s="826"/>
      <c r="BRN7" s="826"/>
      <c r="BRO7" s="826"/>
      <c r="BRP7" s="826"/>
      <c r="BRQ7" s="826"/>
      <c r="BRR7" s="826"/>
      <c r="BRS7" s="826"/>
      <c r="BRT7" s="826"/>
      <c r="BRU7" s="826"/>
      <c r="BRV7" s="826"/>
      <c r="BRW7" s="826"/>
      <c r="BRX7" s="826"/>
      <c r="BRY7" s="826"/>
      <c r="BRZ7" s="826"/>
      <c r="BSA7" s="826"/>
      <c r="BSB7" s="826"/>
      <c r="BSC7" s="826"/>
      <c r="BSD7" s="826"/>
      <c r="BSE7" s="826"/>
      <c r="BSF7" s="826"/>
      <c r="BSG7" s="826"/>
      <c r="BSH7" s="826"/>
      <c r="BSI7" s="826"/>
      <c r="BSJ7" s="826"/>
      <c r="BSK7" s="826"/>
      <c r="BSL7" s="826"/>
      <c r="BSM7" s="826"/>
      <c r="BSN7" s="826"/>
      <c r="BSO7" s="826"/>
      <c r="BSP7" s="826"/>
      <c r="BSQ7" s="826"/>
      <c r="BSR7" s="826"/>
      <c r="BSS7" s="826"/>
      <c r="BST7" s="826"/>
    </row>
    <row r="8" spans="1:1866" s="825" customFormat="1" ht="20.100000000000001" customHeight="1" x14ac:dyDescent="0.25">
      <c r="A8" s="826"/>
      <c r="B8" s="3173"/>
      <c r="C8" s="1483" t="s">
        <v>317</v>
      </c>
      <c r="D8" s="1484">
        <f>SUMIF(Bfr!$B$26:$B$29,"="&amp;C8,Bfr!$D$26:$D$29)</f>
        <v>0</v>
      </c>
      <c r="E8" s="1473">
        <f>E6*$D$8</f>
        <v>0</v>
      </c>
      <c r="F8" s="1473">
        <f t="shared" ref="F8:V8" si="10">F6*$D$8</f>
        <v>0</v>
      </c>
      <c r="G8" s="1473">
        <f t="shared" si="10"/>
        <v>0</v>
      </c>
      <c r="H8" s="1473">
        <f t="shared" si="10"/>
        <v>0</v>
      </c>
      <c r="I8" s="1473">
        <f t="shared" si="10"/>
        <v>0</v>
      </c>
      <c r="J8" s="1473">
        <f t="shared" si="10"/>
        <v>0</v>
      </c>
      <c r="K8" s="1473">
        <f t="shared" si="10"/>
        <v>0</v>
      </c>
      <c r="L8" s="1473">
        <f t="shared" si="10"/>
        <v>0</v>
      </c>
      <c r="M8" s="1473">
        <f t="shared" si="10"/>
        <v>0</v>
      </c>
      <c r="N8" s="1473">
        <f t="shared" si="10"/>
        <v>0</v>
      </c>
      <c r="O8" s="1473">
        <f t="shared" si="10"/>
        <v>0</v>
      </c>
      <c r="P8" s="1473">
        <f t="shared" si="10"/>
        <v>0</v>
      </c>
      <c r="Q8" s="1473">
        <f t="shared" si="10"/>
        <v>0</v>
      </c>
      <c r="R8" s="1473">
        <f t="shared" si="10"/>
        <v>0</v>
      </c>
      <c r="S8" s="1473">
        <f t="shared" si="10"/>
        <v>0</v>
      </c>
      <c r="T8" s="1473">
        <f t="shared" si="10"/>
        <v>0</v>
      </c>
      <c r="U8" s="1473">
        <f t="shared" si="10"/>
        <v>0</v>
      </c>
      <c r="V8" s="1485">
        <f t="shared" si="10"/>
        <v>0</v>
      </c>
      <c r="W8" s="826"/>
      <c r="X8" s="874">
        <f t="shared" si="9"/>
        <v>0</v>
      </c>
      <c r="Y8" s="873"/>
      <c r="Z8" s="873"/>
      <c r="AA8" s="866"/>
      <c r="AB8" s="826"/>
      <c r="AC8" s="826"/>
      <c r="AD8" s="826"/>
      <c r="AE8" s="826"/>
      <c r="AF8" s="826"/>
      <c r="AG8" s="826"/>
      <c r="AH8" s="826"/>
      <c r="AI8" s="826"/>
      <c r="AJ8" s="826"/>
      <c r="AK8" s="826"/>
      <c r="AL8" s="826"/>
      <c r="AM8" s="826"/>
      <c r="AN8" s="826"/>
      <c r="AO8" s="826"/>
      <c r="AP8" s="826"/>
      <c r="AQ8" s="826"/>
      <c r="AR8" s="826"/>
      <c r="AS8" s="826"/>
      <c r="AT8" s="826"/>
      <c r="AU8" s="826"/>
      <c r="AV8" s="826"/>
      <c r="AW8" s="826"/>
      <c r="AX8" s="826"/>
      <c r="AY8" s="826"/>
      <c r="AZ8" s="826"/>
      <c r="BA8" s="826"/>
      <c r="BB8" s="826"/>
      <c r="BC8" s="826"/>
      <c r="BD8" s="826"/>
      <c r="BE8" s="826"/>
      <c r="BF8" s="826"/>
      <c r="BG8" s="826"/>
      <c r="BH8" s="826"/>
      <c r="BI8" s="826"/>
      <c r="BJ8" s="826"/>
      <c r="BK8" s="826"/>
      <c r="BL8" s="826"/>
      <c r="BM8" s="826"/>
      <c r="BN8" s="826"/>
      <c r="BO8" s="826"/>
      <c r="BP8" s="826"/>
      <c r="BQ8" s="826"/>
      <c r="BR8" s="826"/>
      <c r="BS8" s="826"/>
      <c r="BT8" s="826"/>
      <c r="BU8" s="826"/>
      <c r="BV8" s="826"/>
      <c r="BW8" s="826"/>
      <c r="BX8" s="826"/>
      <c r="BY8" s="826"/>
      <c r="BZ8" s="826"/>
      <c r="CA8" s="826"/>
      <c r="CB8" s="826"/>
      <c r="CC8" s="826"/>
      <c r="CD8" s="826"/>
      <c r="CE8" s="826"/>
      <c r="CF8" s="826"/>
      <c r="CG8" s="826"/>
      <c r="CH8" s="826"/>
      <c r="CI8" s="826"/>
      <c r="CJ8" s="826"/>
      <c r="CK8" s="826"/>
      <c r="CL8" s="826"/>
      <c r="CM8" s="826"/>
      <c r="CN8" s="826"/>
      <c r="CO8" s="826"/>
      <c r="CP8" s="826"/>
      <c r="CQ8" s="826"/>
      <c r="CR8" s="826"/>
      <c r="CS8" s="826"/>
      <c r="CT8" s="826"/>
      <c r="CU8" s="826"/>
      <c r="CV8" s="826"/>
      <c r="CW8" s="826"/>
      <c r="CX8" s="826"/>
      <c r="CY8" s="826"/>
      <c r="CZ8" s="826"/>
      <c r="DA8" s="826"/>
      <c r="DB8" s="826"/>
      <c r="DC8" s="826"/>
      <c r="DD8" s="826"/>
      <c r="DE8" s="826"/>
      <c r="DF8" s="826"/>
      <c r="DG8" s="826"/>
      <c r="DH8" s="826"/>
      <c r="DI8" s="826"/>
      <c r="DJ8" s="826"/>
      <c r="DK8" s="826"/>
      <c r="DL8" s="826"/>
      <c r="DM8" s="826"/>
      <c r="DN8" s="826"/>
      <c r="DO8" s="826"/>
      <c r="DP8" s="826"/>
      <c r="DQ8" s="826"/>
      <c r="DR8" s="826"/>
      <c r="DS8" s="826"/>
      <c r="DT8" s="826"/>
      <c r="DU8" s="826"/>
      <c r="DV8" s="826"/>
      <c r="DW8" s="826"/>
      <c r="DX8" s="826"/>
      <c r="DY8" s="826"/>
      <c r="DZ8" s="826"/>
      <c r="EA8" s="826"/>
      <c r="EB8" s="826"/>
      <c r="EC8" s="826"/>
      <c r="ED8" s="826"/>
      <c r="EE8" s="826"/>
      <c r="EF8" s="826"/>
      <c r="EG8" s="826"/>
      <c r="EH8" s="826"/>
      <c r="EI8" s="826"/>
      <c r="EJ8" s="826"/>
      <c r="EK8" s="826"/>
      <c r="EL8" s="826"/>
      <c r="EM8" s="826"/>
      <c r="EN8" s="826"/>
      <c r="EO8" s="826"/>
      <c r="EP8" s="826"/>
      <c r="EQ8" s="826"/>
      <c r="ER8" s="826"/>
      <c r="ES8" s="826"/>
      <c r="ET8" s="826"/>
      <c r="EU8" s="826"/>
      <c r="EV8" s="826"/>
      <c r="EW8" s="826"/>
      <c r="EX8" s="826"/>
      <c r="EY8" s="826"/>
      <c r="EZ8" s="826"/>
      <c r="FA8" s="826"/>
      <c r="FB8" s="826"/>
      <c r="FC8" s="826"/>
      <c r="FD8" s="826"/>
      <c r="FE8" s="826"/>
      <c r="FF8" s="826"/>
      <c r="FG8" s="826"/>
      <c r="FH8" s="826"/>
      <c r="FI8" s="826"/>
      <c r="FJ8" s="826"/>
      <c r="FK8" s="826"/>
      <c r="FL8" s="826"/>
      <c r="FM8" s="826"/>
      <c r="FN8" s="826"/>
      <c r="FO8" s="826"/>
      <c r="FP8" s="826"/>
      <c r="FQ8" s="826"/>
      <c r="FR8" s="826"/>
      <c r="FS8" s="826"/>
      <c r="FT8" s="826"/>
      <c r="FU8" s="826"/>
      <c r="FV8" s="826"/>
      <c r="FW8" s="826"/>
      <c r="FX8" s="826"/>
      <c r="FY8" s="826"/>
      <c r="FZ8" s="826"/>
      <c r="GA8" s="826"/>
      <c r="GB8" s="826"/>
      <c r="GC8" s="826"/>
      <c r="GD8" s="826"/>
      <c r="GE8" s="826"/>
      <c r="GF8" s="826"/>
      <c r="GG8" s="826"/>
      <c r="GH8" s="826"/>
      <c r="GI8" s="826"/>
      <c r="GJ8" s="826"/>
      <c r="GK8" s="826"/>
      <c r="GL8" s="826"/>
      <c r="GM8" s="826"/>
      <c r="GN8" s="826"/>
      <c r="GO8" s="826"/>
      <c r="GP8" s="826"/>
      <c r="GQ8" s="826"/>
      <c r="GR8" s="826"/>
      <c r="GS8" s="826"/>
      <c r="GT8" s="826"/>
      <c r="GU8" s="826"/>
      <c r="GV8" s="826"/>
      <c r="GW8" s="826"/>
      <c r="GX8" s="826"/>
      <c r="GY8" s="826"/>
      <c r="GZ8" s="826"/>
      <c r="HA8" s="826"/>
      <c r="HB8" s="826"/>
      <c r="HC8" s="826"/>
      <c r="HD8" s="826"/>
      <c r="HE8" s="826"/>
      <c r="HF8" s="826"/>
      <c r="HG8" s="826"/>
      <c r="HH8" s="826"/>
      <c r="HI8" s="826"/>
      <c r="HJ8" s="826"/>
      <c r="HK8" s="826"/>
      <c r="HL8" s="826"/>
      <c r="HM8" s="826"/>
      <c r="HN8" s="826"/>
      <c r="HO8" s="826"/>
      <c r="HP8" s="826"/>
      <c r="HQ8" s="826"/>
      <c r="HR8" s="826"/>
      <c r="HS8" s="826"/>
      <c r="HT8" s="826"/>
      <c r="HU8" s="826"/>
      <c r="HV8" s="826"/>
      <c r="HW8" s="826"/>
      <c r="HX8" s="826"/>
      <c r="HY8" s="826"/>
      <c r="HZ8" s="826"/>
      <c r="IA8" s="826"/>
      <c r="IB8" s="826"/>
      <c r="IC8" s="826"/>
      <c r="ID8" s="826"/>
      <c r="IE8" s="826"/>
      <c r="IF8" s="826"/>
      <c r="IG8" s="826"/>
      <c r="IH8" s="826"/>
      <c r="II8" s="826"/>
      <c r="IJ8" s="826"/>
      <c r="IK8" s="826"/>
      <c r="IL8" s="826"/>
      <c r="IM8" s="826"/>
      <c r="IN8" s="826"/>
      <c r="IO8" s="826"/>
      <c r="IP8" s="826"/>
      <c r="IQ8" s="826"/>
      <c r="IR8" s="826"/>
      <c r="IS8" s="826"/>
      <c r="IT8" s="826"/>
      <c r="IU8" s="826"/>
      <c r="IV8" s="826"/>
      <c r="IW8" s="826"/>
      <c r="IX8" s="826"/>
      <c r="IY8" s="826"/>
      <c r="IZ8" s="826"/>
      <c r="JA8" s="826"/>
      <c r="JB8" s="826"/>
      <c r="JC8" s="826"/>
      <c r="JD8" s="826"/>
      <c r="JE8" s="826"/>
      <c r="JF8" s="826"/>
      <c r="JG8" s="826"/>
      <c r="JH8" s="826"/>
      <c r="JI8" s="826"/>
      <c r="JJ8" s="826"/>
      <c r="JK8" s="826"/>
      <c r="JL8" s="826"/>
      <c r="JM8" s="826"/>
      <c r="JN8" s="826"/>
      <c r="JO8" s="826"/>
      <c r="JP8" s="826"/>
      <c r="JQ8" s="826"/>
      <c r="JR8" s="826"/>
      <c r="JS8" s="826"/>
      <c r="JT8" s="826"/>
      <c r="JU8" s="826"/>
      <c r="JV8" s="826"/>
      <c r="JW8" s="826"/>
      <c r="JX8" s="826"/>
      <c r="JY8" s="826"/>
      <c r="JZ8" s="826"/>
      <c r="KA8" s="826"/>
      <c r="KB8" s="826"/>
      <c r="KC8" s="826"/>
      <c r="KD8" s="826"/>
      <c r="KE8" s="826"/>
      <c r="KF8" s="826"/>
      <c r="KG8" s="826"/>
      <c r="KH8" s="826"/>
      <c r="KI8" s="826"/>
      <c r="KJ8" s="826"/>
      <c r="KK8" s="826"/>
      <c r="KL8" s="826"/>
      <c r="KM8" s="826"/>
      <c r="KN8" s="826"/>
      <c r="KO8" s="826"/>
      <c r="KP8" s="826"/>
      <c r="KQ8" s="826"/>
      <c r="KR8" s="826"/>
      <c r="KS8" s="826"/>
      <c r="KT8" s="826"/>
      <c r="KU8" s="826"/>
      <c r="KV8" s="826"/>
      <c r="KW8" s="826"/>
      <c r="KX8" s="826"/>
      <c r="KY8" s="826"/>
      <c r="KZ8" s="826"/>
      <c r="LA8" s="826"/>
      <c r="LB8" s="826"/>
      <c r="LC8" s="826"/>
      <c r="LD8" s="826"/>
      <c r="LE8" s="826"/>
      <c r="LF8" s="826"/>
      <c r="LG8" s="826"/>
      <c r="LH8" s="826"/>
      <c r="LI8" s="826"/>
      <c r="LJ8" s="826"/>
      <c r="LK8" s="826"/>
      <c r="LL8" s="826"/>
      <c r="LM8" s="826"/>
      <c r="LN8" s="826"/>
      <c r="LO8" s="826"/>
      <c r="LP8" s="826"/>
      <c r="LQ8" s="826"/>
      <c r="LR8" s="826"/>
      <c r="LS8" s="826"/>
      <c r="LT8" s="826"/>
      <c r="LU8" s="826"/>
      <c r="LV8" s="826"/>
      <c r="LW8" s="826"/>
      <c r="LX8" s="826"/>
      <c r="LY8" s="826"/>
      <c r="LZ8" s="826"/>
      <c r="MA8" s="826"/>
      <c r="MB8" s="826"/>
      <c r="MC8" s="826"/>
      <c r="MD8" s="826"/>
      <c r="ME8" s="826"/>
      <c r="MF8" s="826"/>
      <c r="MG8" s="826"/>
      <c r="MH8" s="826"/>
      <c r="MI8" s="826"/>
      <c r="MJ8" s="826"/>
      <c r="MK8" s="826"/>
      <c r="ML8" s="826"/>
      <c r="MM8" s="826"/>
      <c r="MN8" s="826"/>
      <c r="MO8" s="826"/>
      <c r="MP8" s="826"/>
      <c r="MQ8" s="826"/>
      <c r="MR8" s="826"/>
      <c r="MS8" s="826"/>
      <c r="MT8" s="826"/>
      <c r="MU8" s="826"/>
      <c r="MV8" s="826"/>
      <c r="MW8" s="826"/>
      <c r="MX8" s="826"/>
      <c r="MY8" s="826"/>
      <c r="MZ8" s="826"/>
      <c r="NA8" s="826"/>
      <c r="NB8" s="826"/>
      <c r="NC8" s="826"/>
      <c r="ND8" s="826"/>
      <c r="NE8" s="826"/>
      <c r="NF8" s="826"/>
      <c r="NG8" s="826"/>
      <c r="NH8" s="826"/>
      <c r="NI8" s="826"/>
      <c r="NJ8" s="826"/>
      <c r="NK8" s="826"/>
      <c r="NL8" s="826"/>
      <c r="NM8" s="826"/>
      <c r="NN8" s="826"/>
      <c r="NO8" s="826"/>
      <c r="NP8" s="826"/>
      <c r="NQ8" s="826"/>
      <c r="NR8" s="826"/>
      <c r="NS8" s="826"/>
      <c r="NT8" s="826"/>
      <c r="NU8" s="826"/>
      <c r="NV8" s="826"/>
      <c r="NW8" s="826"/>
      <c r="NX8" s="826"/>
      <c r="NY8" s="826"/>
      <c r="NZ8" s="826"/>
      <c r="OA8" s="826"/>
      <c r="OB8" s="826"/>
      <c r="OC8" s="826"/>
      <c r="OD8" s="826"/>
      <c r="OE8" s="826"/>
      <c r="OF8" s="826"/>
      <c r="OG8" s="826"/>
      <c r="OH8" s="826"/>
      <c r="OI8" s="826"/>
      <c r="OJ8" s="826"/>
      <c r="OK8" s="826"/>
      <c r="OL8" s="826"/>
      <c r="OM8" s="826"/>
      <c r="ON8" s="826"/>
      <c r="OO8" s="826"/>
      <c r="OP8" s="826"/>
      <c r="OQ8" s="826"/>
      <c r="OR8" s="826"/>
      <c r="OS8" s="826"/>
      <c r="OT8" s="826"/>
      <c r="OU8" s="826"/>
      <c r="OV8" s="826"/>
      <c r="OW8" s="826"/>
      <c r="OX8" s="826"/>
      <c r="OY8" s="826"/>
      <c r="OZ8" s="826"/>
      <c r="PA8" s="826"/>
      <c r="PB8" s="826"/>
      <c r="PC8" s="826"/>
      <c r="PD8" s="826"/>
      <c r="PE8" s="826"/>
      <c r="PF8" s="826"/>
      <c r="PG8" s="826"/>
      <c r="PH8" s="826"/>
      <c r="PI8" s="826"/>
      <c r="PJ8" s="826"/>
      <c r="PK8" s="826"/>
      <c r="PL8" s="826"/>
      <c r="PM8" s="826"/>
      <c r="PN8" s="826"/>
      <c r="PO8" s="826"/>
      <c r="PP8" s="826"/>
      <c r="PQ8" s="826"/>
      <c r="PR8" s="826"/>
      <c r="PS8" s="826"/>
      <c r="PT8" s="826"/>
      <c r="PU8" s="826"/>
      <c r="PV8" s="826"/>
      <c r="PW8" s="826"/>
      <c r="PX8" s="826"/>
      <c r="PY8" s="826"/>
      <c r="PZ8" s="826"/>
      <c r="QA8" s="826"/>
      <c r="QB8" s="826"/>
      <c r="QC8" s="826"/>
      <c r="QD8" s="826"/>
      <c r="QE8" s="826"/>
      <c r="QF8" s="826"/>
      <c r="QG8" s="826"/>
      <c r="QH8" s="826"/>
      <c r="QI8" s="826"/>
      <c r="QJ8" s="826"/>
      <c r="QK8" s="826"/>
      <c r="QL8" s="826"/>
      <c r="QM8" s="826"/>
      <c r="QN8" s="826"/>
      <c r="QO8" s="826"/>
      <c r="QP8" s="826"/>
      <c r="QQ8" s="826"/>
      <c r="QR8" s="826"/>
      <c r="QS8" s="826"/>
      <c r="QT8" s="826"/>
      <c r="QU8" s="826"/>
      <c r="QV8" s="826"/>
      <c r="QW8" s="826"/>
      <c r="QX8" s="826"/>
      <c r="QY8" s="826"/>
      <c r="QZ8" s="826"/>
      <c r="RA8" s="826"/>
      <c r="RB8" s="826"/>
      <c r="RC8" s="826"/>
      <c r="RD8" s="826"/>
      <c r="RE8" s="826"/>
      <c r="RF8" s="826"/>
      <c r="RG8" s="826"/>
      <c r="RH8" s="826"/>
      <c r="RI8" s="826"/>
      <c r="RJ8" s="826"/>
      <c r="RK8" s="826"/>
      <c r="RL8" s="826"/>
      <c r="RM8" s="826"/>
      <c r="RN8" s="826"/>
      <c r="RO8" s="826"/>
      <c r="RP8" s="826"/>
      <c r="RQ8" s="826"/>
      <c r="RR8" s="826"/>
      <c r="RS8" s="826"/>
      <c r="RT8" s="826"/>
      <c r="RU8" s="826"/>
      <c r="RV8" s="826"/>
      <c r="RW8" s="826"/>
      <c r="RX8" s="826"/>
      <c r="RY8" s="826"/>
      <c r="RZ8" s="826"/>
      <c r="SA8" s="826"/>
      <c r="SB8" s="826"/>
      <c r="SC8" s="826"/>
      <c r="SD8" s="826"/>
      <c r="SE8" s="826"/>
      <c r="SF8" s="826"/>
      <c r="SG8" s="826"/>
      <c r="SH8" s="826"/>
      <c r="SI8" s="826"/>
      <c r="SJ8" s="826"/>
      <c r="SK8" s="826"/>
      <c r="SL8" s="826"/>
      <c r="SM8" s="826"/>
      <c r="SN8" s="826"/>
      <c r="SO8" s="826"/>
      <c r="SP8" s="826"/>
      <c r="SQ8" s="826"/>
      <c r="SR8" s="826"/>
      <c r="SS8" s="826"/>
      <c r="ST8" s="826"/>
      <c r="SU8" s="826"/>
      <c r="SV8" s="826"/>
      <c r="SW8" s="826"/>
      <c r="SX8" s="826"/>
      <c r="SY8" s="826"/>
      <c r="SZ8" s="826"/>
      <c r="TA8" s="826"/>
      <c r="TB8" s="826"/>
      <c r="TC8" s="826"/>
      <c r="TD8" s="826"/>
      <c r="TE8" s="826"/>
      <c r="TF8" s="826"/>
      <c r="TG8" s="826"/>
      <c r="TH8" s="826"/>
      <c r="TI8" s="826"/>
      <c r="TJ8" s="826"/>
      <c r="TK8" s="826"/>
      <c r="TL8" s="826"/>
      <c r="TM8" s="826"/>
      <c r="TN8" s="826"/>
      <c r="TO8" s="826"/>
      <c r="TP8" s="826"/>
      <c r="TQ8" s="826"/>
      <c r="TR8" s="826"/>
      <c r="TS8" s="826"/>
      <c r="TT8" s="826"/>
      <c r="TU8" s="826"/>
      <c r="TV8" s="826"/>
      <c r="TW8" s="826"/>
      <c r="TX8" s="826"/>
      <c r="TY8" s="826"/>
      <c r="TZ8" s="826"/>
      <c r="UA8" s="826"/>
      <c r="UB8" s="826"/>
      <c r="UC8" s="826"/>
      <c r="UD8" s="826"/>
      <c r="UE8" s="826"/>
      <c r="UF8" s="826"/>
      <c r="UG8" s="826"/>
      <c r="UH8" s="826"/>
      <c r="UI8" s="826"/>
      <c r="UJ8" s="826"/>
      <c r="UK8" s="826"/>
      <c r="UL8" s="826"/>
      <c r="UM8" s="826"/>
      <c r="UN8" s="826"/>
      <c r="UO8" s="826"/>
      <c r="UP8" s="826"/>
      <c r="UQ8" s="826"/>
      <c r="UR8" s="826"/>
      <c r="US8" s="826"/>
      <c r="UT8" s="826"/>
      <c r="UU8" s="826"/>
      <c r="UV8" s="826"/>
      <c r="UW8" s="826"/>
      <c r="UX8" s="826"/>
      <c r="UY8" s="826"/>
      <c r="UZ8" s="826"/>
      <c r="VA8" s="826"/>
      <c r="VB8" s="826"/>
      <c r="VC8" s="826"/>
      <c r="VD8" s="826"/>
      <c r="VE8" s="826"/>
      <c r="VF8" s="826"/>
      <c r="VG8" s="826"/>
      <c r="VH8" s="826"/>
      <c r="VI8" s="826"/>
      <c r="VJ8" s="826"/>
      <c r="VK8" s="826"/>
      <c r="VL8" s="826"/>
      <c r="VM8" s="826"/>
      <c r="VN8" s="826"/>
      <c r="VO8" s="826"/>
      <c r="VP8" s="826"/>
      <c r="VQ8" s="826"/>
      <c r="VR8" s="826"/>
      <c r="VS8" s="826"/>
      <c r="VT8" s="826"/>
      <c r="VU8" s="826"/>
      <c r="VV8" s="826"/>
      <c r="VW8" s="826"/>
      <c r="VX8" s="826"/>
      <c r="VY8" s="826"/>
      <c r="VZ8" s="826"/>
      <c r="WA8" s="826"/>
      <c r="WB8" s="826"/>
      <c r="WC8" s="826"/>
      <c r="WD8" s="826"/>
      <c r="WE8" s="826"/>
      <c r="WF8" s="826"/>
      <c r="WG8" s="826"/>
      <c r="WH8" s="826"/>
      <c r="WI8" s="826"/>
      <c r="WJ8" s="826"/>
      <c r="WK8" s="826"/>
      <c r="WL8" s="826"/>
      <c r="WM8" s="826"/>
      <c r="WN8" s="826"/>
      <c r="WO8" s="826"/>
      <c r="WP8" s="826"/>
      <c r="WQ8" s="826"/>
      <c r="WR8" s="826"/>
      <c r="WS8" s="826"/>
      <c r="WT8" s="826"/>
      <c r="WU8" s="826"/>
      <c r="WV8" s="826"/>
      <c r="WW8" s="826"/>
      <c r="WX8" s="826"/>
      <c r="WY8" s="826"/>
      <c r="WZ8" s="826"/>
      <c r="XA8" s="826"/>
      <c r="XB8" s="826"/>
      <c r="XC8" s="826"/>
      <c r="XD8" s="826"/>
      <c r="XE8" s="826"/>
      <c r="XF8" s="826"/>
      <c r="XG8" s="826"/>
      <c r="XH8" s="826"/>
      <c r="XI8" s="826"/>
      <c r="XJ8" s="826"/>
      <c r="XK8" s="826"/>
      <c r="XL8" s="826"/>
      <c r="XM8" s="826"/>
      <c r="XN8" s="826"/>
      <c r="XO8" s="826"/>
      <c r="XP8" s="826"/>
      <c r="XQ8" s="826"/>
      <c r="XR8" s="826"/>
      <c r="XS8" s="826"/>
      <c r="XT8" s="826"/>
      <c r="XU8" s="826"/>
      <c r="XV8" s="826"/>
      <c r="XW8" s="826"/>
      <c r="XX8" s="826"/>
      <c r="XY8" s="826"/>
      <c r="XZ8" s="826"/>
      <c r="YA8" s="826"/>
      <c r="YB8" s="826"/>
      <c r="YC8" s="826"/>
      <c r="YD8" s="826"/>
      <c r="YE8" s="826"/>
      <c r="YF8" s="826"/>
      <c r="YG8" s="826"/>
      <c r="YH8" s="826"/>
      <c r="YI8" s="826"/>
      <c r="YJ8" s="826"/>
      <c r="YK8" s="826"/>
      <c r="YL8" s="826"/>
      <c r="YM8" s="826"/>
      <c r="YN8" s="826"/>
      <c r="YO8" s="826"/>
      <c r="YP8" s="826"/>
      <c r="YQ8" s="826"/>
      <c r="YR8" s="826"/>
      <c r="YS8" s="826"/>
      <c r="YT8" s="826"/>
      <c r="YU8" s="826"/>
      <c r="YV8" s="826"/>
      <c r="YW8" s="826"/>
      <c r="YX8" s="826"/>
      <c r="YY8" s="826"/>
      <c r="YZ8" s="826"/>
      <c r="ZA8" s="826"/>
      <c r="ZB8" s="826"/>
      <c r="ZC8" s="826"/>
      <c r="ZD8" s="826"/>
      <c r="ZE8" s="826"/>
      <c r="ZF8" s="826"/>
      <c r="ZG8" s="826"/>
      <c r="ZH8" s="826"/>
      <c r="ZI8" s="826"/>
      <c r="ZJ8" s="826"/>
      <c r="ZK8" s="826"/>
      <c r="ZL8" s="826"/>
      <c r="ZM8" s="826"/>
      <c r="ZN8" s="826"/>
      <c r="ZO8" s="826"/>
      <c r="ZP8" s="826"/>
      <c r="ZQ8" s="826"/>
      <c r="ZR8" s="826"/>
      <c r="ZS8" s="826"/>
      <c r="ZT8" s="826"/>
      <c r="ZU8" s="826"/>
      <c r="ZV8" s="826"/>
      <c r="ZW8" s="826"/>
      <c r="ZX8" s="826"/>
      <c r="ZY8" s="826"/>
      <c r="ZZ8" s="826"/>
      <c r="AAA8" s="826"/>
      <c r="AAB8" s="826"/>
      <c r="AAC8" s="826"/>
      <c r="AAD8" s="826"/>
      <c r="AAE8" s="826"/>
      <c r="AAF8" s="826"/>
      <c r="AAG8" s="826"/>
      <c r="AAH8" s="826"/>
      <c r="AAI8" s="826"/>
      <c r="AAJ8" s="826"/>
      <c r="AAK8" s="826"/>
      <c r="AAL8" s="826"/>
      <c r="AAM8" s="826"/>
      <c r="AAN8" s="826"/>
      <c r="AAO8" s="826"/>
      <c r="AAP8" s="826"/>
      <c r="AAQ8" s="826"/>
      <c r="AAR8" s="826"/>
      <c r="AAS8" s="826"/>
      <c r="AAT8" s="826"/>
      <c r="AAU8" s="826"/>
      <c r="AAV8" s="826"/>
      <c r="AAW8" s="826"/>
      <c r="AAX8" s="826"/>
      <c r="AAY8" s="826"/>
      <c r="AAZ8" s="826"/>
      <c r="ABA8" s="826"/>
      <c r="ABB8" s="826"/>
      <c r="ABC8" s="826"/>
      <c r="ABD8" s="826"/>
      <c r="ABE8" s="826"/>
      <c r="ABF8" s="826"/>
      <c r="ABG8" s="826"/>
      <c r="ABH8" s="826"/>
      <c r="ABI8" s="826"/>
      <c r="ABJ8" s="826"/>
      <c r="ABK8" s="826"/>
      <c r="ABL8" s="826"/>
      <c r="ABM8" s="826"/>
      <c r="ABN8" s="826"/>
      <c r="ABO8" s="826"/>
      <c r="ABP8" s="826"/>
      <c r="ABQ8" s="826"/>
      <c r="ABR8" s="826"/>
      <c r="ABS8" s="826"/>
      <c r="ABT8" s="826"/>
      <c r="ABU8" s="826"/>
      <c r="ABV8" s="826"/>
      <c r="ABW8" s="826"/>
      <c r="ABX8" s="826"/>
      <c r="ABY8" s="826"/>
      <c r="ABZ8" s="826"/>
      <c r="ACA8" s="826"/>
      <c r="ACB8" s="826"/>
      <c r="ACC8" s="826"/>
      <c r="ACD8" s="826"/>
      <c r="ACE8" s="826"/>
      <c r="ACF8" s="826"/>
      <c r="ACG8" s="826"/>
      <c r="ACH8" s="826"/>
      <c r="ACI8" s="826"/>
      <c r="ACJ8" s="826"/>
      <c r="ACK8" s="826"/>
      <c r="ACL8" s="826"/>
      <c r="ACM8" s="826"/>
      <c r="ACN8" s="826"/>
      <c r="ACO8" s="826"/>
      <c r="ACP8" s="826"/>
      <c r="ACQ8" s="826"/>
      <c r="ACR8" s="826"/>
      <c r="ACS8" s="826"/>
      <c r="ACT8" s="826"/>
      <c r="ACU8" s="826"/>
      <c r="ACV8" s="826"/>
      <c r="ACW8" s="826"/>
      <c r="ACX8" s="826"/>
      <c r="ACY8" s="826"/>
      <c r="ACZ8" s="826"/>
      <c r="ADA8" s="826"/>
      <c r="ADB8" s="826"/>
      <c r="ADC8" s="826"/>
      <c r="ADD8" s="826"/>
      <c r="ADE8" s="826"/>
      <c r="ADF8" s="826"/>
      <c r="ADG8" s="826"/>
      <c r="ADH8" s="826"/>
      <c r="ADI8" s="826"/>
      <c r="ADJ8" s="826"/>
      <c r="ADK8" s="826"/>
      <c r="ADL8" s="826"/>
      <c r="ADM8" s="826"/>
      <c r="ADN8" s="826"/>
      <c r="ADO8" s="826"/>
      <c r="ADP8" s="826"/>
      <c r="ADQ8" s="826"/>
      <c r="ADR8" s="826"/>
      <c r="ADS8" s="826"/>
      <c r="ADT8" s="826"/>
      <c r="ADU8" s="826"/>
      <c r="ADV8" s="826"/>
      <c r="ADW8" s="826"/>
      <c r="ADX8" s="826"/>
      <c r="ADY8" s="826"/>
      <c r="ADZ8" s="826"/>
      <c r="AEA8" s="826"/>
      <c r="AEB8" s="826"/>
      <c r="AEC8" s="826"/>
      <c r="AED8" s="826"/>
      <c r="AEE8" s="826"/>
      <c r="AEF8" s="826"/>
      <c r="AEG8" s="826"/>
      <c r="AEH8" s="826"/>
      <c r="AEI8" s="826"/>
      <c r="AEJ8" s="826"/>
      <c r="AEK8" s="826"/>
      <c r="AEL8" s="826"/>
      <c r="AEM8" s="826"/>
      <c r="AEN8" s="826"/>
      <c r="AEO8" s="826"/>
      <c r="AEP8" s="826"/>
      <c r="AEQ8" s="826"/>
      <c r="AER8" s="826"/>
      <c r="AES8" s="826"/>
      <c r="AET8" s="826"/>
      <c r="AEU8" s="826"/>
      <c r="AEV8" s="826"/>
      <c r="AEW8" s="826"/>
      <c r="AEX8" s="826"/>
      <c r="AEY8" s="826"/>
      <c r="AEZ8" s="826"/>
      <c r="AFA8" s="826"/>
      <c r="AFB8" s="826"/>
      <c r="AFC8" s="826"/>
      <c r="AFD8" s="826"/>
      <c r="AFE8" s="826"/>
      <c r="AFF8" s="826"/>
      <c r="AFG8" s="826"/>
      <c r="AFH8" s="826"/>
      <c r="AFI8" s="826"/>
      <c r="AFJ8" s="826"/>
      <c r="AFK8" s="826"/>
      <c r="AFL8" s="826"/>
      <c r="AFM8" s="826"/>
      <c r="AFN8" s="826"/>
      <c r="AFO8" s="826"/>
      <c r="AFP8" s="826"/>
      <c r="AFQ8" s="826"/>
      <c r="AFR8" s="826"/>
      <c r="AFS8" s="826"/>
      <c r="AFT8" s="826"/>
      <c r="AFU8" s="826"/>
      <c r="AFV8" s="826"/>
      <c r="AFW8" s="826"/>
      <c r="AFX8" s="826"/>
      <c r="AFY8" s="826"/>
      <c r="AFZ8" s="826"/>
      <c r="AGA8" s="826"/>
      <c r="AGB8" s="826"/>
      <c r="AGC8" s="826"/>
      <c r="AGD8" s="826"/>
      <c r="AGE8" s="826"/>
      <c r="AGF8" s="826"/>
      <c r="AGG8" s="826"/>
      <c r="AGH8" s="826"/>
      <c r="AGI8" s="826"/>
      <c r="AGJ8" s="826"/>
      <c r="AGK8" s="826"/>
      <c r="AGL8" s="826"/>
      <c r="AGM8" s="826"/>
      <c r="AGN8" s="826"/>
      <c r="AGO8" s="826"/>
      <c r="AGP8" s="826"/>
      <c r="AGQ8" s="826"/>
      <c r="AGR8" s="826"/>
      <c r="AGS8" s="826"/>
      <c r="AGT8" s="826"/>
      <c r="AGU8" s="826"/>
      <c r="AGV8" s="826"/>
      <c r="AGW8" s="826"/>
      <c r="AGX8" s="826"/>
      <c r="AGY8" s="826"/>
      <c r="AGZ8" s="826"/>
      <c r="AHA8" s="826"/>
      <c r="AHB8" s="826"/>
      <c r="AHC8" s="826"/>
      <c r="AHD8" s="826"/>
      <c r="AHE8" s="826"/>
      <c r="AHF8" s="826"/>
      <c r="AHG8" s="826"/>
      <c r="AHH8" s="826"/>
      <c r="AHI8" s="826"/>
      <c r="AHJ8" s="826"/>
      <c r="AHK8" s="826"/>
      <c r="AHL8" s="826"/>
      <c r="AHM8" s="826"/>
      <c r="AHN8" s="826"/>
      <c r="AHO8" s="826"/>
      <c r="AHP8" s="826"/>
      <c r="AHQ8" s="826"/>
      <c r="AHR8" s="826"/>
      <c r="AHS8" s="826"/>
      <c r="AHT8" s="826"/>
      <c r="AHU8" s="826"/>
      <c r="AHV8" s="826"/>
      <c r="AHW8" s="826"/>
      <c r="AHX8" s="826"/>
      <c r="AHY8" s="826"/>
      <c r="AHZ8" s="826"/>
      <c r="AIA8" s="826"/>
      <c r="AIB8" s="826"/>
      <c r="AIC8" s="826"/>
      <c r="AID8" s="826"/>
      <c r="AIE8" s="826"/>
      <c r="AIF8" s="826"/>
      <c r="AIG8" s="826"/>
      <c r="AIH8" s="826"/>
      <c r="AII8" s="826"/>
      <c r="AIJ8" s="826"/>
      <c r="AIK8" s="826"/>
      <c r="AIL8" s="826"/>
      <c r="AIM8" s="826"/>
      <c r="AIN8" s="826"/>
      <c r="AIO8" s="826"/>
      <c r="AIP8" s="826"/>
      <c r="AIQ8" s="826"/>
      <c r="AIR8" s="826"/>
      <c r="AIS8" s="826"/>
      <c r="AIT8" s="826"/>
      <c r="AIU8" s="826"/>
      <c r="AIV8" s="826"/>
      <c r="AIW8" s="826"/>
      <c r="AIX8" s="826"/>
      <c r="AIY8" s="826"/>
      <c r="AIZ8" s="826"/>
      <c r="AJA8" s="826"/>
      <c r="AJB8" s="826"/>
      <c r="AJC8" s="826"/>
      <c r="AJD8" s="826"/>
      <c r="AJE8" s="826"/>
      <c r="AJF8" s="826"/>
      <c r="AJG8" s="826"/>
      <c r="AJH8" s="826"/>
      <c r="AJI8" s="826"/>
      <c r="AJJ8" s="826"/>
      <c r="AJK8" s="826"/>
      <c r="AJL8" s="826"/>
      <c r="AJM8" s="826"/>
      <c r="AJN8" s="826"/>
      <c r="AJO8" s="826"/>
      <c r="AJP8" s="826"/>
      <c r="AJQ8" s="826"/>
      <c r="AJR8" s="826"/>
      <c r="AJS8" s="826"/>
      <c r="AJT8" s="826"/>
      <c r="AJU8" s="826"/>
      <c r="AJV8" s="826"/>
      <c r="AJW8" s="826"/>
      <c r="AJX8" s="826"/>
      <c r="AJY8" s="826"/>
      <c r="AJZ8" s="826"/>
      <c r="AKA8" s="826"/>
      <c r="AKB8" s="826"/>
      <c r="AKC8" s="826"/>
      <c r="AKD8" s="826"/>
      <c r="AKE8" s="826"/>
      <c r="AKF8" s="826"/>
      <c r="AKG8" s="826"/>
      <c r="AKH8" s="826"/>
      <c r="AKI8" s="826"/>
      <c r="AKJ8" s="826"/>
      <c r="AKK8" s="826"/>
      <c r="AKL8" s="826"/>
      <c r="AKM8" s="826"/>
      <c r="AKN8" s="826"/>
      <c r="AKO8" s="826"/>
      <c r="AKP8" s="826"/>
      <c r="AKQ8" s="826"/>
      <c r="AKR8" s="826"/>
      <c r="AKS8" s="826"/>
      <c r="AKT8" s="826"/>
      <c r="AKU8" s="826"/>
      <c r="AKV8" s="826"/>
      <c r="AKW8" s="826"/>
      <c r="AKX8" s="826"/>
      <c r="AKY8" s="826"/>
      <c r="AKZ8" s="826"/>
      <c r="ALA8" s="826"/>
      <c r="ALB8" s="826"/>
      <c r="ALC8" s="826"/>
      <c r="ALD8" s="826"/>
      <c r="ALE8" s="826"/>
      <c r="ALF8" s="826"/>
      <c r="ALG8" s="826"/>
      <c r="ALH8" s="826"/>
      <c r="ALI8" s="826"/>
      <c r="ALJ8" s="826"/>
      <c r="ALK8" s="826"/>
      <c r="ALL8" s="826"/>
      <c r="ALM8" s="826"/>
      <c r="ALN8" s="826"/>
      <c r="ALO8" s="826"/>
      <c r="ALP8" s="826"/>
      <c r="ALQ8" s="826"/>
      <c r="ALR8" s="826"/>
      <c r="ALS8" s="826"/>
      <c r="ALT8" s="826"/>
      <c r="ALU8" s="826"/>
      <c r="ALV8" s="826"/>
      <c r="ALW8" s="826"/>
      <c r="ALX8" s="826"/>
      <c r="ALY8" s="826"/>
      <c r="ALZ8" s="826"/>
      <c r="AMA8" s="826"/>
      <c r="AMB8" s="826"/>
      <c r="AMC8" s="826"/>
      <c r="AMD8" s="826"/>
      <c r="AME8" s="826"/>
      <c r="AMF8" s="826"/>
      <c r="AMG8" s="826"/>
      <c r="AMH8" s="826"/>
      <c r="AMI8" s="826"/>
      <c r="AMJ8" s="826"/>
      <c r="AMK8" s="826"/>
      <c r="AML8" s="826"/>
      <c r="AMM8" s="826"/>
      <c r="AMN8" s="826"/>
      <c r="AMO8" s="826"/>
      <c r="AMP8" s="826"/>
      <c r="AMQ8" s="826"/>
      <c r="AMR8" s="826"/>
      <c r="AMS8" s="826"/>
      <c r="AMT8" s="826"/>
      <c r="AMU8" s="826"/>
      <c r="AMV8" s="826"/>
      <c r="AMW8" s="826"/>
      <c r="AMX8" s="826"/>
      <c r="AMY8" s="826"/>
      <c r="AMZ8" s="826"/>
      <c r="ANA8" s="826"/>
      <c r="ANB8" s="826"/>
      <c r="ANC8" s="826"/>
      <c r="AND8" s="826"/>
      <c r="ANE8" s="826"/>
      <c r="ANF8" s="826"/>
      <c r="ANG8" s="826"/>
      <c r="ANH8" s="826"/>
      <c r="ANI8" s="826"/>
      <c r="ANJ8" s="826"/>
      <c r="ANK8" s="826"/>
      <c r="ANL8" s="826"/>
      <c r="ANM8" s="826"/>
      <c r="ANN8" s="826"/>
      <c r="ANO8" s="826"/>
      <c r="ANP8" s="826"/>
      <c r="ANQ8" s="826"/>
      <c r="ANR8" s="826"/>
      <c r="ANS8" s="826"/>
      <c r="ANT8" s="826"/>
      <c r="ANU8" s="826"/>
      <c r="ANV8" s="826"/>
      <c r="ANW8" s="826"/>
      <c r="ANX8" s="826"/>
      <c r="ANY8" s="826"/>
      <c r="ANZ8" s="826"/>
      <c r="AOA8" s="826"/>
      <c r="AOB8" s="826"/>
      <c r="AOC8" s="826"/>
      <c r="AOD8" s="826"/>
      <c r="AOE8" s="826"/>
      <c r="AOF8" s="826"/>
      <c r="AOG8" s="826"/>
      <c r="AOH8" s="826"/>
      <c r="AOI8" s="826"/>
      <c r="AOJ8" s="826"/>
      <c r="AOK8" s="826"/>
      <c r="AOL8" s="826"/>
      <c r="AOM8" s="826"/>
      <c r="AON8" s="826"/>
      <c r="AOO8" s="826"/>
      <c r="AOP8" s="826"/>
      <c r="AOQ8" s="826"/>
      <c r="AOR8" s="826"/>
      <c r="AOS8" s="826"/>
      <c r="AOT8" s="826"/>
      <c r="AOU8" s="826"/>
      <c r="AOV8" s="826"/>
      <c r="AOW8" s="826"/>
      <c r="AOX8" s="826"/>
      <c r="AOY8" s="826"/>
      <c r="AOZ8" s="826"/>
      <c r="APA8" s="826"/>
      <c r="APB8" s="826"/>
      <c r="APC8" s="826"/>
      <c r="APD8" s="826"/>
      <c r="APE8" s="826"/>
      <c r="APF8" s="826"/>
      <c r="APG8" s="826"/>
      <c r="APH8" s="826"/>
      <c r="API8" s="826"/>
      <c r="APJ8" s="826"/>
      <c r="APK8" s="826"/>
      <c r="APL8" s="826"/>
      <c r="APM8" s="826"/>
      <c r="APN8" s="826"/>
      <c r="APO8" s="826"/>
      <c r="APP8" s="826"/>
      <c r="APQ8" s="826"/>
      <c r="APR8" s="826"/>
      <c r="APS8" s="826"/>
      <c r="APT8" s="826"/>
      <c r="APU8" s="826"/>
      <c r="APV8" s="826"/>
      <c r="APW8" s="826"/>
      <c r="APX8" s="826"/>
      <c r="APY8" s="826"/>
      <c r="APZ8" s="826"/>
      <c r="AQA8" s="826"/>
      <c r="AQB8" s="826"/>
      <c r="AQC8" s="826"/>
      <c r="AQD8" s="826"/>
      <c r="AQE8" s="826"/>
      <c r="AQF8" s="826"/>
      <c r="AQG8" s="826"/>
      <c r="AQH8" s="826"/>
      <c r="AQI8" s="826"/>
      <c r="AQJ8" s="826"/>
      <c r="AQK8" s="826"/>
      <c r="AQL8" s="826"/>
      <c r="AQM8" s="826"/>
      <c r="AQN8" s="826"/>
      <c r="AQO8" s="826"/>
      <c r="AQP8" s="826"/>
      <c r="AQQ8" s="826"/>
      <c r="AQR8" s="826"/>
      <c r="AQS8" s="826"/>
      <c r="AQT8" s="826"/>
      <c r="AQU8" s="826"/>
      <c r="AQV8" s="826"/>
      <c r="AQW8" s="826"/>
      <c r="AQX8" s="826"/>
      <c r="AQY8" s="826"/>
      <c r="AQZ8" s="826"/>
      <c r="ARA8" s="826"/>
      <c r="ARB8" s="826"/>
      <c r="ARC8" s="826"/>
      <c r="ARD8" s="826"/>
      <c r="ARE8" s="826"/>
      <c r="ARF8" s="826"/>
      <c r="ARG8" s="826"/>
      <c r="ARH8" s="826"/>
      <c r="ARI8" s="826"/>
      <c r="ARJ8" s="826"/>
      <c r="ARK8" s="826"/>
      <c r="ARL8" s="826"/>
      <c r="ARM8" s="826"/>
      <c r="ARN8" s="826"/>
      <c r="ARO8" s="826"/>
      <c r="ARP8" s="826"/>
      <c r="ARQ8" s="826"/>
      <c r="ARR8" s="826"/>
      <c r="ARS8" s="826"/>
      <c r="ART8" s="826"/>
      <c r="ARU8" s="826"/>
      <c r="ARV8" s="826"/>
      <c r="ARW8" s="826"/>
      <c r="ARX8" s="826"/>
      <c r="ARY8" s="826"/>
      <c r="ARZ8" s="826"/>
      <c r="ASA8" s="826"/>
      <c r="ASB8" s="826"/>
      <c r="ASC8" s="826"/>
      <c r="ASD8" s="826"/>
      <c r="ASE8" s="826"/>
      <c r="ASF8" s="826"/>
      <c r="ASG8" s="826"/>
      <c r="ASH8" s="826"/>
      <c r="ASI8" s="826"/>
      <c r="ASJ8" s="826"/>
      <c r="ASK8" s="826"/>
      <c r="ASL8" s="826"/>
      <c r="ASM8" s="826"/>
      <c r="ASN8" s="826"/>
      <c r="ASO8" s="826"/>
      <c r="ASP8" s="826"/>
      <c r="ASQ8" s="826"/>
      <c r="ASR8" s="826"/>
      <c r="ASS8" s="826"/>
      <c r="AST8" s="826"/>
      <c r="ASU8" s="826"/>
      <c r="ASV8" s="826"/>
      <c r="ASW8" s="826"/>
      <c r="ASX8" s="826"/>
      <c r="ASY8" s="826"/>
      <c r="ASZ8" s="826"/>
      <c r="ATA8" s="826"/>
      <c r="ATB8" s="826"/>
      <c r="ATC8" s="826"/>
      <c r="ATD8" s="826"/>
      <c r="ATE8" s="826"/>
      <c r="ATF8" s="826"/>
      <c r="ATG8" s="826"/>
      <c r="ATH8" s="826"/>
      <c r="ATI8" s="826"/>
      <c r="ATJ8" s="826"/>
      <c r="ATK8" s="826"/>
      <c r="ATL8" s="826"/>
      <c r="ATM8" s="826"/>
      <c r="ATN8" s="826"/>
      <c r="ATO8" s="826"/>
      <c r="ATP8" s="826"/>
      <c r="ATQ8" s="826"/>
      <c r="ATR8" s="826"/>
      <c r="ATS8" s="826"/>
      <c r="ATT8" s="826"/>
      <c r="ATU8" s="826"/>
      <c r="ATV8" s="826"/>
      <c r="ATW8" s="826"/>
      <c r="ATX8" s="826"/>
      <c r="ATY8" s="826"/>
      <c r="ATZ8" s="826"/>
      <c r="AUA8" s="826"/>
      <c r="AUB8" s="826"/>
      <c r="AUC8" s="826"/>
      <c r="AUD8" s="826"/>
      <c r="AUE8" s="826"/>
      <c r="AUF8" s="826"/>
      <c r="AUG8" s="826"/>
      <c r="AUH8" s="826"/>
      <c r="AUI8" s="826"/>
      <c r="AUJ8" s="826"/>
      <c r="AUK8" s="826"/>
      <c r="AUL8" s="826"/>
      <c r="AUM8" s="826"/>
      <c r="AUN8" s="826"/>
      <c r="AUO8" s="826"/>
      <c r="AUP8" s="826"/>
      <c r="AUQ8" s="826"/>
      <c r="AUR8" s="826"/>
      <c r="AUS8" s="826"/>
      <c r="AUT8" s="826"/>
      <c r="AUU8" s="826"/>
      <c r="AUV8" s="826"/>
      <c r="AUW8" s="826"/>
      <c r="AUX8" s="826"/>
      <c r="AUY8" s="826"/>
      <c r="AUZ8" s="826"/>
      <c r="AVA8" s="826"/>
      <c r="AVB8" s="826"/>
      <c r="AVC8" s="826"/>
      <c r="AVD8" s="826"/>
      <c r="AVE8" s="826"/>
      <c r="AVF8" s="826"/>
      <c r="AVG8" s="826"/>
      <c r="AVH8" s="826"/>
      <c r="AVI8" s="826"/>
      <c r="AVJ8" s="826"/>
      <c r="AVK8" s="826"/>
      <c r="AVL8" s="826"/>
      <c r="AVM8" s="826"/>
      <c r="AVN8" s="826"/>
      <c r="AVO8" s="826"/>
      <c r="AVP8" s="826"/>
      <c r="AVQ8" s="826"/>
      <c r="AVR8" s="826"/>
      <c r="AVS8" s="826"/>
      <c r="AVT8" s="826"/>
      <c r="AVU8" s="826"/>
      <c r="AVV8" s="826"/>
      <c r="AVW8" s="826"/>
      <c r="AVX8" s="826"/>
      <c r="AVY8" s="826"/>
      <c r="AVZ8" s="826"/>
      <c r="AWA8" s="826"/>
      <c r="AWB8" s="826"/>
      <c r="AWC8" s="826"/>
      <c r="AWD8" s="826"/>
      <c r="AWE8" s="826"/>
      <c r="AWF8" s="826"/>
      <c r="AWG8" s="826"/>
      <c r="AWH8" s="826"/>
      <c r="AWI8" s="826"/>
      <c r="AWJ8" s="826"/>
      <c r="AWK8" s="826"/>
      <c r="AWL8" s="826"/>
      <c r="AWM8" s="826"/>
      <c r="AWN8" s="826"/>
      <c r="AWO8" s="826"/>
      <c r="AWP8" s="826"/>
      <c r="AWQ8" s="826"/>
      <c r="AWR8" s="826"/>
      <c r="AWS8" s="826"/>
      <c r="AWT8" s="826"/>
      <c r="AWU8" s="826"/>
      <c r="AWV8" s="826"/>
      <c r="AWW8" s="826"/>
      <c r="AWX8" s="826"/>
      <c r="AWY8" s="826"/>
      <c r="AWZ8" s="826"/>
      <c r="AXA8" s="826"/>
      <c r="AXB8" s="826"/>
      <c r="AXC8" s="826"/>
      <c r="AXD8" s="826"/>
      <c r="AXE8" s="826"/>
      <c r="AXF8" s="826"/>
      <c r="AXG8" s="826"/>
      <c r="AXH8" s="826"/>
      <c r="AXI8" s="826"/>
      <c r="AXJ8" s="826"/>
      <c r="AXK8" s="826"/>
      <c r="AXL8" s="826"/>
      <c r="AXM8" s="826"/>
      <c r="AXN8" s="826"/>
      <c r="AXO8" s="826"/>
      <c r="AXP8" s="826"/>
      <c r="AXQ8" s="826"/>
      <c r="AXR8" s="826"/>
      <c r="AXS8" s="826"/>
      <c r="AXT8" s="826"/>
      <c r="AXU8" s="826"/>
      <c r="AXV8" s="826"/>
      <c r="AXW8" s="826"/>
      <c r="AXX8" s="826"/>
      <c r="AXY8" s="826"/>
      <c r="AXZ8" s="826"/>
      <c r="AYA8" s="826"/>
      <c r="AYB8" s="826"/>
      <c r="AYC8" s="826"/>
      <c r="AYD8" s="826"/>
      <c r="AYE8" s="826"/>
      <c r="AYF8" s="826"/>
      <c r="AYG8" s="826"/>
      <c r="AYH8" s="826"/>
      <c r="AYI8" s="826"/>
      <c r="AYJ8" s="826"/>
      <c r="AYK8" s="826"/>
      <c r="AYL8" s="826"/>
      <c r="AYM8" s="826"/>
      <c r="AYN8" s="826"/>
      <c r="AYO8" s="826"/>
      <c r="AYP8" s="826"/>
      <c r="AYQ8" s="826"/>
      <c r="AYR8" s="826"/>
      <c r="AYS8" s="826"/>
      <c r="AYT8" s="826"/>
      <c r="AYU8" s="826"/>
      <c r="AYV8" s="826"/>
      <c r="AYW8" s="826"/>
      <c r="AYX8" s="826"/>
      <c r="AYY8" s="826"/>
      <c r="AYZ8" s="826"/>
      <c r="AZA8" s="826"/>
      <c r="AZB8" s="826"/>
      <c r="AZC8" s="826"/>
      <c r="AZD8" s="826"/>
      <c r="AZE8" s="826"/>
      <c r="AZF8" s="826"/>
      <c r="AZG8" s="826"/>
      <c r="AZH8" s="826"/>
      <c r="AZI8" s="826"/>
      <c r="AZJ8" s="826"/>
      <c r="AZK8" s="826"/>
      <c r="AZL8" s="826"/>
      <c r="AZM8" s="826"/>
      <c r="AZN8" s="826"/>
      <c r="AZO8" s="826"/>
      <c r="AZP8" s="826"/>
      <c r="AZQ8" s="826"/>
      <c r="AZR8" s="826"/>
      <c r="AZS8" s="826"/>
      <c r="AZT8" s="826"/>
      <c r="AZU8" s="826"/>
      <c r="AZV8" s="826"/>
      <c r="AZW8" s="826"/>
      <c r="AZX8" s="826"/>
      <c r="AZY8" s="826"/>
      <c r="AZZ8" s="826"/>
      <c r="BAA8" s="826"/>
      <c r="BAB8" s="826"/>
      <c r="BAC8" s="826"/>
      <c r="BAD8" s="826"/>
      <c r="BAE8" s="826"/>
      <c r="BAF8" s="826"/>
      <c r="BAG8" s="826"/>
      <c r="BAH8" s="826"/>
      <c r="BAI8" s="826"/>
      <c r="BAJ8" s="826"/>
      <c r="BAK8" s="826"/>
      <c r="BAL8" s="826"/>
      <c r="BAM8" s="826"/>
      <c r="BAN8" s="826"/>
      <c r="BAO8" s="826"/>
      <c r="BAP8" s="826"/>
      <c r="BAQ8" s="826"/>
      <c r="BAR8" s="826"/>
      <c r="BAS8" s="826"/>
      <c r="BAT8" s="826"/>
      <c r="BAU8" s="826"/>
      <c r="BAV8" s="826"/>
      <c r="BAW8" s="826"/>
      <c r="BAX8" s="826"/>
      <c r="BAY8" s="826"/>
      <c r="BAZ8" s="826"/>
      <c r="BBA8" s="826"/>
      <c r="BBB8" s="826"/>
      <c r="BBC8" s="826"/>
      <c r="BBD8" s="826"/>
      <c r="BBE8" s="826"/>
      <c r="BBF8" s="826"/>
      <c r="BBG8" s="826"/>
      <c r="BBH8" s="826"/>
      <c r="BBI8" s="826"/>
      <c r="BBJ8" s="826"/>
      <c r="BBK8" s="826"/>
      <c r="BBL8" s="826"/>
      <c r="BBM8" s="826"/>
      <c r="BBN8" s="826"/>
      <c r="BBO8" s="826"/>
      <c r="BBP8" s="826"/>
      <c r="BBQ8" s="826"/>
      <c r="BBR8" s="826"/>
      <c r="BBS8" s="826"/>
      <c r="BBT8" s="826"/>
      <c r="BBU8" s="826"/>
      <c r="BBV8" s="826"/>
      <c r="BBW8" s="826"/>
      <c r="BBX8" s="826"/>
      <c r="BBY8" s="826"/>
      <c r="BBZ8" s="826"/>
      <c r="BCA8" s="826"/>
      <c r="BCB8" s="826"/>
      <c r="BCC8" s="826"/>
      <c r="BCD8" s="826"/>
      <c r="BCE8" s="826"/>
      <c r="BCF8" s="826"/>
      <c r="BCG8" s="826"/>
      <c r="BCH8" s="826"/>
      <c r="BCI8" s="826"/>
      <c r="BCJ8" s="826"/>
      <c r="BCK8" s="826"/>
      <c r="BCL8" s="826"/>
      <c r="BCM8" s="826"/>
      <c r="BCN8" s="826"/>
      <c r="BCO8" s="826"/>
      <c r="BCP8" s="826"/>
      <c r="BCQ8" s="826"/>
      <c r="BCR8" s="826"/>
      <c r="BCS8" s="826"/>
      <c r="BCT8" s="826"/>
      <c r="BCU8" s="826"/>
      <c r="BCV8" s="826"/>
      <c r="BCW8" s="826"/>
      <c r="BCX8" s="826"/>
      <c r="BCY8" s="826"/>
      <c r="BCZ8" s="826"/>
      <c r="BDA8" s="826"/>
      <c r="BDB8" s="826"/>
      <c r="BDC8" s="826"/>
      <c r="BDD8" s="826"/>
      <c r="BDE8" s="826"/>
      <c r="BDF8" s="826"/>
      <c r="BDG8" s="826"/>
      <c r="BDH8" s="826"/>
      <c r="BDI8" s="826"/>
      <c r="BDJ8" s="826"/>
      <c r="BDK8" s="826"/>
      <c r="BDL8" s="826"/>
      <c r="BDM8" s="826"/>
      <c r="BDN8" s="826"/>
      <c r="BDO8" s="826"/>
      <c r="BDP8" s="826"/>
      <c r="BDQ8" s="826"/>
      <c r="BDR8" s="826"/>
      <c r="BDS8" s="826"/>
      <c r="BDT8" s="826"/>
      <c r="BDU8" s="826"/>
      <c r="BDV8" s="826"/>
      <c r="BDW8" s="826"/>
      <c r="BDX8" s="826"/>
      <c r="BDY8" s="826"/>
      <c r="BDZ8" s="826"/>
      <c r="BEA8" s="826"/>
      <c r="BEB8" s="826"/>
      <c r="BEC8" s="826"/>
      <c r="BED8" s="826"/>
      <c r="BEE8" s="826"/>
      <c r="BEF8" s="826"/>
      <c r="BEG8" s="826"/>
      <c r="BEH8" s="826"/>
      <c r="BEI8" s="826"/>
      <c r="BEJ8" s="826"/>
      <c r="BEK8" s="826"/>
      <c r="BEL8" s="826"/>
      <c r="BEM8" s="826"/>
      <c r="BEN8" s="826"/>
      <c r="BEO8" s="826"/>
      <c r="BEP8" s="826"/>
      <c r="BEQ8" s="826"/>
      <c r="BER8" s="826"/>
      <c r="BES8" s="826"/>
      <c r="BET8" s="826"/>
      <c r="BEU8" s="826"/>
      <c r="BEV8" s="826"/>
      <c r="BEW8" s="826"/>
      <c r="BEX8" s="826"/>
      <c r="BEY8" s="826"/>
      <c r="BEZ8" s="826"/>
      <c r="BFA8" s="826"/>
      <c r="BFB8" s="826"/>
      <c r="BFC8" s="826"/>
      <c r="BFD8" s="826"/>
      <c r="BFE8" s="826"/>
      <c r="BFF8" s="826"/>
      <c r="BFG8" s="826"/>
      <c r="BFH8" s="826"/>
      <c r="BFI8" s="826"/>
      <c r="BFJ8" s="826"/>
      <c r="BFK8" s="826"/>
      <c r="BFL8" s="826"/>
      <c r="BFM8" s="826"/>
      <c r="BFN8" s="826"/>
      <c r="BFO8" s="826"/>
      <c r="BFP8" s="826"/>
      <c r="BFQ8" s="826"/>
      <c r="BFR8" s="826"/>
      <c r="BFS8" s="826"/>
      <c r="BFT8" s="826"/>
      <c r="BFU8" s="826"/>
      <c r="BFV8" s="826"/>
      <c r="BFW8" s="826"/>
      <c r="BFX8" s="826"/>
      <c r="BFY8" s="826"/>
      <c r="BFZ8" s="826"/>
      <c r="BGA8" s="826"/>
      <c r="BGB8" s="826"/>
      <c r="BGC8" s="826"/>
      <c r="BGD8" s="826"/>
      <c r="BGE8" s="826"/>
      <c r="BGF8" s="826"/>
      <c r="BGG8" s="826"/>
      <c r="BGH8" s="826"/>
      <c r="BGI8" s="826"/>
      <c r="BGJ8" s="826"/>
      <c r="BGK8" s="826"/>
      <c r="BGL8" s="826"/>
      <c r="BGM8" s="826"/>
      <c r="BGN8" s="826"/>
      <c r="BGO8" s="826"/>
      <c r="BGP8" s="826"/>
      <c r="BGQ8" s="826"/>
      <c r="BGR8" s="826"/>
      <c r="BGS8" s="826"/>
      <c r="BGT8" s="826"/>
      <c r="BGU8" s="826"/>
      <c r="BGV8" s="826"/>
      <c r="BGW8" s="826"/>
      <c r="BGX8" s="826"/>
      <c r="BGY8" s="826"/>
      <c r="BGZ8" s="826"/>
      <c r="BHA8" s="826"/>
      <c r="BHB8" s="826"/>
      <c r="BHC8" s="826"/>
      <c r="BHD8" s="826"/>
      <c r="BHE8" s="826"/>
      <c r="BHF8" s="826"/>
      <c r="BHG8" s="826"/>
      <c r="BHH8" s="826"/>
      <c r="BHI8" s="826"/>
      <c r="BHJ8" s="826"/>
      <c r="BHK8" s="826"/>
      <c r="BHL8" s="826"/>
      <c r="BHM8" s="826"/>
      <c r="BHN8" s="826"/>
      <c r="BHO8" s="826"/>
      <c r="BHP8" s="826"/>
      <c r="BHQ8" s="826"/>
      <c r="BHR8" s="826"/>
      <c r="BHS8" s="826"/>
      <c r="BHT8" s="826"/>
      <c r="BHU8" s="826"/>
      <c r="BHV8" s="826"/>
      <c r="BHW8" s="826"/>
      <c r="BHX8" s="826"/>
      <c r="BHY8" s="826"/>
      <c r="BHZ8" s="826"/>
      <c r="BIA8" s="826"/>
      <c r="BIB8" s="826"/>
      <c r="BIC8" s="826"/>
      <c r="BID8" s="826"/>
      <c r="BIE8" s="826"/>
      <c r="BIF8" s="826"/>
      <c r="BIG8" s="826"/>
      <c r="BIH8" s="826"/>
      <c r="BII8" s="826"/>
      <c r="BIJ8" s="826"/>
      <c r="BIK8" s="826"/>
      <c r="BIL8" s="826"/>
      <c r="BIM8" s="826"/>
      <c r="BIN8" s="826"/>
      <c r="BIO8" s="826"/>
      <c r="BIP8" s="826"/>
      <c r="BIQ8" s="826"/>
      <c r="BIR8" s="826"/>
      <c r="BIS8" s="826"/>
      <c r="BIT8" s="826"/>
      <c r="BIU8" s="826"/>
      <c r="BIV8" s="826"/>
      <c r="BIW8" s="826"/>
      <c r="BIX8" s="826"/>
      <c r="BIY8" s="826"/>
      <c r="BIZ8" s="826"/>
      <c r="BJA8" s="826"/>
      <c r="BJB8" s="826"/>
      <c r="BJC8" s="826"/>
      <c r="BJD8" s="826"/>
      <c r="BJE8" s="826"/>
      <c r="BJF8" s="826"/>
      <c r="BJG8" s="826"/>
      <c r="BJH8" s="826"/>
      <c r="BJI8" s="826"/>
      <c r="BJJ8" s="826"/>
      <c r="BJK8" s="826"/>
      <c r="BJL8" s="826"/>
      <c r="BJM8" s="826"/>
      <c r="BJN8" s="826"/>
      <c r="BJO8" s="826"/>
      <c r="BJP8" s="826"/>
      <c r="BJQ8" s="826"/>
      <c r="BJR8" s="826"/>
      <c r="BJS8" s="826"/>
      <c r="BJT8" s="826"/>
      <c r="BJU8" s="826"/>
      <c r="BJV8" s="826"/>
      <c r="BJW8" s="826"/>
      <c r="BJX8" s="826"/>
      <c r="BJY8" s="826"/>
      <c r="BJZ8" s="826"/>
      <c r="BKA8" s="826"/>
      <c r="BKB8" s="826"/>
      <c r="BKC8" s="826"/>
      <c r="BKD8" s="826"/>
      <c r="BKE8" s="826"/>
      <c r="BKF8" s="826"/>
      <c r="BKG8" s="826"/>
      <c r="BKH8" s="826"/>
      <c r="BKI8" s="826"/>
      <c r="BKJ8" s="826"/>
      <c r="BKK8" s="826"/>
      <c r="BKL8" s="826"/>
      <c r="BKM8" s="826"/>
      <c r="BKN8" s="826"/>
      <c r="BKO8" s="826"/>
      <c r="BKP8" s="826"/>
      <c r="BKQ8" s="826"/>
      <c r="BKR8" s="826"/>
      <c r="BKS8" s="826"/>
      <c r="BKT8" s="826"/>
      <c r="BKU8" s="826"/>
      <c r="BKV8" s="826"/>
      <c r="BKW8" s="826"/>
      <c r="BKX8" s="826"/>
      <c r="BKY8" s="826"/>
      <c r="BKZ8" s="826"/>
      <c r="BLA8" s="826"/>
      <c r="BLB8" s="826"/>
      <c r="BLC8" s="826"/>
      <c r="BLD8" s="826"/>
      <c r="BLE8" s="826"/>
      <c r="BLF8" s="826"/>
      <c r="BLG8" s="826"/>
      <c r="BLH8" s="826"/>
      <c r="BLI8" s="826"/>
      <c r="BLJ8" s="826"/>
      <c r="BLK8" s="826"/>
      <c r="BLL8" s="826"/>
      <c r="BLM8" s="826"/>
      <c r="BLN8" s="826"/>
      <c r="BLO8" s="826"/>
      <c r="BLP8" s="826"/>
      <c r="BLQ8" s="826"/>
      <c r="BLR8" s="826"/>
      <c r="BLS8" s="826"/>
      <c r="BLT8" s="826"/>
      <c r="BLU8" s="826"/>
      <c r="BLV8" s="826"/>
      <c r="BLW8" s="826"/>
      <c r="BLX8" s="826"/>
      <c r="BLY8" s="826"/>
      <c r="BLZ8" s="826"/>
      <c r="BMA8" s="826"/>
      <c r="BMB8" s="826"/>
      <c r="BMC8" s="826"/>
      <c r="BMD8" s="826"/>
      <c r="BME8" s="826"/>
      <c r="BMF8" s="826"/>
      <c r="BMG8" s="826"/>
      <c r="BMH8" s="826"/>
      <c r="BMI8" s="826"/>
      <c r="BMJ8" s="826"/>
      <c r="BMK8" s="826"/>
      <c r="BML8" s="826"/>
      <c r="BMM8" s="826"/>
      <c r="BMN8" s="826"/>
      <c r="BMO8" s="826"/>
      <c r="BMP8" s="826"/>
      <c r="BMQ8" s="826"/>
      <c r="BMR8" s="826"/>
      <c r="BMS8" s="826"/>
      <c r="BMT8" s="826"/>
      <c r="BMU8" s="826"/>
      <c r="BMV8" s="826"/>
      <c r="BMW8" s="826"/>
      <c r="BMX8" s="826"/>
      <c r="BMY8" s="826"/>
      <c r="BMZ8" s="826"/>
      <c r="BNA8" s="826"/>
      <c r="BNB8" s="826"/>
      <c r="BNC8" s="826"/>
      <c r="BND8" s="826"/>
      <c r="BNE8" s="826"/>
      <c r="BNF8" s="826"/>
      <c r="BNG8" s="826"/>
      <c r="BNH8" s="826"/>
      <c r="BNI8" s="826"/>
      <c r="BNJ8" s="826"/>
      <c r="BNK8" s="826"/>
      <c r="BNL8" s="826"/>
      <c r="BNM8" s="826"/>
      <c r="BNN8" s="826"/>
      <c r="BNO8" s="826"/>
      <c r="BNP8" s="826"/>
      <c r="BNQ8" s="826"/>
      <c r="BNR8" s="826"/>
      <c r="BNS8" s="826"/>
      <c r="BNT8" s="826"/>
      <c r="BNU8" s="826"/>
      <c r="BNV8" s="826"/>
      <c r="BNW8" s="826"/>
      <c r="BNX8" s="826"/>
      <c r="BNY8" s="826"/>
      <c r="BNZ8" s="826"/>
      <c r="BOA8" s="826"/>
      <c r="BOB8" s="826"/>
      <c r="BOC8" s="826"/>
      <c r="BOD8" s="826"/>
      <c r="BOE8" s="826"/>
      <c r="BOF8" s="826"/>
      <c r="BOG8" s="826"/>
      <c r="BOH8" s="826"/>
      <c r="BOI8" s="826"/>
      <c r="BOJ8" s="826"/>
      <c r="BOK8" s="826"/>
      <c r="BOL8" s="826"/>
      <c r="BOM8" s="826"/>
      <c r="BON8" s="826"/>
      <c r="BOO8" s="826"/>
      <c r="BOP8" s="826"/>
      <c r="BOQ8" s="826"/>
      <c r="BOR8" s="826"/>
      <c r="BOS8" s="826"/>
      <c r="BOT8" s="826"/>
      <c r="BOU8" s="826"/>
      <c r="BOV8" s="826"/>
      <c r="BOW8" s="826"/>
      <c r="BOX8" s="826"/>
      <c r="BOY8" s="826"/>
      <c r="BOZ8" s="826"/>
      <c r="BPA8" s="826"/>
      <c r="BPB8" s="826"/>
      <c r="BPC8" s="826"/>
      <c r="BPD8" s="826"/>
      <c r="BPE8" s="826"/>
      <c r="BPF8" s="826"/>
      <c r="BPG8" s="826"/>
      <c r="BPH8" s="826"/>
      <c r="BPI8" s="826"/>
      <c r="BPJ8" s="826"/>
      <c r="BPK8" s="826"/>
      <c r="BPL8" s="826"/>
      <c r="BPM8" s="826"/>
      <c r="BPN8" s="826"/>
      <c r="BPO8" s="826"/>
      <c r="BPP8" s="826"/>
      <c r="BPQ8" s="826"/>
      <c r="BPR8" s="826"/>
      <c r="BPS8" s="826"/>
      <c r="BPT8" s="826"/>
      <c r="BPU8" s="826"/>
      <c r="BPV8" s="826"/>
      <c r="BPW8" s="826"/>
      <c r="BPX8" s="826"/>
      <c r="BPY8" s="826"/>
      <c r="BPZ8" s="826"/>
      <c r="BQA8" s="826"/>
      <c r="BQB8" s="826"/>
      <c r="BQC8" s="826"/>
      <c r="BQD8" s="826"/>
      <c r="BQE8" s="826"/>
      <c r="BQF8" s="826"/>
      <c r="BQG8" s="826"/>
      <c r="BQH8" s="826"/>
      <c r="BQI8" s="826"/>
      <c r="BQJ8" s="826"/>
      <c r="BQK8" s="826"/>
      <c r="BQL8" s="826"/>
      <c r="BQM8" s="826"/>
      <c r="BQN8" s="826"/>
      <c r="BQO8" s="826"/>
      <c r="BQP8" s="826"/>
      <c r="BQQ8" s="826"/>
      <c r="BQR8" s="826"/>
      <c r="BQS8" s="826"/>
      <c r="BQT8" s="826"/>
      <c r="BQU8" s="826"/>
      <c r="BQV8" s="826"/>
      <c r="BQW8" s="826"/>
      <c r="BQX8" s="826"/>
      <c r="BQY8" s="826"/>
      <c r="BQZ8" s="826"/>
      <c r="BRA8" s="826"/>
      <c r="BRB8" s="826"/>
      <c r="BRC8" s="826"/>
      <c r="BRD8" s="826"/>
      <c r="BRE8" s="826"/>
      <c r="BRF8" s="826"/>
      <c r="BRG8" s="826"/>
      <c r="BRH8" s="826"/>
      <c r="BRI8" s="826"/>
      <c r="BRJ8" s="826"/>
      <c r="BRK8" s="826"/>
      <c r="BRL8" s="826"/>
      <c r="BRM8" s="826"/>
      <c r="BRN8" s="826"/>
      <c r="BRO8" s="826"/>
      <c r="BRP8" s="826"/>
      <c r="BRQ8" s="826"/>
      <c r="BRR8" s="826"/>
      <c r="BRS8" s="826"/>
      <c r="BRT8" s="826"/>
      <c r="BRU8" s="826"/>
      <c r="BRV8" s="826"/>
      <c r="BRW8" s="826"/>
      <c r="BRX8" s="826"/>
      <c r="BRY8" s="826"/>
      <c r="BRZ8" s="826"/>
      <c r="BSA8" s="826"/>
      <c r="BSB8" s="826"/>
      <c r="BSC8" s="826"/>
      <c r="BSD8" s="826"/>
      <c r="BSE8" s="826"/>
      <c r="BSF8" s="826"/>
      <c r="BSG8" s="826"/>
      <c r="BSH8" s="826"/>
      <c r="BSI8" s="826"/>
      <c r="BSJ8" s="826"/>
      <c r="BSK8" s="826"/>
      <c r="BSL8" s="826"/>
      <c r="BSM8" s="826"/>
      <c r="BSN8" s="826"/>
      <c r="BSO8" s="826"/>
      <c r="BSP8" s="826"/>
      <c r="BSQ8" s="826"/>
      <c r="BSR8" s="826"/>
      <c r="BSS8" s="826"/>
      <c r="BST8" s="826"/>
    </row>
    <row r="9" spans="1:1866" s="825" customFormat="1" ht="20.100000000000001" customHeight="1" x14ac:dyDescent="0.25">
      <c r="A9" s="826"/>
      <c r="B9" s="3173"/>
      <c r="C9" s="1486" t="s">
        <v>280</v>
      </c>
      <c r="D9" s="1487">
        <f>SUMIF(Bfr!$B$26:$B$29,"="&amp;C9,Bfr!$D$26:$D$29)</f>
        <v>0</v>
      </c>
      <c r="E9" s="1473"/>
      <c r="F9" s="1473">
        <f>E6*$D$9</f>
        <v>0</v>
      </c>
      <c r="G9" s="1473">
        <f t="shared" ref="G9:V9" si="11">F6*$D$9</f>
        <v>0</v>
      </c>
      <c r="H9" s="1473">
        <f t="shared" si="11"/>
        <v>0</v>
      </c>
      <c r="I9" s="1473">
        <f t="shared" si="11"/>
        <v>0</v>
      </c>
      <c r="J9" s="1473">
        <f t="shared" si="11"/>
        <v>0</v>
      </c>
      <c r="K9" s="1473">
        <f t="shared" si="11"/>
        <v>0</v>
      </c>
      <c r="L9" s="1473">
        <f t="shared" si="11"/>
        <v>0</v>
      </c>
      <c r="M9" s="1473">
        <f t="shared" si="11"/>
        <v>0</v>
      </c>
      <c r="N9" s="1473">
        <f t="shared" si="11"/>
        <v>0</v>
      </c>
      <c r="O9" s="1473">
        <f t="shared" si="11"/>
        <v>0</v>
      </c>
      <c r="P9" s="1473">
        <f t="shared" si="11"/>
        <v>0</v>
      </c>
      <c r="Q9" s="1473">
        <f t="shared" si="11"/>
        <v>0</v>
      </c>
      <c r="R9" s="1473">
        <f t="shared" si="11"/>
        <v>0</v>
      </c>
      <c r="S9" s="1473">
        <f t="shared" si="11"/>
        <v>0</v>
      </c>
      <c r="T9" s="1473">
        <f t="shared" si="11"/>
        <v>0</v>
      </c>
      <c r="U9" s="1473">
        <f t="shared" si="11"/>
        <v>0</v>
      </c>
      <c r="V9" s="1488">
        <f t="shared" si="11"/>
        <v>0</v>
      </c>
      <c r="W9" s="826"/>
      <c r="X9" s="874">
        <f t="shared" si="9"/>
        <v>0</v>
      </c>
      <c r="Y9" s="874">
        <f>V6*D9</f>
        <v>0</v>
      </c>
      <c r="Z9" s="873"/>
      <c r="AA9" s="866"/>
      <c r="AB9" s="826"/>
      <c r="AC9" s="826"/>
      <c r="AD9" s="826"/>
      <c r="AE9" s="826"/>
      <c r="AF9" s="826"/>
      <c r="AG9" s="826"/>
      <c r="AH9" s="826"/>
      <c r="AI9" s="826"/>
      <c r="AJ9" s="826"/>
      <c r="AK9" s="826"/>
      <c r="AL9" s="826"/>
      <c r="AM9" s="826"/>
      <c r="AN9" s="826"/>
      <c r="AO9" s="826"/>
      <c r="AP9" s="826"/>
      <c r="AQ9" s="826"/>
      <c r="AR9" s="826"/>
      <c r="AS9" s="826"/>
      <c r="AT9" s="826"/>
      <c r="AU9" s="826"/>
      <c r="AV9" s="826"/>
      <c r="AW9" s="826"/>
      <c r="AX9" s="826"/>
      <c r="AY9" s="826"/>
      <c r="AZ9" s="826"/>
      <c r="BA9" s="826"/>
      <c r="BB9" s="826"/>
      <c r="BC9" s="826"/>
      <c r="BD9" s="826"/>
      <c r="BE9" s="826"/>
      <c r="BF9" s="826"/>
      <c r="BG9" s="826"/>
      <c r="BH9" s="826"/>
      <c r="BI9" s="826"/>
      <c r="BJ9" s="826"/>
      <c r="BK9" s="826"/>
      <c r="BL9" s="826"/>
      <c r="BM9" s="826"/>
      <c r="BN9" s="826"/>
      <c r="BO9" s="826"/>
      <c r="BP9" s="826"/>
      <c r="BQ9" s="826"/>
      <c r="BR9" s="826"/>
      <c r="BS9" s="826"/>
      <c r="BT9" s="826"/>
      <c r="BU9" s="826"/>
      <c r="BV9" s="826"/>
      <c r="BW9" s="826"/>
      <c r="BX9" s="826"/>
      <c r="BY9" s="826"/>
      <c r="BZ9" s="826"/>
      <c r="CA9" s="826"/>
      <c r="CB9" s="826"/>
      <c r="CC9" s="826"/>
      <c r="CD9" s="826"/>
      <c r="CE9" s="826"/>
      <c r="CF9" s="826"/>
      <c r="CG9" s="826"/>
      <c r="CH9" s="826"/>
      <c r="CI9" s="826"/>
      <c r="CJ9" s="826"/>
      <c r="CK9" s="826"/>
      <c r="CL9" s="826"/>
      <c r="CM9" s="826"/>
      <c r="CN9" s="826"/>
      <c r="CO9" s="826"/>
      <c r="CP9" s="826"/>
      <c r="CQ9" s="826"/>
      <c r="CR9" s="826"/>
      <c r="CS9" s="826"/>
      <c r="CT9" s="826"/>
      <c r="CU9" s="826"/>
      <c r="CV9" s="826"/>
      <c r="CW9" s="826"/>
      <c r="CX9" s="826"/>
      <c r="CY9" s="826"/>
      <c r="CZ9" s="826"/>
      <c r="DA9" s="826"/>
      <c r="DB9" s="826"/>
      <c r="DC9" s="826"/>
      <c r="DD9" s="826"/>
      <c r="DE9" s="826"/>
      <c r="DF9" s="826"/>
      <c r="DG9" s="826"/>
      <c r="DH9" s="826"/>
      <c r="DI9" s="826"/>
      <c r="DJ9" s="826"/>
      <c r="DK9" s="826"/>
      <c r="DL9" s="826"/>
      <c r="DM9" s="826"/>
      <c r="DN9" s="826"/>
      <c r="DO9" s="826"/>
      <c r="DP9" s="826"/>
      <c r="DQ9" s="826"/>
      <c r="DR9" s="826"/>
      <c r="DS9" s="826"/>
      <c r="DT9" s="826"/>
      <c r="DU9" s="826"/>
      <c r="DV9" s="826"/>
      <c r="DW9" s="826"/>
      <c r="DX9" s="826"/>
      <c r="DY9" s="826"/>
      <c r="DZ9" s="826"/>
      <c r="EA9" s="826"/>
      <c r="EB9" s="826"/>
      <c r="EC9" s="826"/>
      <c r="ED9" s="826"/>
      <c r="EE9" s="826"/>
      <c r="EF9" s="826"/>
      <c r="EG9" s="826"/>
      <c r="EH9" s="826"/>
      <c r="EI9" s="826"/>
      <c r="EJ9" s="826"/>
      <c r="EK9" s="826"/>
      <c r="EL9" s="826"/>
      <c r="EM9" s="826"/>
      <c r="EN9" s="826"/>
      <c r="EO9" s="826"/>
      <c r="EP9" s="826"/>
      <c r="EQ9" s="826"/>
      <c r="ER9" s="826"/>
      <c r="ES9" s="826"/>
      <c r="ET9" s="826"/>
      <c r="EU9" s="826"/>
      <c r="EV9" s="826"/>
      <c r="EW9" s="826"/>
      <c r="EX9" s="826"/>
      <c r="EY9" s="826"/>
      <c r="EZ9" s="826"/>
      <c r="FA9" s="826"/>
      <c r="FB9" s="826"/>
      <c r="FC9" s="826"/>
      <c r="FD9" s="826"/>
      <c r="FE9" s="826"/>
      <c r="FF9" s="826"/>
      <c r="FG9" s="826"/>
      <c r="FH9" s="826"/>
      <c r="FI9" s="826"/>
      <c r="FJ9" s="826"/>
      <c r="FK9" s="826"/>
      <c r="FL9" s="826"/>
      <c r="FM9" s="826"/>
      <c r="FN9" s="826"/>
      <c r="FO9" s="826"/>
      <c r="FP9" s="826"/>
      <c r="FQ9" s="826"/>
      <c r="FR9" s="826"/>
      <c r="FS9" s="826"/>
      <c r="FT9" s="826"/>
      <c r="FU9" s="826"/>
      <c r="FV9" s="826"/>
      <c r="FW9" s="826"/>
      <c r="FX9" s="826"/>
      <c r="FY9" s="826"/>
      <c r="FZ9" s="826"/>
      <c r="GA9" s="826"/>
      <c r="GB9" s="826"/>
      <c r="GC9" s="826"/>
      <c r="GD9" s="826"/>
      <c r="GE9" s="826"/>
      <c r="GF9" s="826"/>
      <c r="GG9" s="826"/>
      <c r="GH9" s="826"/>
      <c r="GI9" s="826"/>
      <c r="GJ9" s="826"/>
      <c r="GK9" s="826"/>
      <c r="GL9" s="826"/>
      <c r="GM9" s="826"/>
      <c r="GN9" s="826"/>
      <c r="GO9" s="826"/>
      <c r="GP9" s="826"/>
      <c r="GQ9" s="826"/>
      <c r="GR9" s="826"/>
      <c r="GS9" s="826"/>
      <c r="GT9" s="826"/>
      <c r="GU9" s="826"/>
      <c r="GV9" s="826"/>
      <c r="GW9" s="826"/>
      <c r="GX9" s="826"/>
      <c r="GY9" s="826"/>
      <c r="GZ9" s="826"/>
      <c r="HA9" s="826"/>
      <c r="HB9" s="826"/>
      <c r="HC9" s="826"/>
      <c r="HD9" s="826"/>
      <c r="HE9" s="826"/>
      <c r="HF9" s="826"/>
      <c r="HG9" s="826"/>
      <c r="HH9" s="826"/>
      <c r="HI9" s="826"/>
      <c r="HJ9" s="826"/>
      <c r="HK9" s="826"/>
      <c r="HL9" s="826"/>
      <c r="HM9" s="826"/>
      <c r="HN9" s="826"/>
      <c r="HO9" s="826"/>
      <c r="HP9" s="826"/>
      <c r="HQ9" s="826"/>
      <c r="HR9" s="826"/>
      <c r="HS9" s="826"/>
      <c r="HT9" s="826"/>
      <c r="HU9" s="826"/>
      <c r="HV9" s="826"/>
      <c r="HW9" s="826"/>
      <c r="HX9" s="826"/>
      <c r="HY9" s="826"/>
      <c r="HZ9" s="826"/>
      <c r="IA9" s="826"/>
      <c r="IB9" s="826"/>
      <c r="IC9" s="826"/>
      <c r="ID9" s="826"/>
      <c r="IE9" s="826"/>
      <c r="IF9" s="826"/>
      <c r="IG9" s="826"/>
      <c r="IH9" s="826"/>
      <c r="II9" s="826"/>
      <c r="IJ9" s="826"/>
      <c r="IK9" s="826"/>
      <c r="IL9" s="826"/>
      <c r="IM9" s="826"/>
      <c r="IN9" s="826"/>
      <c r="IO9" s="826"/>
      <c r="IP9" s="826"/>
      <c r="IQ9" s="826"/>
      <c r="IR9" s="826"/>
      <c r="IS9" s="826"/>
      <c r="IT9" s="826"/>
      <c r="IU9" s="826"/>
      <c r="IV9" s="826"/>
      <c r="IW9" s="826"/>
      <c r="IX9" s="826"/>
      <c r="IY9" s="826"/>
      <c r="IZ9" s="826"/>
      <c r="JA9" s="826"/>
      <c r="JB9" s="826"/>
      <c r="JC9" s="826"/>
      <c r="JD9" s="826"/>
      <c r="JE9" s="826"/>
      <c r="JF9" s="826"/>
      <c r="JG9" s="826"/>
      <c r="JH9" s="826"/>
      <c r="JI9" s="826"/>
      <c r="JJ9" s="826"/>
      <c r="JK9" s="826"/>
      <c r="JL9" s="826"/>
      <c r="JM9" s="826"/>
      <c r="JN9" s="826"/>
      <c r="JO9" s="826"/>
      <c r="JP9" s="826"/>
      <c r="JQ9" s="826"/>
      <c r="JR9" s="826"/>
      <c r="JS9" s="826"/>
      <c r="JT9" s="826"/>
      <c r="JU9" s="826"/>
      <c r="JV9" s="826"/>
      <c r="JW9" s="826"/>
      <c r="JX9" s="826"/>
      <c r="JY9" s="826"/>
      <c r="JZ9" s="826"/>
      <c r="KA9" s="826"/>
      <c r="KB9" s="826"/>
      <c r="KC9" s="826"/>
      <c r="KD9" s="826"/>
      <c r="KE9" s="826"/>
      <c r="KF9" s="826"/>
      <c r="KG9" s="826"/>
      <c r="KH9" s="826"/>
      <c r="KI9" s="826"/>
      <c r="KJ9" s="826"/>
      <c r="KK9" s="826"/>
      <c r="KL9" s="826"/>
      <c r="KM9" s="826"/>
      <c r="KN9" s="826"/>
      <c r="KO9" s="826"/>
      <c r="KP9" s="826"/>
      <c r="KQ9" s="826"/>
      <c r="KR9" s="826"/>
      <c r="KS9" s="826"/>
      <c r="KT9" s="826"/>
      <c r="KU9" s="826"/>
      <c r="KV9" s="826"/>
      <c r="KW9" s="826"/>
      <c r="KX9" s="826"/>
      <c r="KY9" s="826"/>
      <c r="KZ9" s="826"/>
      <c r="LA9" s="826"/>
      <c r="LB9" s="826"/>
      <c r="LC9" s="826"/>
      <c r="LD9" s="826"/>
      <c r="LE9" s="826"/>
      <c r="LF9" s="826"/>
      <c r="LG9" s="826"/>
      <c r="LH9" s="826"/>
      <c r="LI9" s="826"/>
      <c r="LJ9" s="826"/>
      <c r="LK9" s="826"/>
      <c r="LL9" s="826"/>
      <c r="LM9" s="826"/>
      <c r="LN9" s="826"/>
      <c r="LO9" s="826"/>
      <c r="LP9" s="826"/>
      <c r="LQ9" s="826"/>
      <c r="LR9" s="826"/>
      <c r="LS9" s="826"/>
      <c r="LT9" s="826"/>
      <c r="LU9" s="826"/>
      <c r="LV9" s="826"/>
      <c r="LW9" s="826"/>
      <c r="LX9" s="826"/>
      <c r="LY9" s="826"/>
      <c r="LZ9" s="826"/>
      <c r="MA9" s="826"/>
      <c r="MB9" s="826"/>
      <c r="MC9" s="826"/>
      <c r="MD9" s="826"/>
      <c r="ME9" s="826"/>
      <c r="MF9" s="826"/>
      <c r="MG9" s="826"/>
      <c r="MH9" s="826"/>
      <c r="MI9" s="826"/>
      <c r="MJ9" s="826"/>
      <c r="MK9" s="826"/>
      <c r="ML9" s="826"/>
      <c r="MM9" s="826"/>
      <c r="MN9" s="826"/>
      <c r="MO9" s="826"/>
      <c r="MP9" s="826"/>
      <c r="MQ9" s="826"/>
      <c r="MR9" s="826"/>
      <c r="MS9" s="826"/>
      <c r="MT9" s="826"/>
      <c r="MU9" s="826"/>
      <c r="MV9" s="826"/>
      <c r="MW9" s="826"/>
      <c r="MX9" s="826"/>
      <c r="MY9" s="826"/>
      <c r="MZ9" s="826"/>
      <c r="NA9" s="826"/>
      <c r="NB9" s="826"/>
      <c r="NC9" s="826"/>
      <c r="ND9" s="826"/>
      <c r="NE9" s="826"/>
      <c r="NF9" s="826"/>
      <c r="NG9" s="826"/>
      <c r="NH9" s="826"/>
      <c r="NI9" s="826"/>
      <c r="NJ9" s="826"/>
      <c r="NK9" s="826"/>
      <c r="NL9" s="826"/>
      <c r="NM9" s="826"/>
      <c r="NN9" s="826"/>
      <c r="NO9" s="826"/>
      <c r="NP9" s="826"/>
      <c r="NQ9" s="826"/>
      <c r="NR9" s="826"/>
      <c r="NS9" s="826"/>
      <c r="NT9" s="826"/>
      <c r="NU9" s="826"/>
      <c r="NV9" s="826"/>
      <c r="NW9" s="826"/>
      <c r="NX9" s="826"/>
      <c r="NY9" s="826"/>
      <c r="NZ9" s="826"/>
      <c r="OA9" s="826"/>
      <c r="OB9" s="826"/>
      <c r="OC9" s="826"/>
      <c r="OD9" s="826"/>
      <c r="OE9" s="826"/>
      <c r="OF9" s="826"/>
      <c r="OG9" s="826"/>
      <c r="OH9" s="826"/>
      <c r="OI9" s="826"/>
      <c r="OJ9" s="826"/>
      <c r="OK9" s="826"/>
      <c r="OL9" s="826"/>
      <c r="OM9" s="826"/>
      <c r="ON9" s="826"/>
      <c r="OO9" s="826"/>
      <c r="OP9" s="826"/>
      <c r="OQ9" s="826"/>
      <c r="OR9" s="826"/>
      <c r="OS9" s="826"/>
      <c r="OT9" s="826"/>
      <c r="OU9" s="826"/>
      <c r="OV9" s="826"/>
      <c r="OW9" s="826"/>
      <c r="OX9" s="826"/>
      <c r="OY9" s="826"/>
      <c r="OZ9" s="826"/>
      <c r="PA9" s="826"/>
      <c r="PB9" s="826"/>
      <c r="PC9" s="826"/>
      <c r="PD9" s="826"/>
      <c r="PE9" s="826"/>
      <c r="PF9" s="826"/>
      <c r="PG9" s="826"/>
      <c r="PH9" s="826"/>
      <c r="PI9" s="826"/>
      <c r="PJ9" s="826"/>
      <c r="PK9" s="826"/>
      <c r="PL9" s="826"/>
      <c r="PM9" s="826"/>
      <c r="PN9" s="826"/>
      <c r="PO9" s="826"/>
      <c r="PP9" s="826"/>
      <c r="PQ9" s="826"/>
      <c r="PR9" s="826"/>
      <c r="PS9" s="826"/>
      <c r="PT9" s="826"/>
      <c r="PU9" s="826"/>
      <c r="PV9" s="826"/>
      <c r="PW9" s="826"/>
      <c r="PX9" s="826"/>
      <c r="PY9" s="826"/>
      <c r="PZ9" s="826"/>
      <c r="QA9" s="826"/>
      <c r="QB9" s="826"/>
      <c r="QC9" s="826"/>
      <c r="QD9" s="826"/>
      <c r="QE9" s="826"/>
      <c r="QF9" s="826"/>
      <c r="QG9" s="826"/>
      <c r="QH9" s="826"/>
      <c r="QI9" s="826"/>
      <c r="QJ9" s="826"/>
      <c r="QK9" s="826"/>
      <c r="QL9" s="826"/>
      <c r="QM9" s="826"/>
      <c r="QN9" s="826"/>
      <c r="QO9" s="826"/>
      <c r="QP9" s="826"/>
      <c r="QQ9" s="826"/>
      <c r="QR9" s="826"/>
      <c r="QS9" s="826"/>
      <c r="QT9" s="826"/>
      <c r="QU9" s="826"/>
      <c r="QV9" s="826"/>
      <c r="QW9" s="826"/>
      <c r="QX9" s="826"/>
      <c r="QY9" s="826"/>
      <c r="QZ9" s="826"/>
      <c r="RA9" s="826"/>
      <c r="RB9" s="826"/>
      <c r="RC9" s="826"/>
      <c r="RD9" s="826"/>
      <c r="RE9" s="826"/>
      <c r="RF9" s="826"/>
      <c r="RG9" s="826"/>
      <c r="RH9" s="826"/>
      <c r="RI9" s="826"/>
      <c r="RJ9" s="826"/>
      <c r="RK9" s="826"/>
      <c r="RL9" s="826"/>
      <c r="RM9" s="826"/>
      <c r="RN9" s="826"/>
      <c r="RO9" s="826"/>
      <c r="RP9" s="826"/>
      <c r="RQ9" s="826"/>
      <c r="RR9" s="826"/>
      <c r="RS9" s="826"/>
      <c r="RT9" s="826"/>
      <c r="RU9" s="826"/>
      <c r="RV9" s="826"/>
      <c r="RW9" s="826"/>
      <c r="RX9" s="826"/>
      <c r="RY9" s="826"/>
      <c r="RZ9" s="826"/>
      <c r="SA9" s="826"/>
      <c r="SB9" s="826"/>
      <c r="SC9" s="826"/>
      <c r="SD9" s="826"/>
      <c r="SE9" s="826"/>
      <c r="SF9" s="826"/>
      <c r="SG9" s="826"/>
      <c r="SH9" s="826"/>
      <c r="SI9" s="826"/>
      <c r="SJ9" s="826"/>
      <c r="SK9" s="826"/>
      <c r="SL9" s="826"/>
      <c r="SM9" s="826"/>
      <c r="SN9" s="826"/>
      <c r="SO9" s="826"/>
      <c r="SP9" s="826"/>
      <c r="SQ9" s="826"/>
      <c r="SR9" s="826"/>
      <c r="SS9" s="826"/>
      <c r="ST9" s="826"/>
      <c r="SU9" s="826"/>
      <c r="SV9" s="826"/>
      <c r="SW9" s="826"/>
      <c r="SX9" s="826"/>
      <c r="SY9" s="826"/>
      <c r="SZ9" s="826"/>
      <c r="TA9" s="826"/>
      <c r="TB9" s="826"/>
      <c r="TC9" s="826"/>
      <c r="TD9" s="826"/>
      <c r="TE9" s="826"/>
      <c r="TF9" s="826"/>
      <c r="TG9" s="826"/>
      <c r="TH9" s="826"/>
      <c r="TI9" s="826"/>
      <c r="TJ9" s="826"/>
      <c r="TK9" s="826"/>
      <c r="TL9" s="826"/>
      <c r="TM9" s="826"/>
      <c r="TN9" s="826"/>
      <c r="TO9" s="826"/>
      <c r="TP9" s="826"/>
      <c r="TQ9" s="826"/>
      <c r="TR9" s="826"/>
      <c r="TS9" s="826"/>
      <c r="TT9" s="826"/>
      <c r="TU9" s="826"/>
      <c r="TV9" s="826"/>
      <c r="TW9" s="826"/>
      <c r="TX9" s="826"/>
      <c r="TY9" s="826"/>
      <c r="TZ9" s="826"/>
      <c r="UA9" s="826"/>
      <c r="UB9" s="826"/>
      <c r="UC9" s="826"/>
      <c r="UD9" s="826"/>
      <c r="UE9" s="826"/>
      <c r="UF9" s="826"/>
      <c r="UG9" s="826"/>
      <c r="UH9" s="826"/>
      <c r="UI9" s="826"/>
      <c r="UJ9" s="826"/>
      <c r="UK9" s="826"/>
      <c r="UL9" s="826"/>
      <c r="UM9" s="826"/>
      <c r="UN9" s="826"/>
      <c r="UO9" s="826"/>
      <c r="UP9" s="826"/>
      <c r="UQ9" s="826"/>
      <c r="UR9" s="826"/>
      <c r="US9" s="826"/>
      <c r="UT9" s="826"/>
      <c r="UU9" s="826"/>
      <c r="UV9" s="826"/>
      <c r="UW9" s="826"/>
      <c r="UX9" s="826"/>
      <c r="UY9" s="826"/>
      <c r="UZ9" s="826"/>
      <c r="VA9" s="826"/>
      <c r="VB9" s="826"/>
      <c r="VC9" s="826"/>
      <c r="VD9" s="826"/>
      <c r="VE9" s="826"/>
      <c r="VF9" s="826"/>
      <c r="VG9" s="826"/>
      <c r="VH9" s="826"/>
      <c r="VI9" s="826"/>
      <c r="VJ9" s="826"/>
      <c r="VK9" s="826"/>
      <c r="VL9" s="826"/>
      <c r="VM9" s="826"/>
      <c r="VN9" s="826"/>
      <c r="VO9" s="826"/>
      <c r="VP9" s="826"/>
      <c r="VQ9" s="826"/>
      <c r="VR9" s="826"/>
      <c r="VS9" s="826"/>
      <c r="VT9" s="826"/>
      <c r="VU9" s="826"/>
      <c r="VV9" s="826"/>
      <c r="VW9" s="826"/>
      <c r="VX9" s="826"/>
      <c r="VY9" s="826"/>
      <c r="VZ9" s="826"/>
      <c r="WA9" s="826"/>
      <c r="WB9" s="826"/>
      <c r="WC9" s="826"/>
      <c r="WD9" s="826"/>
      <c r="WE9" s="826"/>
      <c r="WF9" s="826"/>
      <c r="WG9" s="826"/>
      <c r="WH9" s="826"/>
      <c r="WI9" s="826"/>
      <c r="WJ9" s="826"/>
      <c r="WK9" s="826"/>
      <c r="WL9" s="826"/>
      <c r="WM9" s="826"/>
      <c r="WN9" s="826"/>
      <c r="WO9" s="826"/>
      <c r="WP9" s="826"/>
      <c r="WQ9" s="826"/>
      <c r="WR9" s="826"/>
      <c r="WS9" s="826"/>
      <c r="WT9" s="826"/>
      <c r="WU9" s="826"/>
      <c r="WV9" s="826"/>
      <c r="WW9" s="826"/>
      <c r="WX9" s="826"/>
      <c r="WY9" s="826"/>
      <c r="WZ9" s="826"/>
      <c r="XA9" s="826"/>
      <c r="XB9" s="826"/>
      <c r="XC9" s="826"/>
      <c r="XD9" s="826"/>
      <c r="XE9" s="826"/>
      <c r="XF9" s="826"/>
      <c r="XG9" s="826"/>
      <c r="XH9" s="826"/>
      <c r="XI9" s="826"/>
      <c r="XJ9" s="826"/>
      <c r="XK9" s="826"/>
      <c r="XL9" s="826"/>
      <c r="XM9" s="826"/>
      <c r="XN9" s="826"/>
      <c r="XO9" s="826"/>
      <c r="XP9" s="826"/>
      <c r="XQ9" s="826"/>
      <c r="XR9" s="826"/>
      <c r="XS9" s="826"/>
      <c r="XT9" s="826"/>
      <c r="XU9" s="826"/>
      <c r="XV9" s="826"/>
      <c r="XW9" s="826"/>
      <c r="XX9" s="826"/>
      <c r="XY9" s="826"/>
      <c r="XZ9" s="826"/>
      <c r="YA9" s="826"/>
      <c r="YB9" s="826"/>
      <c r="YC9" s="826"/>
      <c r="YD9" s="826"/>
      <c r="YE9" s="826"/>
      <c r="YF9" s="826"/>
      <c r="YG9" s="826"/>
      <c r="YH9" s="826"/>
      <c r="YI9" s="826"/>
      <c r="YJ9" s="826"/>
      <c r="YK9" s="826"/>
      <c r="YL9" s="826"/>
      <c r="YM9" s="826"/>
      <c r="YN9" s="826"/>
      <c r="YO9" s="826"/>
      <c r="YP9" s="826"/>
      <c r="YQ9" s="826"/>
      <c r="YR9" s="826"/>
      <c r="YS9" s="826"/>
      <c r="YT9" s="826"/>
      <c r="YU9" s="826"/>
      <c r="YV9" s="826"/>
      <c r="YW9" s="826"/>
      <c r="YX9" s="826"/>
      <c r="YY9" s="826"/>
      <c r="YZ9" s="826"/>
      <c r="ZA9" s="826"/>
      <c r="ZB9" s="826"/>
      <c r="ZC9" s="826"/>
      <c r="ZD9" s="826"/>
      <c r="ZE9" s="826"/>
      <c r="ZF9" s="826"/>
      <c r="ZG9" s="826"/>
      <c r="ZH9" s="826"/>
      <c r="ZI9" s="826"/>
      <c r="ZJ9" s="826"/>
      <c r="ZK9" s="826"/>
      <c r="ZL9" s="826"/>
      <c r="ZM9" s="826"/>
      <c r="ZN9" s="826"/>
      <c r="ZO9" s="826"/>
      <c r="ZP9" s="826"/>
      <c r="ZQ9" s="826"/>
      <c r="ZR9" s="826"/>
      <c r="ZS9" s="826"/>
      <c r="ZT9" s="826"/>
      <c r="ZU9" s="826"/>
      <c r="ZV9" s="826"/>
      <c r="ZW9" s="826"/>
      <c r="ZX9" s="826"/>
      <c r="ZY9" s="826"/>
      <c r="ZZ9" s="826"/>
      <c r="AAA9" s="826"/>
      <c r="AAB9" s="826"/>
      <c r="AAC9" s="826"/>
      <c r="AAD9" s="826"/>
      <c r="AAE9" s="826"/>
      <c r="AAF9" s="826"/>
      <c r="AAG9" s="826"/>
      <c r="AAH9" s="826"/>
      <c r="AAI9" s="826"/>
      <c r="AAJ9" s="826"/>
      <c r="AAK9" s="826"/>
      <c r="AAL9" s="826"/>
      <c r="AAM9" s="826"/>
      <c r="AAN9" s="826"/>
      <c r="AAO9" s="826"/>
      <c r="AAP9" s="826"/>
      <c r="AAQ9" s="826"/>
      <c r="AAR9" s="826"/>
      <c r="AAS9" s="826"/>
      <c r="AAT9" s="826"/>
      <c r="AAU9" s="826"/>
      <c r="AAV9" s="826"/>
      <c r="AAW9" s="826"/>
      <c r="AAX9" s="826"/>
      <c r="AAY9" s="826"/>
      <c r="AAZ9" s="826"/>
      <c r="ABA9" s="826"/>
      <c r="ABB9" s="826"/>
      <c r="ABC9" s="826"/>
      <c r="ABD9" s="826"/>
      <c r="ABE9" s="826"/>
      <c r="ABF9" s="826"/>
      <c r="ABG9" s="826"/>
      <c r="ABH9" s="826"/>
      <c r="ABI9" s="826"/>
      <c r="ABJ9" s="826"/>
      <c r="ABK9" s="826"/>
      <c r="ABL9" s="826"/>
      <c r="ABM9" s="826"/>
      <c r="ABN9" s="826"/>
      <c r="ABO9" s="826"/>
      <c r="ABP9" s="826"/>
      <c r="ABQ9" s="826"/>
      <c r="ABR9" s="826"/>
      <c r="ABS9" s="826"/>
      <c r="ABT9" s="826"/>
      <c r="ABU9" s="826"/>
      <c r="ABV9" s="826"/>
      <c r="ABW9" s="826"/>
      <c r="ABX9" s="826"/>
      <c r="ABY9" s="826"/>
      <c r="ABZ9" s="826"/>
      <c r="ACA9" s="826"/>
      <c r="ACB9" s="826"/>
      <c r="ACC9" s="826"/>
      <c r="ACD9" s="826"/>
      <c r="ACE9" s="826"/>
      <c r="ACF9" s="826"/>
      <c r="ACG9" s="826"/>
      <c r="ACH9" s="826"/>
      <c r="ACI9" s="826"/>
      <c r="ACJ9" s="826"/>
      <c r="ACK9" s="826"/>
      <c r="ACL9" s="826"/>
      <c r="ACM9" s="826"/>
      <c r="ACN9" s="826"/>
      <c r="ACO9" s="826"/>
      <c r="ACP9" s="826"/>
      <c r="ACQ9" s="826"/>
      <c r="ACR9" s="826"/>
      <c r="ACS9" s="826"/>
      <c r="ACT9" s="826"/>
      <c r="ACU9" s="826"/>
      <c r="ACV9" s="826"/>
      <c r="ACW9" s="826"/>
      <c r="ACX9" s="826"/>
      <c r="ACY9" s="826"/>
      <c r="ACZ9" s="826"/>
      <c r="ADA9" s="826"/>
      <c r="ADB9" s="826"/>
      <c r="ADC9" s="826"/>
      <c r="ADD9" s="826"/>
      <c r="ADE9" s="826"/>
      <c r="ADF9" s="826"/>
      <c r="ADG9" s="826"/>
      <c r="ADH9" s="826"/>
      <c r="ADI9" s="826"/>
      <c r="ADJ9" s="826"/>
      <c r="ADK9" s="826"/>
      <c r="ADL9" s="826"/>
      <c r="ADM9" s="826"/>
      <c r="ADN9" s="826"/>
      <c r="ADO9" s="826"/>
      <c r="ADP9" s="826"/>
      <c r="ADQ9" s="826"/>
      <c r="ADR9" s="826"/>
      <c r="ADS9" s="826"/>
      <c r="ADT9" s="826"/>
      <c r="ADU9" s="826"/>
      <c r="ADV9" s="826"/>
      <c r="ADW9" s="826"/>
      <c r="ADX9" s="826"/>
      <c r="ADY9" s="826"/>
      <c r="ADZ9" s="826"/>
      <c r="AEA9" s="826"/>
      <c r="AEB9" s="826"/>
      <c r="AEC9" s="826"/>
      <c r="AED9" s="826"/>
      <c r="AEE9" s="826"/>
      <c r="AEF9" s="826"/>
      <c r="AEG9" s="826"/>
      <c r="AEH9" s="826"/>
      <c r="AEI9" s="826"/>
      <c r="AEJ9" s="826"/>
      <c r="AEK9" s="826"/>
      <c r="AEL9" s="826"/>
      <c r="AEM9" s="826"/>
      <c r="AEN9" s="826"/>
      <c r="AEO9" s="826"/>
      <c r="AEP9" s="826"/>
      <c r="AEQ9" s="826"/>
      <c r="AER9" s="826"/>
      <c r="AES9" s="826"/>
      <c r="AET9" s="826"/>
      <c r="AEU9" s="826"/>
      <c r="AEV9" s="826"/>
      <c r="AEW9" s="826"/>
      <c r="AEX9" s="826"/>
      <c r="AEY9" s="826"/>
      <c r="AEZ9" s="826"/>
      <c r="AFA9" s="826"/>
      <c r="AFB9" s="826"/>
      <c r="AFC9" s="826"/>
      <c r="AFD9" s="826"/>
      <c r="AFE9" s="826"/>
      <c r="AFF9" s="826"/>
      <c r="AFG9" s="826"/>
      <c r="AFH9" s="826"/>
      <c r="AFI9" s="826"/>
      <c r="AFJ9" s="826"/>
      <c r="AFK9" s="826"/>
      <c r="AFL9" s="826"/>
      <c r="AFM9" s="826"/>
      <c r="AFN9" s="826"/>
      <c r="AFO9" s="826"/>
      <c r="AFP9" s="826"/>
      <c r="AFQ9" s="826"/>
      <c r="AFR9" s="826"/>
      <c r="AFS9" s="826"/>
      <c r="AFT9" s="826"/>
      <c r="AFU9" s="826"/>
      <c r="AFV9" s="826"/>
      <c r="AFW9" s="826"/>
      <c r="AFX9" s="826"/>
      <c r="AFY9" s="826"/>
      <c r="AFZ9" s="826"/>
      <c r="AGA9" s="826"/>
      <c r="AGB9" s="826"/>
      <c r="AGC9" s="826"/>
      <c r="AGD9" s="826"/>
      <c r="AGE9" s="826"/>
      <c r="AGF9" s="826"/>
      <c r="AGG9" s="826"/>
      <c r="AGH9" s="826"/>
      <c r="AGI9" s="826"/>
      <c r="AGJ9" s="826"/>
      <c r="AGK9" s="826"/>
      <c r="AGL9" s="826"/>
      <c r="AGM9" s="826"/>
      <c r="AGN9" s="826"/>
      <c r="AGO9" s="826"/>
      <c r="AGP9" s="826"/>
      <c r="AGQ9" s="826"/>
      <c r="AGR9" s="826"/>
      <c r="AGS9" s="826"/>
      <c r="AGT9" s="826"/>
      <c r="AGU9" s="826"/>
      <c r="AGV9" s="826"/>
      <c r="AGW9" s="826"/>
      <c r="AGX9" s="826"/>
      <c r="AGY9" s="826"/>
      <c r="AGZ9" s="826"/>
      <c r="AHA9" s="826"/>
      <c r="AHB9" s="826"/>
      <c r="AHC9" s="826"/>
      <c r="AHD9" s="826"/>
      <c r="AHE9" s="826"/>
      <c r="AHF9" s="826"/>
      <c r="AHG9" s="826"/>
      <c r="AHH9" s="826"/>
      <c r="AHI9" s="826"/>
      <c r="AHJ9" s="826"/>
      <c r="AHK9" s="826"/>
      <c r="AHL9" s="826"/>
      <c r="AHM9" s="826"/>
      <c r="AHN9" s="826"/>
      <c r="AHO9" s="826"/>
      <c r="AHP9" s="826"/>
      <c r="AHQ9" s="826"/>
      <c r="AHR9" s="826"/>
      <c r="AHS9" s="826"/>
      <c r="AHT9" s="826"/>
      <c r="AHU9" s="826"/>
      <c r="AHV9" s="826"/>
      <c r="AHW9" s="826"/>
      <c r="AHX9" s="826"/>
      <c r="AHY9" s="826"/>
      <c r="AHZ9" s="826"/>
      <c r="AIA9" s="826"/>
      <c r="AIB9" s="826"/>
      <c r="AIC9" s="826"/>
      <c r="AID9" s="826"/>
      <c r="AIE9" s="826"/>
      <c r="AIF9" s="826"/>
      <c r="AIG9" s="826"/>
      <c r="AIH9" s="826"/>
      <c r="AII9" s="826"/>
      <c r="AIJ9" s="826"/>
      <c r="AIK9" s="826"/>
      <c r="AIL9" s="826"/>
      <c r="AIM9" s="826"/>
      <c r="AIN9" s="826"/>
      <c r="AIO9" s="826"/>
      <c r="AIP9" s="826"/>
      <c r="AIQ9" s="826"/>
      <c r="AIR9" s="826"/>
      <c r="AIS9" s="826"/>
      <c r="AIT9" s="826"/>
      <c r="AIU9" s="826"/>
      <c r="AIV9" s="826"/>
      <c r="AIW9" s="826"/>
      <c r="AIX9" s="826"/>
      <c r="AIY9" s="826"/>
      <c r="AIZ9" s="826"/>
      <c r="AJA9" s="826"/>
      <c r="AJB9" s="826"/>
      <c r="AJC9" s="826"/>
      <c r="AJD9" s="826"/>
      <c r="AJE9" s="826"/>
      <c r="AJF9" s="826"/>
      <c r="AJG9" s="826"/>
      <c r="AJH9" s="826"/>
      <c r="AJI9" s="826"/>
      <c r="AJJ9" s="826"/>
      <c r="AJK9" s="826"/>
      <c r="AJL9" s="826"/>
      <c r="AJM9" s="826"/>
      <c r="AJN9" s="826"/>
      <c r="AJO9" s="826"/>
      <c r="AJP9" s="826"/>
      <c r="AJQ9" s="826"/>
      <c r="AJR9" s="826"/>
      <c r="AJS9" s="826"/>
      <c r="AJT9" s="826"/>
      <c r="AJU9" s="826"/>
      <c r="AJV9" s="826"/>
      <c r="AJW9" s="826"/>
      <c r="AJX9" s="826"/>
      <c r="AJY9" s="826"/>
      <c r="AJZ9" s="826"/>
      <c r="AKA9" s="826"/>
      <c r="AKB9" s="826"/>
      <c r="AKC9" s="826"/>
      <c r="AKD9" s="826"/>
      <c r="AKE9" s="826"/>
      <c r="AKF9" s="826"/>
      <c r="AKG9" s="826"/>
      <c r="AKH9" s="826"/>
      <c r="AKI9" s="826"/>
      <c r="AKJ9" s="826"/>
      <c r="AKK9" s="826"/>
      <c r="AKL9" s="826"/>
      <c r="AKM9" s="826"/>
      <c r="AKN9" s="826"/>
      <c r="AKO9" s="826"/>
      <c r="AKP9" s="826"/>
      <c r="AKQ9" s="826"/>
      <c r="AKR9" s="826"/>
      <c r="AKS9" s="826"/>
      <c r="AKT9" s="826"/>
      <c r="AKU9" s="826"/>
      <c r="AKV9" s="826"/>
      <c r="AKW9" s="826"/>
      <c r="AKX9" s="826"/>
      <c r="AKY9" s="826"/>
      <c r="AKZ9" s="826"/>
      <c r="ALA9" s="826"/>
      <c r="ALB9" s="826"/>
      <c r="ALC9" s="826"/>
      <c r="ALD9" s="826"/>
      <c r="ALE9" s="826"/>
      <c r="ALF9" s="826"/>
      <c r="ALG9" s="826"/>
      <c r="ALH9" s="826"/>
      <c r="ALI9" s="826"/>
      <c r="ALJ9" s="826"/>
      <c r="ALK9" s="826"/>
      <c r="ALL9" s="826"/>
      <c r="ALM9" s="826"/>
      <c r="ALN9" s="826"/>
      <c r="ALO9" s="826"/>
      <c r="ALP9" s="826"/>
      <c r="ALQ9" s="826"/>
      <c r="ALR9" s="826"/>
      <c r="ALS9" s="826"/>
      <c r="ALT9" s="826"/>
      <c r="ALU9" s="826"/>
      <c r="ALV9" s="826"/>
      <c r="ALW9" s="826"/>
      <c r="ALX9" s="826"/>
      <c r="ALY9" s="826"/>
      <c r="ALZ9" s="826"/>
      <c r="AMA9" s="826"/>
      <c r="AMB9" s="826"/>
      <c r="AMC9" s="826"/>
      <c r="AMD9" s="826"/>
      <c r="AME9" s="826"/>
      <c r="AMF9" s="826"/>
      <c r="AMG9" s="826"/>
      <c r="AMH9" s="826"/>
      <c r="AMI9" s="826"/>
      <c r="AMJ9" s="826"/>
      <c r="AMK9" s="826"/>
      <c r="AML9" s="826"/>
      <c r="AMM9" s="826"/>
      <c r="AMN9" s="826"/>
      <c r="AMO9" s="826"/>
      <c r="AMP9" s="826"/>
      <c r="AMQ9" s="826"/>
      <c r="AMR9" s="826"/>
      <c r="AMS9" s="826"/>
      <c r="AMT9" s="826"/>
      <c r="AMU9" s="826"/>
      <c r="AMV9" s="826"/>
      <c r="AMW9" s="826"/>
      <c r="AMX9" s="826"/>
      <c r="AMY9" s="826"/>
      <c r="AMZ9" s="826"/>
      <c r="ANA9" s="826"/>
      <c r="ANB9" s="826"/>
      <c r="ANC9" s="826"/>
      <c r="AND9" s="826"/>
      <c r="ANE9" s="826"/>
      <c r="ANF9" s="826"/>
      <c r="ANG9" s="826"/>
      <c r="ANH9" s="826"/>
      <c r="ANI9" s="826"/>
      <c r="ANJ9" s="826"/>
      <c r="ANK9" s="826"/>
      <c r="ANL9" s="826"/>
      <c r="ANM9" s="826"/>
      <c r="ANN9" s="826"/>
      <c r="ANO9" s="826"/>
      <c r="ANP9" s="826"/>
      <c r="ANQ9" s="826"/>
      <c r="ANR9" s="826"/>
      <c r="ANS9" s="826"/>
      <c r="ANT9" s="826"/>
      <c r="ANU9" s="826"/>
      <c r="ANV9" s="826"/>
      <c r="ANW9" s="826"/>
      <c r="ANX9" s="826"/>
      <c r="ANY9" s="826"/>
      <c r="ANZ9" s="826"/>
      <c r="AOA9" s="826"/>
      <c r="AOB9" s="826"/>
      <c r="AOC9" s="826"/>
      <c r="AOD9" s="826"/>
      <c r="AOE9" s="826"/>
      <c r="AOF9" s="826"/>
      <c r="AOG9" s="826"/>
      <c r="AOH9" s="826"/>
      <c r="AOI9" s="826"/>
      <c r="AOJ9" s="826"/>
      <c r="AOK9" s="826"/>
      <c r="AOL9" s="826"/>
      <c r="AOM9" s="826"/>
      <c r="AON9" s="826"/>
      <c r="AOO9" s="826"/>
      <c r="AOP9" s="826"/>
      <c r="AOQ9" s="826"/>
      <c r="AOR9" s="826"/>
      <c r="AOS9" s="826"/>
      <c r="AOT9" s="826"/>
      <c r="AOU9" s="826"/>
      <c r="AOV9" s="826"/>
      <c r="AOW9" s="826"/>
      <c r="AOX9" s="826"/>
      <c r="AOY9" s="826"/>
      <c r="AOZ9" s="826"/>
      <c r="APA9" s="826"/>
      <c r="APB9" s="826"/>
      <c r="APC9" s="826"/>
      <c r="APD9" s="826"/>
      <c r="APE9" s="826"/>
      <c r="APF9" s="826"/>
      <c r="APG9" s="826"/>
      <c r="APH9" s="826"/>
      <c r="API9" s="826"/>
      <c r="APJ9" s="826"/>
      <c r="APK9" s="826"/>
      <c r="APL9" s="826"/>
      <c r="APM9" s="826"/>
      <c r="APN9" s="826"/>
      <c r="APO9" s="826"/>
      <c r="APP9" s="826"/>
      <c r="APQ9" s="826"/>
      <c r="APR9" s="826"/>
      <c r="APS9" s="826"/>
      <c r="APT9" s="826"/>
      <c r="APU9" s="826"/>
      <c r="APV9" s="826"/>
      <c r="APW9" s="826"/>
      <c r="APX9" s="826"/>
      <c r="APY9" s="826"/>
      <c r="APZ9" s="826"/>
      <c r="AQA9" s="826"/>
      <c r="AQB9" s="826"/>
      <c r="AQC9" s="826"/>
      <c r="AQD9" s="826"/>
      <c r="AQE9" s="826"/>
      <c r="AQF9" s="826"/>
      <c r="AQG9" s="826"/>
      <c r="AQH9" s="826"/>
      <c r="AQI9" s="826"/>
      <c r="AQJ9" s="826"/>
      <c r="AQK9" s="826"/>
      <c r="AQL9" s="826"/>
      <c r="AQM9" s="826"/>
      <c r="AQN9" s="826"/>
      <c r="AQO9" s="826"/>
      <c r="AQP9" s="826"/>
      <c r="AQQ9" s="826"/>
      <c r="AQR9" s="826"/>
      <c r="AQS9" s="826"/>
      <c r="AQT9" s="826"/>
      <c r="AQU9" s="826"/>
      <c r="AQV9" s="826"/>
      <c r="AQW9" s="826"/>
      <c r="AQX9" s="826"/>
      <c r="AQY9" s="826"/>
      <c r="AQZ9" s="826"/>
      <c r="ARA9" s="826"/>
      <c r="ARB9" s="826"/>
      <c r="ARC9" s="826"/>
      <c r="ARD9" s="826"/>
      <c r="ARE9" s="826"/>
      <c r="ARF9" s="826"/>
      <c r="ARG9" s="826"/>
      <c r="ARH9" s="826"/>
      <c r="ARI9" s="826"/>
      <c r="ARJ9" s="826"/>
      <c r="ARK9" s="826"/>
      <c r="ARL9" s="826"/>
      <c r="ARM9" s="826"/>
      <c r="ARN9" s="826"/>
      <c r="ARO9" s="826"/>
      <c r="ARP9" s="826"/>
      <c r="ARQ9" s="826"/>
      <c r="ARR9" s="826"/>
      <c r="ARS9" s="826"/>
      <c r="ART9" s="826"/>
      <c r="ARU9" s="826"/>
      <c r="ARV9" s="826"/>
      <c r="ARW9" s="826"/>
      <c r="ARX9" s="826"/>
      <c r="ARY9" s="826"/>
      <c r="ARZ9" s="826"/>
      <c r="ASA9" s="826"/>
      <c r="ASB9" s="826"/>
      <c r="ASC9" s="826"/>
      <c r="ASD9" s="826"/>
      <c r="ASE9" s="826"/>
      <c r="ASF9" s="826"/>
      <c r="ASG9" s="826"/>
      <c r="ASH9" s="826"/>
      <c r="ASI9" s="826"/>
      <c r="ASJ9" s="826"/>
      <c r="ASK9" s="826"/>
      <c r="ASL9" s="826"/>
      <c r="ASM9" s="826"/>
      <c r="ASN9" s="826"/>
      <c r="ASO9" s="826"/>
      <c r="ASP9" s="826"/>
      <c r="ASQ9" s="826"/>
      <c r="ASR9" s="826"/>
      <c r="ASS9" s="826"/>
      <c r="AST9" s="826"/>
      <c r="ASU9" s="826"/>
      <c r="ASV9" s="826"/>
      <c r="ASW9" s="826"/>
      <c r="ASX9" s="826"/>
      <c r="ASY9" s="826"/>
      <c r="ASZ9" s="826"/>
      <c r="ATA9" s="826"/>
      <c r="ATB9" s="826"/>
      <c r="ATC9" s="826"/>
      <c r="ATD9" s="826"/>
      <c r="ATE9" s="826"/>
      <c r="ATF9" s="826"/>
      <c r="ATG9" s="826"/>
      <c r="ATH9" s="826"/>
      <c r="ATI9" s="826"/>
      <c r="ATJ9" s="826"/>
      <c r="ATK9" s="826"/>
      <c r="ATL9" s="826"/>
      <c r="ATM9" s="826"/>
      <c r="ATN9" s="826"/>
      <c r="ATO9" s="826"/>
      <c r="ATP9" s="826"/>
      <c r="ATQ9" s="826"/>
      <c r="ATR9" s="826"/>
      <c r="ATS9" s="826"/>
      <c r="ATT9" s="826"/>
      <c r="ATU9" s="826"/>
      <c r="ATV9" s="826"/>
      <c r="ATW9" s="826"/>
      <c r="ATX9" s="826"/>
      <c r="ATY9" s="826"/>
      <c r="ATZ9" s="826"/>
      <c r="AUA9" s="826"/>
      <c r="AUB9" s="826"/>
      <c r="AUC9" s="826"/>
      <c r="AUD9" s="826"/>
      <c r="AUE9" s="826"/>
      <c r="AUF9" s="826"/>
      <c r="AUG9" s="826"/>
      <c r="AUH9" s="826"/>
      <c r="AUI9" s="826"/>
      <c r="AUJ9" s="826"/>
      <c r="AUK9" s="826"/>
      <c r="AUL9" s="826"/>
      <c r="AUM9" s="826"/>
      <c r="AUN9" s="826"/>
      <c r="AUO9" s="826"/>
      <c r="AUP9" s="826"/>
      <c r="AUQ9" s="826"/>
      <c r="AUR9" s="826"/>
      <c r="AUS9" s="826"/>
      <c r="AUT9" s="826"/>
      <c r="AUU9" s="826"/>
      <c r="AUV9" s="826"/>
      <c r="AUW9" s="826"/>
      <c r="AUX9" s="826"/>
      <c r="AUY9" s="826"/>
      <c r="AUZ9" s="826"/>
      <c r="AVA9" s="826"/>
      <c r="AVB9" s="826"/>
      <c r="AVC9" s="826"/>
      <c r="AVD9" s="826"/>
      <c r="AVE9" s="826"/>
      <c r="AVF9" s="826"/>
      <c r="AVG9" s="826"/>
      <c r="AVH9" s="826"/>
      <c r="AVI9" s="826"/>
      <c r="AVJ9" s="826"/>
      <c r="AVK9" s="826"/>
      <c r="AVL9" s="826"/>
      <c r="AVM9" s="826"/>
      <c r="AVN9" s="826"/>
      <c r="AVO9" s="826"/>
      <c r="AVP9" s="826"/>
      <c r="AVQ9" s="826"/>
      <c r="AVR9" s="826"/>
      <c r="AVS9" s="826"/>
      <c r="AVT9" s="826"/>
      <c r="AVU9" s="826"/>
      <c r="AVV9" s="826"/>
      <c r="AVW9" s="826"/>
      <c r="AVX9" s="826"/>
      <c r="AVY9" s="826"/>
      <c r="AVZ9" s="826"/>
      <c r="AWA9" s="826"/>
      <c r="AWB9" s="826"/>
      <c r="AWC9" s="826"/>
      <c r="AWD9" s="826"/>
      <c r="AWE9" s="826"/>
      <c r="AWF9" s="826"/>
      <c r="AWG9" s="826"/>
      <c r="AWH9" s="826"/>
      <c r="AWI9" s="826"/>
      <c r="AWJ9" s="826"/>
      <c r="AWK9" s="826"/>
      <c r="AWL9" s="826"/>
      <c r="AWM9" s="826"/>
      <c r="AWN9" s="826"/>
      <c r="AWO9" s="826"/>
      <c r="AWP9" s="826"/>
      <c r="AWQ9" s="826"/>
      <c r="AWR9" s="826"/>
      <c r="AWS9" s="826"/>
      <c r="AWT9" s="826"/>
      <c r="AWU9" s="826"/>
      <c r="AWV9" s="826"/>
      <c r="AWW9" s="826"/>
      <c r="AWX9" s="826"/>
      <c r="AWY9" s="826"/>
      <c r="AWZ9" s="826"/>
      <c r="AXA9" s="826"/>
      <c r="AXB9" s="826"/>
      <c r="AXC9" s="826"/>
      <c r="AXD9" s="826"/>
      <c r="AXE9" s="826"/>
      <c r="AXF9" s="826"/>
      <c r="AXG9" s="826"/>
      <c r="AXH9" s="826"/>
      <c r="AXI9" s="826"/>
      <c r="AXJ9" s="826"/>
      <c r="AXK9" s="826"/>
      <c r="AXL9" s="826"/>
      <c r="AXM9" s="826"/>
      <c r="AXN9" s="826"/>
      <c r="AXO9" s="826"/>
      <c r="AXP9" s="826"/>
      <c r="AXQ9" s="826"/>
      <c r="AXR9" s="826"/>
      <c r="AXS9" s="826"/>
      <c r="AXT9" s="826"/>
      <c r="AXU9" s="826"/>
      <c r="AXV9" s="826"/>
      <c r="AXW9" s="826"/>
      <c r="AXX9" s="826"/>
      <c r="AXY9" s="826"/>
      <c r="AXZ9" s="826"/>
      <c r="AYA9" s="826"/>
      <c r="AYB9" s="826"/>
      <c r="AYC9" s="826"/>
      <c r="AYD9" s="826"/>
      <c r="AYE9" s="826"/>
      <c r="AYF9" s="826"/>
      <c r="AYG9" s="826"/>
      <c r="AYH9" s="826"/>
      <c r="AYI9" s="826"/>
      <c r="AYJ9" s="826"/>
      <c r="AYK9" s="826"/>
      <c r="AYL9" s="826"/>
      <c r="AYM9" s="826"/>
      <c r="AYN9" s="826"/>
      <c r="AYO9" s="826"/>
      <c r="AYP9" s="826"/>
      <c r="AYQ9" s="826"/>
      <c r="AYR9" s="826"/>
      <c r="AYS9" s="826"/>
      <c r="AYT9" s="826"/>
      <c r="AYU9" s="826"/>
      <c r="AYV9" s="826"/>
      <c r="AYW9" s="826"/>
      <c r="AYX9" s="826"/>
      <c r="AYY9" s="826"/>
      <c r="AYZ9" s="826"/>
      <c r="AZA9" s="826"/>
      <c r="AZB9" s="826"/>
      <c r="AZC9" s="826"/>
      <c r="AZD9" s="826"/>
      <c r="AZE9" s="826"/>
      <c r="AZF9" s="826"/>
      <c r="AZG9" s="826"/>
      <c r="AZH9" s="826"/>
      <c r="AZI9" s="826"/>
      <c r="AZJ9" s="826"/>
      <c r="AZK9" s="826"/>
      <c r="AZL9" s="826"/>
      <c r="AZM9" s="826"/>
      <c r="AZN9" s="826"/>
      <c r="AZO9" s="826"/>
      <c r="AZP9" s="826"/>
      <c r="AZQ9" s="826"/>
      <c r="AZR9" s="826"/>
      <c r="AZS9" s="826"/>
      <c r="AZT9" s="826"/>
      <c r="AZU9" s="826"/>
      <c r="AZV9" s="826"/>
      <c r="AZW9" s="826"/>
      <c r="AZX9" s="826"/>
      <c r="AZY9" s="826"/>
      <c r="AZZ9" s="826"/>
      <c r="BAA9" s="826"/>
      <c r="BAB9" s="826"/>
      <c r="BAC9" s="826"/>
      <c r="BAD9" s="826"/>
      <c r="BAE9" s="826"/>
      <c r="BAF9" s="826"/>
      <c r="BAG9" s="826"/>
      <c r="BAH9" s="826"/>
      <c r="BAI9" s="826"/>
      <c r="BAJ9" s="826"/>
      <c r="BAK9" s="826"/>
      <c r="BAL9" s="826"/>
      <c r="BAM9" s="826"/>
      <c r="BAN9" s="826"/>
      <c r="BAO9" s="826"/>
      <c r="BAP9" s="826"/>
      <c r="BAQ9" s="826"/>
      <c r="BAR9" s="826"/>
      <c r="BAS9" s="826"/>
      <c r="BAT9" s="826"/>
      <c r="BAU9" s="826"/>
      <c r="BAV9" s="826"/>
      <c r="BAW9" s="826"/>
      <c r="BAX9" s="826"/>
      <c r="BAY9" s="826"/>
      <c r="BAZ9" s="826"/>
      <c r="BBA9" s="826"/>
      <c r="BBB9" s="826"/>
      <c r="BBC9" s="826"/>
      <c r="BBD9" s="826"/>
      <c r="BBE9" s="826"/>
      <c r="BBF9" s="826"/>
      <c r="BBG9" s="826"/>
      <c r="BBH9" s="826"/>
      <c r="BBI9" s="826"/>
      <c r="BBJ9" s="826"/>
      <c r="BBK9" s="826"/>
      <c r="BBL9" s="826"/>
      <c r="BBM9" s="826"/>
      <c r="BBN9" s="826"/>
      <c r="BBO9" s="826"/>
      <c r="BBP9" s="826"/>
      <c r="BBQ9" s="826"/>
      <c r="BBR9" s="826"/>
      <c r="BBS9" s="826"/>
      <c r="BBT9" s="826"/>
      <c r="BBU9" s="826"/>
      <c r="BBV9" s="826"/>
      <c r="BBW9" s="826"/>
      <c r="BBX9" s="826"/>
      <c r="BBY9" s="826"/>
      <c r="BBZ9" s="826"/>
      <c r="BCA9" s="826"/>
      <c r="BCB9" s="826"/>
      <c r="BCC9" s="826"/>
      <c r="BCD9" s="826"/>
      <c r="BCE9" s="826"/>
      <c r="BCF9" s="826"/>
      <c r="BCG9" s="826"/>
      <c r="BCH9" s="826"/>
      <c r="BCI9" s="826"/>
      <c r="BCJ9" s="826"/>
      <c r="BCK9" s="826"/>
      <c r="BCL9" s="826"/>
      <c r="BCM9" s="826"/>
      <c r="BCN9" s="826"/>
      <c r="BCO9" s="826"/>
      <c r="BCP9" s="826"/>
      <c r="BCQ9" s="826"/>
      <c r="BCR9" s="826"/>
      <c r="BCS9" s="826"/>
      <c r="BCT9" s="826"/>
      <c r="BCU9" s="826"/>
      <c r="BCV9" s="826"/>
      <c r="BCW9" s="826"/>
      <c r="BCX9" s="826"/>
      <c r="BCY9" s="826"/>
      <c r="BCZ9" s="826"/>
      <c r="BDA9" s="826"/>
      <c r="BDB9" s="826"/>
      <c r="BDC9" s="826"/>
      <c r="BDD9" s="826"/>
      <c r="BDE9" s="826"/>
      <c r="BDF9" s="826"/>
      <c r="BDG9" s="826"/>
      <c r="BDH9" s="826"/>
      <c r="BDI9" s="826"/>
      <c r="BDJ9" s="826"/>
      <c r="BDK9" s="826"/>
      <c r="BDL9" s="826"/>
      <c r="BDM9" s="826"/>
      <c r="BDN9" s="826"/>
      <c r="BDO9" s="826"/>
      <c r="BDP9" s="826"/>
      <c r="BDQ9" s="826"/>
      <c r="BDR9" s="826"/>
      <c r="BDS9" s="826"/>
      <c r="BDT9" s="826"/>
      <c r="BDU9" s="826"/>
      <c r="BDV9" s="826"/>
      <c r="BDW9" s="826"/>
      <c r="BDX9" s="826"/>
      <c r="BDY9" s="826"/>
      <c r="BDZ9" s="826"/>
      <c r="BEA9" s="826"/>
      <c r="BEB9" s="826"/>
      <c r="BEC9" s="826"/>
      <c r="BED9" s="826"/>
      <c r="BEE9" s="826"/>
      <c r="BEF9" s="826"/>
      <c r="BEG9" s="826"/>
      <c r="BEH9" s="826"/>
      <c r="BEI9" s="826"/>
      <c r="BEJ9" s="826"/>
      <c r="BEK9" s="826"/>
      <c r="BEL9" s="826"/>
      <c r="BEM9" s="826"/>
      <c r="BEN9" s="826"/>
      <c r="BEO9" s="826"/>
      <c r="BEP9" s="826"/>
      <c r="BEQ9" s="826"/>
      <c r="BER9" s="826"/>
      <c r="BES9" s="826"/>
      <c r="BET9" s="826"/>
      <c r="BEU9" s="826"/>
      <c r="BEV9" s="826"/>
      <c r="BEW9" s="826"/>
      <c r="BEX9" s="826"/>
      <c r="BEY9" s="826"/>
      <c r="BEZ9" s="826"/>
      <c r="BFA9" s="826"/>
      <c r="BFB9" s="826"/>
      <c r="BFC9" s="826"/>
      <c r="BFD9" s="826"/>
      <c r="BFE9" s="826"/>
      <c r="BFF9" s="826"/>
      <c r="BFG9" s="826"/>
      <c r="BFH9" s="826"/>
      <c r="BFI9" s="826"/>
      <c r="BFJ9" s="826"/>
      <c r="BFK9" s="826"/>
      <c r="BFL9" s="826"/>
      <c r="BFM9" s="826"/>
      <c r="BFN9" s="826"/>
      <c r="BFO9" s="826"/>
      <c r="BFP9" s="826"/>
      <c r="BFQ9" s="826"/>
      <c r="BFR9" s="826"/>
      <c r="BFS9" s="826"/>
      <c r="BFT9" s="826"/>
      <c r="BFU9" s="826"/>
      <c r="BFV9" s="826"/>
      <c r="BFW9" s="826"/>
      <c r="BFX9" s="826"/>
      <c r="BFY9" s="826"/>
      <c r="BFZ9" s="826"/>
      <c r="BGA9" s="826"/>
      <c r="BGB9" s="826"/>
      <c r="BGC9" s="826"/>
      <c r="BGD9" s="826"/>
      <c r="BGE9" s="826"/>
      <c r="BGF9" s="826"/>
      <c r="BGG9" s="826"/>
      <c r="BGH9" s="826"/>
      <c r="BGI9" s="826"/>
      <c r="BGJ9" s="826"/>
      <c r="BGK9" s="826"/>
      <c r="BGL9" s="826"/>
      <c r="BGM9" s="826"/>
      <c r="BGN9" s="826"/>
      <c r="BGO9" s="826"/>
      <c r="BGP9" s="826"/>
      <c r="BGQ9" s="826"/>
      <c r="BGR9" s="826"/>
      <c r="BGS9" s="826"/>
      <c r="BGT9" s="826"/>
      <c r="BGU9" s="826"/>
      <c r="BGV9" s="826"/>
      <c r="BGW9" s="826"/>
      <c r="BGX9" s="826"/>
      <c r="BGY9" s="826"/>
      <c r="BGZ9" s="826"/>
      <c r="BHA9" s="826"/>
      <c r="BHB9" s="826"/>
      <c r="BHC9" s="826"/>
      <c r="BHD9" s="826"/>
      <c r="BHE9" s="826"/>
      <c r="BHF9" s="826"/>
      <c r="BHG9" s="826"/>
      <c r="BHH9" s="826"/>
      <c r="BHI9" s="826"/>
      <c r="BHJ9" s="826"/>
      <c r="BHK9" s="826"/>
      <c r="BHL9" s="826"/>
      <c r="BHM9" s="826"/>
      <c r="BHN9" s="826"/>
      <c r="BHO9" s="826"/>
      <c r="BHP9" s="826"/>
      <c r="BHQ9" s="826"/>
      <c r="BHR9" s="826"/>
      <c r="BHS9" s="826"/>
      <c r="BHT9" s="826"/>
      <c r="BHU9" s="826"/>
      <c r="BHV9" s="826"/>
      <c r="BHW9" s="826"/>
      <c r="BHX9" s="826"/>
      <c r="BHY9" s="826"/>
      <c r="BHZ9" s="826"/>
      <c r="BIA9" s="826"/>
      <c r="BIB9" s="826"/>
      <c r="BIC9" s="826"/>
      <c r="BID9" s="826"/>
      <c r="BIE9" s="826"/>
      <c r="BIF9" s="826"/>
      <c r="BIG9" s="826"/>
      <c r="BIH9" s="826"/>
      <c r="BII9" s="826"/>
      <c r="BIJ9" s="826"/>
      <c r="BIK9" s="826"/>
      <c r="BIL9" s="826"/>
      <c r="BIM9" s="826"/>
      <c r="BIN9" s="826"/>
      <c r="BIO9" s="826"/>
      <c r="BIP9" s="826"/>
      <c r="BIQ9" s="826"/>
      <c r="BIR9" s="826"/>
      <c r="BIS9" s="826"/>
      <c r="BIT9" s="826"/>
      <c r="BIU9" s="826"/>
      <c r="BIV9" s="826"/>
      <c r="BIW9" s="826"/>
      <c r="BIX9" s="826"/>
      <c r="BIY9" s="826"/>
      <c r="BIZ9" s="826"/>
      <c r="BJA9" s="826"/>
      <c r="BJB9" s="826"/>
      <c r="BJC9" s="826"/>
      <c r="BJD9" s="826"/>
      <c r="BJE9" s="826"/>
      <c r="BJF9" s="826"/>
      <c r="BJG9" s="826"/>
      <c r="BJH9" s="826"/>
      <c r="BJI9" s="826"/>
      <c r="BJJ9" s="826"/>
      <c r="BJK9" s="826"/>
      <c r="BJL9" s="826"/>
      <c r="BJM9" s="826"/>
      <c r="BJN9" s="826"/>
      <c r="BJO9" s="826"/>
      <c r="BJP9" s="826"/>
      <c r="BJQ9" s="826"/>
      <c r="BJR9" s="826"/>
      <c r="BJS9" s="826"/>
      <c r="BJT9" s="826"/>
      <c r="BJU9" s="826"/>
      <c r="BJV9" s="826"/>
      <c r="BJW9" s="826"/>
      <c r="BJX9" s="826"/>
      <c r="BJY9" s="826"/>
      <c r="BJZ9" s="826"/>
      <c r="BKA9" s="826"/>
      <c r="BKB9" s="826"/>
      <c r="BKC9" s="826"/>
      <c r="BKD9" s="826"/>
      <c r="BKE9" s="826"/>
      <c r="BKF9" s="826"/>
      <c r="BKG9" s="826"/>
      <c r="BKH9" s="826"/>
      <c r="BKI9" s="826"/>
      <c r="BKJ9" s="826"/>
      <c r="BKK9" s="826"/>
      <c r="BKL9" s="826"/>
      <c r="BKM9" s="826"/>
      <c r="BKN9" s="826"/>
      <c r="BKO9" s="826"/>
      <c r="BKP9" s="826"/>
      <c r="BKQ9" s="826"/>
      <c r="BKR9" s="826"/>
      <c r="BKS9" s="826"/>
      <c r="BKT9" s="826"/>
      <c r="BKU9" s="826"/>
      <c r="BKV9" s="826"/>
      <c r="BKW9" s="826"/>
      <c r="BKX9" s="826"/>
      <c r="BKY9" s="826"/>
      <c r="BKZ9" s="826"/>
      <c r="BLA9" s="826"/>
      <c r="BLB9" s="826"/>
      <c r="BLC9" s="826"/>
      <c r="BLD9" s="826"/>
      <c r="BLE9" s="826"/>
      <c r="BLF9" s="826"/>
      <c r="BLG9" s="826"/>
      <c r="BLH9" s="826"/>
      <c r="BLI9" s="826"/>
      <c r="BLJ9" s="826"/>
      <c r="BLK9" s="826"/>
      <c r="BLL9" s="826"/>
      <c r="BLM9" s="826"/>
      <c r="BLN9" s="826"/>
      <c r="BLO9" s="826"/>
      <c r="BLP9" s="826"/>
      <c r="BLQ9" s="826"/>
      <c r="BLR9" s="826"/>
      <c r="BLS9" s="826"/>
      <c r="BLT9" s="826"/>
      <c r="BLU9" s="826"/>
      <c r="BLV9" s="826"/>
      <c r="BLW9" s="826"/>
      <c r="BLX9" s="826"/>
      <c r="BLY9" s="826"/>
      <c r="BLZ9" s="826"/>
      <c r="BMA9" s="826"/>
      <c r="BMB9" s="826"/>
      <c r="BMC9" s="826"/>
      <c r="BMD9" s="826"/>
      <c r="BME9" s="826"/>
      <c r="BMF9" s="826"/>
      <c r="BMG9" s="826"/>
      <c r="BMH9" s="826"/>
      <c r="BMI9" s="826"/>
      <c r="BMJ9" s="826"/>
      <c r="BMK9" s="826"/>
      <c r="BML9" s="826"/>
      <c r="BMM9" s="826"/>
      <c r="BMN9" s="826"/>
      <c r="BMO9" s="826"/>
      <c r="BMP9" s="826"/>
      <c r="BMQ9" s="826"/>
      <c r="BMR9" s="826"/>
      <c r="BMS9" s="826"/>
      <c r="BMT9" s="826"/>
      <c r="BMU9" s="826"/>
      <c r="BMV9" s="826"/>
      <c r="BMW9" s="826"/>
      <c r="BMX9" s="826"/>
      <c r="BMY9" s="826"/>
      <c r="BMZ9" s="826"/>
      <c r="BNA9" s="826"/>
      <c r="BNB9" s="826"/>
      <c r="BNC9" s="826"/>
      <c r="BND9" s="826"/>
      <c r="BNE9" s="826"/>
      <c r="BNF9" s="826"/>
      <c r="BNG9" s="826"/>
      <c r="BNH9" s="826"/>
      <c r="BNI9" s="826"/>
      <c r="BNJ9" s="826"/>
      <c r="BNK9" s="826"/>
      <c r="BNL9" s="826"/>
      <c r="BNM9" s="826"/>
      <c r="BNN9" s="826"/>
      <c r="BNO9" s="826"/>
      <c r="BNP9" s="826"/>
      <c r="BNQ9" s="826"/>
      <c r="BNR9" s="826"/>
      <c r="BNS9" s="826"/>
      <c r="BNT9" s="826"/>
      <c r="BNU9" s="826"/>
      <c r="BNV9" s="826"/>
      <c r="BNW9" s="826"/>
      <c r="BNX9" s="826"/>
      <c r="BNY9" s="826"/>
      <c r="BNZ9" s="826"/>
      <c r="BOA9" s="826"/>
      <c r="BOB9" s="826"/>
      <c r="BOC9" s="826"/>
      <c r="BOD9" s="826"/>
      <c r="BOE9" s="826"/>
      <c r="BOF9" s="826"/>
      <c r="BOG9" s="826"/>
      <c r="BOH9" s="826"/>
      <c r="BOI9" s="826"/>
      <c r="BOJ9" s="826"/>
      <c r="BOK9" s="826"/>
      <c r="BOL9" s="826"/>
      <c r="BOM9" s="826"/>
      <c r="BON9" s="826"/>
      <c r="BOO9" s="826"/>
      <c r="BOP9" s="826"/>
      <c r="BOQ9" s="826"/>
      <c r="BOR9" s="826"/>
      <c r="BOS9" s="826"/>
      <c r="BOT9" s="826"/>
      <c r="BOU9" s="826"/>
      <c r="BOV9" s="826"/>
      <c r="BOW9" s="826"/>
      <c r="BOX9" s="826"/>
      <c r="BOY9" s="826"/>
      <c r="BOZ9" s="826"/>
      <c r="BPA9" s="826"/>
      <c r="BPB9" s="826"/>
      <c r="BPC9" s="826"/>
      <c r="BPD9" s="826"/>
      <c r="BPE9" s="826"/>
      <c r="BPF9" s="826"/>
      <c r="BPG9" s="826"/>
      <c r="BPH9" s="826"/>
      <c r="BPI9" s="826"/>
      <c r="BPJ9" s="826"/>
      <c r="BPK9" s="826"/>
      <c r="BPL9" s="826"/>
      <c r="BPM9" s="826"/>
      <c r="BPN9" s="826"/>
      <c r="BPO9" s="826"/>
      <c r="BPP9" s="826"/>
      <c r="BPQ9" s="826"/>
      <c r="BPR9" s="826"/>
      <c r="BPS9" s="826"/>
      <c r="BPT9" s="826"/>
      <c r="BPU9" s="826"/>
      <c r="BPV9" s="826"/>
      <c r="BPW9" s="826"/>
      <c r="BPX9" s="826"/>
      <c r="BPY9" s="826"/>
      <c r="BPZ9" s="826"/>
      <c r="BQA9" s="826"/>
      <c r="BQB9" s="826"/>
      <c r="BQC9" s="826"/>
      <c r="BQD9" s="826"/>
      <c r="BQE9" s="826"/>
      <c r="BQF9" s="826"/>
      <c r="BQG9" s="826"/>
      <c r="BQH9" s="826"/>
      <c r="BQI9" s="826"/>
      <c r="BQJ9" s="826"/>
      <c r="BQK9" s="826"/>
      <c r="BQL9" s="826"/>
      <c r="BQM9" s="826"/>
      <c r="BQN9" s="826"/>
      <c r="BQO9" s="826"/>
      <c r="BQP9" s="826"/>
      <c r="BQQ9" s="826"/>
      <c r="BQR9" s="826"/>
      <c r="BQS9" s="826"/>
      <c r="BQT9" s="826"/>
      <c r="BQU9" s="826"/>
      <c r="BQV9" s="826"/>
      <c r="BQW9" s="826"/>
      <c r="BQX9" s="826"/>
      <c r="BQY9" s="826"/>
      <c r="BQZ9" s="826"/>
      <c r="BRA9" s="826"/>
      <c r="BRB9" s="826"/>
      <c r="BRC9" s="826"/>
      <c r="BRD9" s="826"/>
      <c r="BRE9" s="826"/>
      <c r="BRF9" s="826"/>
      <c r="BRG9" s="826"/>
      <c r="BRH9" s="826"/>
      <c r="BRI9" s="826"/>
      <c r="BRJ9" s="826"/>
      <c r="BRK9" s="826"/>
      <c r="BRL9" s="826"/>
      <c r="BRM9" s="826"/>
      <c r="BRN9" s="826"/>
      <c r="BRO9" s="826"/>
      <c r="BRP9" s="826"/>
      <c r="BRQ9" s="826"/>
      <c r="BRR9" s="826"/>
      <c r="BRS9" s="826"/>
      <c r="BRT9" s="826"/>
      <c r="BRU9" s="826"/>
      <c r="BRV9" s="826"/>
      <c r="BRW9" s="826"/>
      <c r="BRX9" s="826"/>
      <c r="BRY9" s="826"/>
      <c r="BRZ9" s="826"/>
      <c r="BSA9" s="826"/>
      <c r="BSB9" s="826"/>
      <c r="BSC9" s="826"/>
      <c r="BSD9" s="826"/>
      <c r="BSE9" s="826"/>
      <c r="BSF9" s="826"/>
      <c r="BSG9" s="826"/>
      <c r="BSH9" s="826"/>
      <c r="BSI9" s="826"/>
      <c r="BSJ9" s="826"/>
      <c r="BSK9" s="826"/>
      <c r="BSL9" s="826"/>
      <c r="BSM9" s="826"/>
      <c r="BSN9" s="826"/>
      <c r="BSO9" s="826"/>
      <c r="BSP9" s="826"/>
      <c r="BSQ9" s="826"/>
      <c r="BSR9" s="826"/>
      <c r="BSS9" s="826"/>
      <c r="BST9" s="826"/>
    </row>
    <row r="10" spans="1:1866" s="825" customFormat="1" ht="20.100000000000001" customHeight="1" x14ac:dyDescent="0.25">
      <c r="A10" s="826"/>
      <c r="B10" s="3173"/>
      <c r="C10" s="1489" t="s">
        <v>281</v>
      </c>
      <c r="D10" s="1487">
        <f>SUMIF(Bfr!$B$26:$B$29,"="&amp;C10,Bfr!$D$26:$D$29)</f>
        <v>0</v>
      </c>
      <c r="E10" s="1473"/>
      <c r="F10" s="1473">
        <f>E6*$D$10</f>
        <v>0</v>
      </c>
      <c r="G10" s="1473">
        <f t="shared" ref="G10:V10" si="12">F6*$D$10</f>
        <v>0</v>
      </c>
      <c r="H10" s="1473">
        <f t="shared" si="12"/>
        <v>0</v>
      </c>
      <c r="I10" s="1473">
        <f t="shared" si="12"/>
        <v>0</v>
      </c>
      <c r="J10" s="1473">
        <f t="shared" si="12"/>
        <v>0</v>
      </c>
      <c r="K10" s="1473">
        <f t="shared" si="12"/>
        <v>0</v>
      </c>
      <c r="L10" s="1473">
        <f t="shared" si="12"/>
        <v>0</v>
      </c>
      <c r="M10" s="1473">
        <f t="shared" si="12"/>
        <v>0</v>
      </c>
      <c r="N10" s="1473">
        <f t="shared" si="12"/>
        <v>0</v>
      </c>
      <c r="O10" s="1473">
        <f t="shared" si="12"/>
        <v>0</v>
      </c>
      <c r="P10" s="1473">
        <f t="shared" si="12"/>
        <v>0</v>
      </c>
      <c r="Q10" s="1473">
        <f t="shared" si="12"/>
        <v>0</v>
      </c>
      <c r="R10" s="1473">
        <f t="shared" si="12"/>
        <v>0</v>
      </c>
      <c r="S10" s="1473">
        <f t="shared" si="12"/>
        <v>0</v>
      </c>
      <c r="T10" s="1473">
        <f t="shared" si="12"/>
        <v>0</v>
      </c>
      <c r="U10" s="1473">
        <f t="shared" si="12"/>
        <v>0</v>
      </c>
      <c r="V10" s="1488">
        <f t="shared" si="12"/>
        <v>0</v>
      </c>
      <c r="W10" s="826"/>
      <c r="X10" s="874">
        <f t="shared" si="9"/>
        <v>0</v>
      </c>
      <c r="Y10" s="874">
        <f>V6*D10</f>
        <v>0</v>
      </c>
      <c r="Z10" s="872"/>
      <c r="AA10" s="866"/>
      <c r="AB10" s="826"/>
      <c r="AC10" s="826"/>
      <c r="AD10" s="826"/>
      <c r="AE10" s="826"/>
      <c r="AF10" s="826"/>
      <c r="AG10" s="826"/>
      <c r="AH10" s="826"/>
      <c r="AI10" s="826"/>
      <c r="AJ10" s="826"/>
      <c r="AK10" s="826"/>
      <c r="AL10" s="826"/>
      <c r="AM10" s="826"/>
      <c r="AN10" s="826"/>
      <c r="AO10" s="826"/>
      <c r="AP10" s="826"/>
      <c r="AQ10" s="826"/>
      <c r="AR10" s="826"/>
      <c r="AS10" s="826"/>
      <c r="AT10" s="826"/>
      <c r="AU10" s="826"/>
      <c r="AV10" s="826"/>
      <c r="AW10" s="826"/>
      <c r="AX10" s="826"/>
      <c r="AY10" s="826"/>
      <c r="AZ10" s="826"/>
      <c r="BA10" s="826"/>
      <c r="BB10" s="826"/>
      <c r="BC10" s="826"/>
      <c r="BD10" s="826"/>
      <c r="BE10" s="826"/>
      <c r="BF10" s="826"/>
      <c r="BG10" s="826"/>
      <c r="BH10" s="826"/>
      <c r="BI10" s="826"/>
      <c r="BJ10" s="826"/>
      <c r="BK10" s="826"/>
      <c r="BL10" s="826"/>
      <c r="BM10" s="826"/>
      <c r="BN10" s="826"/>
      <c r="BO10" s="826"/>
      <c r="BP10" s="826"/>
      <c r="BQ10" s="826"/>
      <c r="BR10" s="826"/>
      <c r="BS10" s="826"/>
      <c r="BT10" s="826"/>
      <c r="BU10" s="826"/>
      <c r="BV10" s="826"/>
      <c r="BW10" s="826"/>
      <c r="BX10" s="826"/>
      <c r="BY10" s="826"/>
      <c r="BZ10" s="826"/>
      <c r="CA10" s="826"/>
      <c r="CB10" s="826"/>
      <c r="CC10" s="826"/>
      <c r="CD10" s="826"/>
      <c r="CE10" s="826"/>
      <c r="CF10" s="826"/>
      <c r="CG10" s="826"/>
      <c r="CH10" s="826"/>
      <c r="CI10" s="826"/>
      <c r="CJ10" s="826"/>
      <c r="CK10" s="826"/>
      <c r="CL10" s="826"/>
      <c r="CM10" s="826"/>
      <c r="CN10" s="826"/>
      <c r="CO10" s="826"/>
      <c r="CP10" s="826"/>
      <c r="CQ10" s="826"/>
      <c r="CR10" s="826"/>
      <c r="CS10" s="826"/>
      <c r="CT10" s="826"/>
      <c r="CU10" s="826"/>
      <c r="CV10" s="826"/>
      <c r="CW10" s="826"/>
      <c r="CX10" s="826"/>
      <c r="CY10" s="826"/>
      <c r="CZ10" s="826"/>
      <c r="DA10" s="826"/>
      <c r="DB10" s="826"/>
      <c r="DC10" s="826"/>
      <c r="DD10" s="826"/>
      <c r="DE10" s="826"/>
      <c r="DF10" s="826"/>
      <c r="DG10" s="826"/>
      <c r="DH10" s="826"/>
      <c r="DI10" s="826"/>
      <c r="DJ10" s="826"/>
      <c r="DK10" s="826"/>
      <c r="DL10" s="826"/>
      <c r="DM10" s="826"/>
      <c r="DN10" s="826"/>
      <c r="DO10" s="826"/>
      <c r="DP10" s="826"/>
      <c r="DQ10" s="826"/>
      <c r="DR10" s="826"/>
      <c r="DS10" s="826"/>
      <c r="DT10" s="826"/>
      <c r="DU10" s="826"/>
      <c r="DV10" s="826"/>
      <c r="DW10" s="826"/>
      <c r="DX10" s="826"/>
      <c r="DY10" s="826"/>
      <c r="DZ10" s="826"/>
      <c r="EA10" s="826"/>
      <c r="EB10" s="826"/>
      <c r="EC10" s="826"/>
      <c r="ED10" s="826"/>
      <c r="EE10" s="826"/>
      <c r="EF10" s="826"/>
      <c r="EG10" s="826"/>
      <c r="EH10" s="826"/>
      <c r="EI10" s="826"/>
      <c r="EJ10" s="826"/>
      <c r="EK10" s="826"/>
      <c r="EL10" s="826"/>
      <c r="EM10" s="826"/>
      <c r="EN10" s="826"/>
      <c r="EO10" s="826"/>
      <c r="EP10" s="826"/>
      <c r="EQ10" s="826"/>
      <c r="ER10" s="826"/>
      <c r="ES10" s="826"/>
      <c r="ET10" s="826"/>
      <c r="EU10" s="826"/>
      <c r="EV10" s="826"/>
      <c r="EW10" s="826"/>
      <c r="EX10" s="826"/>
      <c r="EY10" s="826"/>
      <c r="EZ10" s="826"/>
      <c r="FA10" s="826"/>
      <c r="FB10" s="826"/>
      <c r="FC10" s="826"/>
      <c r="FD10" s="826"/>
      <c r="FE10" s="826"/>
      <c r="FF10" s="826"/>
      <c r="FG10" s="826"/>
      <c r="FH10" s="826"/>
      <c r="FI10" s="826"/>
      <c r="FJ10" s="826"/>
      <c r="FK10" s="826"/>
      <c r="FL10" s="826"/>
      <c r="FM10" s="826"/>
      <c r="FN10" s="826"/>
      <c r="FO10" s="826"/>
      <c r="FP10" s="826"/>
      <c r="FQ10" s="826"/>
      <c r="FR10" s="826"/>
      <c r="FS10" s="826"/>
      <c r="FT10" s="826"/>
      <c r="FU10" s="826"/>
      <c r="FV10" s="826"/>
      <c r="FW10" s="826"/>
      <c r="FX10" s="826"/>
      <c r="FY10" s="826"/>
      <c r="FZ10" s="826"/>
      <c r="GA10" s="826"/>
      <c r="GB10" s="826"/>
      <c r="GC10" s="826"/>
      <c r="GD10" s="826"/>
      <c r="GE10" s="826"/>
      <c r="GF10" s="826"/>
      <c r="GG10" s="826"/>
      <c r="GH10" s="826"/>
      <c r="GI10" s="826"/>
      <c r="GJ10" s="826"/>
      <c r="GK10" s="826"/>
      <c r="GL10" s="826"/>
      <c r="GM10" s="826"/>
      <c r="GN10" s="826"/>
      <c r="GO10" s="826"/>
      <c r="GP10" s="826"/>
      <c r="GQ10" s="826"/>
      <c r="GR10" s="826"/>
      <c r="GS10" s="826"/>
      <c r="GT10" s="826"/>
      <c r="GU10" s="826"/>
      <c r="GV10" s="826"/>
      <c r="GW10" s="826"/>
      <c r="GX10" s="826"/>
      <c r="GY10" s="826"/>
      <c r="GZ10" s="826"/>
      <c r="HA10" s="826"/>
      <c r="HB10" s="826"/>
      <c r="HC10" s="826"/>
      <c r="HD10" s="826"/>
      <c r="HE10" s="826"/>
      <c r="HF10" s="826"/>
      <c r="HG10" s="826"/>
      <c r="HH10" s="826"/>
      <c r="HI10" s="826"/>
      <c r="HJ10" s="826"/>
      <c r="HK10" s="826"/>
      <c r="HL10" s="826"/>
      <c r="HM10" s="826"/>
      <c r="HN10" s="826"/>
      <c r="HO10" s="826"/>
      <c r="HP10" s="826"/>
      <c r="HQ10" s="826"/>
      <c r="HR10" s="826"/>
      <c r="HS10" s="826"/>
      <c r="HT10" s="826"/>
      <c r="HU10" s="826"/>
      <c r="HV10" s="826"/>
      <c r="HW10" s="826"/>
      <c r="HX10" s="826"/>
      <c r="HY10" s="826"/>
      <c r="HZ10" s="826"/>
      <c r="IA10" s="826"/>
      <c r="IB10" s="826"/>
      <c r="IC10" s="826"/>
      <c r="ID10" s="826"/>
      <c r="IE10" s="826"/>
      <c r="IF10" s="826"/>
      <c r="IG10" s="826"/>
      <c r="IH10" s="826"/>
      <c r="II10" s="826"/>
      <c r="IJ10" s="826"/>
      <c r="IK10" s="826"/>
      <c r="IL10" s="826"/>
      <c r="IM10" s="826"/>
      <c r="IN10" s="826"/>
      <c r="IO10" s="826"/>
      <c r="IP10" s="826"/>
      <c r="IQ10" s="826"/>
      <c r="IR10" s="826"/>
      <c r="IS10" s="826"/>
      <c r="IT10" s="826"/>
      <c r="IU10" s="826"/>
      <c r="IV10" s="826"/>
      <c r="IW10" s="826"/>
      <c r="IX10" s="826"/>
      <c r="IY10" s="826"/>
      <c r="IZ10" s="826"/>
      <c r="JA10" s="826"/>
      <c r="JB10" s="826"/>
      <c r="JC10" s="826"/>
      <c r="JD10" s="826"/>
      <c r="JE10" s="826"/>
      <c r="JF10" s="826"/>
      <c r="JG10" s="826"/>
      <c r="JH10" s="826"/>
      <c r="JI10" s="826"/>
      <c r="JJ10" s="826"/>
      <c r="JK10" s="826"/>
      <c r="JL10" s="826"/>
      <c r="JM10" s="826"/>
      <c r="JN10" s="826"/>
      <c r="JO10" s="826"/>
      <c r="JP10" s="826"/>
      <c r="JQ10" s="826"/>
      <c r="JR10" s="826"/>
      <c r="JS10" s="826"/>
      <c r="JT10" s="826"/>
      <c r="JU10" s="826"/>
      <c r="JV10" s="826"/>
      <c r="JW10" s="826"/>
      <c r="JX10" s="826"/>
      <c r="JY10" s="826"/>
      <c r="JZ10" s="826"/>
      <c r="KA10" s="826"/>
      <c r="KB10" s="826"/>
      <c r="KC10" s="826"/>
      <c r="KD10" s="826"/>
      <c r="KE10" s="826"/>
      <c r="KF10" s="826"/>
      <c r="KG10" s="826"/>
      <c r="KH10" s="826"/>
      <c r="KI10" s="826"/>
      <c r="KJ10" s="826"/>
      <c r="KK10" s="826"/>
      <c r="KL10" s="826"/>
      <c r="KM10" s="826"/>
      <c r="KN10" s="826"/>
      <c r="KO10" s="826"/>
      <c r="KP10" s="826"/>
      <c r="KQ10" s="826"/>
      <c r="KR10" s="826"/>
      <c r="KS10" s="826"/>
      <c r="KT10" s="826"/>
      <c r="KU10" s="826"/>
      <c r="KV10" s="826"/>
      <c r="KW10" s="826"/>
      <c r="KX10" s="826"/>
      <c r="KY10" s="826"/>
      <c r="KZ10" s="826"/>
      <c r="LA10" s="826"/>
      <c r="LB10" s="826"/>
      <c r="LC10" s="826"/>
      <c r="LD10" s="826"/>
      <c r="LE10" s="826"/>
      <c r="LF10" s="826"/>
      <c r="LG10" s="826"/>
      <c r="LH10" s="826"/>
      <c r="LI10" s="826"/>
      <c r="LJ10" s="826"/>
      <c r="LK10" s="826"/>
      <c r="LL10" s="826"/>
      <c r="LM10" s="826"/>
      <c r="LN10" s="826"/>
      <c r="LO10" s="826"/>
      <c r="LP10" s="826"/>
      <c r="LQ10" s="826"/>
      <c r="LR10" s="826"/>
      <c r="LS10" s="826"/>
      <c r="LT10" s="826"/>
      <c r="LU10" s="826"/>
      <c r="LV10" s="826"/>
      <c r="LW10" s="826"/>
      <c r="LX10" s="826"/>
      <c r="LY10" s="826"/>
      <c r="LZ10" s="826"/>
      <c r="MA10" s="826"/>
      <c r="MB10" s="826"/>
      <c r="MC10" s="826"/>
      <c r="MD10" s="826"/>
      <c r="ME10" s="826"/>
      <c r="MF10" s="826"/>
      <c r="MG10" s="826"/>
      <c r="MH10" s="826"/>
      <c r="MI10" s="826"/>
      <c r="MJ10" s="826"/>
      <c r="MK10" s="826"/>
      <c r="ML10" s="826"/>
      <c r="MM10" s="826"/>
      <c r="MN10" s="826"/>
      <c r="MO10" s="826"/>
      <c r="MP10" s="826"/>
      <c r="MQ10" s="826"/>
      <c r="MR10" s="826"/>
      <c r="MS10" s="826"/>
      <c r="MT10" s="826"/>
      <c r="MU10" s="826"/>
      <c r="MV10" s="826"/>
      <c r="MW10" s="826"/>
      <c r="MX10" s="826"/>
      <c r="MY10" s="826"/>
      <c r="MZ10" s="826"/>
      <c r="NA10" s="826"/>
      <c r="NB10" s="826"/>
      <c r="NC10" s="826"/>
      <c r="ND10" s="826"/>
      <c r="NE10" s="826"/>
      <c r="NF10" s="826"/>
      <c r="NG10" s="826"/>
      <c r="NH10" s="826"/>
      <c r="NI10" s="826"/>
      <c r="NJ10" s="826"/>
      <c r="NK10" s="826"/>
      <c r="NL10" s="826"/>
      <c r="NM10" s="826"/>
      <c r="NN10" s="826"/>
      <c r="NO10" s="826"/>
      <c r="NP10" s="826"/>
      <c r="NQ10" s="826"/>
      <c r="NR10" s="826"/>
      <c r="NS10" s="826"/>
      <c r="NT10" s="826"/>
      <c r="NU10" s="826"/>
      <c r="NV10" s="826"/>
      <c r="NW10" s="826"/>
      <c r="NX10" s="826"/>
      <c r="NY10" s="826"/>
      <c r="NZ10" s="826"/>
      <c r="OA10" s="826"/>
      <c r="OB10" s="826"/>
      <c r="OC10" s="826"/>
      <c r="OD10" s="826"/>
      <c r="OE10" s="826"/>
      <c r="OF10" s="826"/>
      <c r="OG10" s="826"/>
      <c r="OH10" s="826"/>
      <c r="OI10" s="826"/>
      <c r="OJ10" s="826"/>
      <c r="OK10" s="826"/>
      <c r="OL10" s="826"/>
      <c r="OM10" s="826"/>
      <c r="ON10" s="826"/>
      <c r="OO10" s="826"/>
      <c r="OP10" s="826"/>
      <c r="OQ10" s="826"/>
      <c r="OR10" s="826"/>
      <c r="OS10" s="826"/>
      <c r="OT10" s="826"/>
      <c r="OU10" s="826"/>
      <c r="OV10" s="826"/>
      <c r="OW10" s="826"/>
      <c r="OX10" s="826"/>
      <c r="OY10" s="826"/>
      <c r="OZ10" s="826"/>
      <c r="PA10" s="826"/>
      <c r="PB10" s="826"/>
      <c r="PC10" s="826"/>
      <c r="PD10" s="826"/>
      <c r="PE10" s="826"/>
      <c r="PF10" s="826"/>
      <c r="PG10" s="826"/>
      <c r="PH10" s="826"/>
      <c r="PI10" s="826"/>
      <c r="PJ10" s="826"/>
      <c r="PK10" s="826"/>
      <c r="PL10" s="826"/>
      <c r="PM10" s="826"/>
      <c r="PN10" s="826"/>
      <c r="PO10" s="826"/>
      <c r="PP10" s="826"/>
      <c r="PQ10" s="826"/>
      <c r="PR10" s="826"/>
      <c r="PS10" s="826"/>
      <c r="PT10" s="826"/>
      <c r="PU10" s="826"/>
      <c r="PV10" s="826"/>
      <c r="PW10" s="826"/>
      <c r="PX10" s="826"/>
      <c r="PY10" s="826"/>
      <c r="PZ10" s="826"/>
      <c r="QA10" s="826"/>
      <c r="QB10" s="826"/>
      <c r="QC10" s="826"/>
      <c r="QD10" s="826"/>
      <c r="QE10" s="826"/>
      <c r="QF10" s="826"/>
      <c r="QG10" s="826"/>
      <c r="QH10" s="826"/>
      <c r="QI10" s="826"/>
      <c r="QJ10" s="826"/>
      <c r="QK10" s="826"/>
      <c r="QL10" s="826"/>
      <c r="QM10" s="826"/>
      <c r="QN10" s="826"/>
      <c r="QO10" s="826"/>
      <c r="QP10" s="826"/>
      <c r="QQ10" s="826"/>
      <c r="QR10" s="826"/>
      <c r="QS10" s="826"/>
      <c r="QT10" s="826"/>
      <c r="QU10" s="826"/>
      <c r="QV10" s="826"/>
      <c r="QW10" s="826"/>
      <c r="QX10" s="826"/>
      <c r="QY10" s="826"/>
      <c r="QZ10" s="826"/>
      <c r="RA10" s="826"/>
      <c r="RB10" s="826"/>
      <c r="RC10" s="826"/>
      <c r="RD10" s="826"/>
      <c r="RE10" s="826"/>
      <c r="RF10" s="826"/>
      <c r="RG10" s="826"/>
      <c r="RH10" s="826"/>
      <c r="RI10" s="826"/>
      <c r="RJ10" s="826"/>
      <c r="RK10" s="826"/>
      <c r="RL10" s="826"/>
      <c r="RM10" s="826"/>
      <c r="RN10" s="826"/>
      <c r="RO10" s="826"/>
      <c r="RP10" s="826"/>
      <c r="RQ10" s="826"/>
      <c r="RR10" s="826"/>
      <c r="RS10" s="826"/>
      <c r="RT10" s="826"/>
      <c r="RU10" s="826"/>
      <c r="RV10" s="826"/>
      <c r="RW10" s="826"/>
      <c r="RX10" s="826"/>
      <c r="RY10" s="826"/>
      <c r="RZ10" s="826"/>
      <c r="SA10" s="826"/>
      <c r="SB10" s="826"/>
      <c r="SC10" s="826"/>
      <c r="SD10" s="826"/>
      <c r="SE10" s="826"/>
      <c r="SF10" s="826"/>
      <c r="SG10" s="826"/>
      <c r="SH10" s="826"/>
      <c r="SI10" s="826"/>
      <c r="SJ10" s="826"/>
      <c r="SK10" s="826"/>
      <c r="SL10" s="826"/>
      <c r="SM10" s="826"/>
      <c r="SN10" s="826"/>
      <c r="SO10" s="826"/>
      <c r="SP10" s="826"/>
      <c r="SQ10" s="826"/>
      <c r="SR10" s="826"/>
      <c r="SS10" s="826"/>
      <c r="ST10" s="826"/>
      <c r="SU10" s="826"/>
      <c r="SV10" s="826"/>
      <c r="SW10" s="826"/>
      <c r="SX10" s="826"/>
      <c r="SY10" s="826"/>
      <c r="SZ10" s="826"/>
      <c r="TA10" s="826"/>
      <c r="TB10" s="826"/>
      <c r="TC10" s="826"/>
      <c r="TD10" s="826"/>
      <c r="TE10" s="826"/>
      <c r="TF10" s="826"/>
      <c r="TG10" s="826"/>
      <c r="TH10" s="826"/>
      <c r="TI10" s="826"/>
      <c r="TJ10" s="826"/>
      <c r="TK10" s="826"/>
      <c r="TL10" s="826"/>
      <c r="TM10" s="826"/>
      <c r="TN10" s="826"/>
      <c r="TO10" s="826"/>
      <c r="TP10" s="826"/>
      <c r="TQ10" s="826"/>
      <c r="TR10" s="826"/>
      <c r="TS10" s="826"/>
      <c r="TT10" s="826"/>
      <c r="TU10" s="826"/>
      <c r="TV10" s="826"/>
      <c r="TW10" s="826"/>
      <c r="TX10" s="826"/>
      <c r="TY10" s="826"/>
      <c r="TZ10" s="826"/>
      <c r="UA10" s="826"/>
      <c r="UB10" s="826"/>
      <c r="UC10" s="826"/>
      <c r="UD10" s="826"/>
      <c r="UE10" s="826"/>
      <c r="UF10" s="826"/>
      <c r="UG10" s="826"/>
      <c r="UH10" s="826"/>
      <c r="UI10" s="826"/>
      <c r="UJ10" s="826"/>
      <c r="UK10" s="826"/>
      <c r="UL10" s="826"/>
      <c r="UM10" s="826"/>
      <c r="UN10" s="826"/>
      <c r="UO10" s="826"/>
      <c r="UP10" s="826"/>
      <c r="UQ10" s="826"/>
      <c r="UR10" s="826"/>
      <c r="US10" s="826"/>
      <c r="UT10" s="826"/>
      <c r="UU10" s="826"/>
      <c r="UV10" s="826"/>
      <c r="UW10" s="826"/>
      <c r="UX10" s="826"/>
      <c r="UY10" s="826"/>
      <c r="UZ10" s="826"/>
      <c r="VA10" s="826"/>
      <c r="VB10" s="826"/>
      <c r="VC10" s="826"/>
      <c r="VD10" s="826"/>
      <c r="VE10" s="826"/>
      <c r="VF10" s="826"/>
      <c r="VG10" s="826"/>
      <c r="VH10" s="826"/>
      <c r="VI10" s="826"/>
      <c r="VJ10" s="826"/>
      <c r="VK10" s="826"/>
      <c r="VL10" s="826"/>
      <c r="VM10" s="826"/>
      <c r="VN10" s="826"/>
      <c r="VO10" s="826"/>
      <c r="VP10" s="826"/>
      <c r="VQ10" s="826"/>
      <c r="VR10" s="826"/>
      <c r="VS10" s="826"/>
      <c r="VT10" s="826"/>
      <c r="VU10" s="826"/>
      <c r="VV10" s="826"/>
      <c r="VW10" s="826"/>
      <c r="VX10" s="826"/>
      <c r="VY10" s="826"/>
      <c r="VZ10" s="826"/>
      <c r="WA10" s="826"/>
      <c r="WB10" s="826"/>
      <c r="WC10" s="826"/>
      <c r="WD10" s="826"/>
      <c r="WE10" s="826"/>
      <c r="WF10" s="826"/>
      <c r="WG10" s="826"/>
      <c r="WH10" s="826"/>
      <c r="WI10" s="826"/>
      <c r="WJ10" s="826"/>
      <c r="WK10" s="826"/>
      <c r="WL10" s="826"/>
      <c r="WM10" s="826"/>
      <c r="WN10" s="826"/>
      <c r="WO10" s="826"/>
      <c r="WP10" s="826"/>
      <c r="WQ10" s="826"/>
      <c r="WR10" s="826"/>
      <c r="WS10" s="826"/>
      <c r="WT10" s="826"/>
      <c r="WU10" s="826"/>
      <c r="WV10" s="826"/>
      <c r="WW10" s="826"/>
      <c r="WX10" s="826"/>
      <c r="WY10" s="826"/>
      <c r="WZ10" s="826"/>
      <c r="XA10" s="826"/>
      <c r="XB10" s="826"/>
      <c r="XC10" s="826"/>
      <c r="XD10" s="826"/>
      <c r="XE10" s="826"/>
      <c r="XF10" s="826"/>
      <c r="XG10" s="826"/>
      <c r="XH10" s="826"/>
      <c r="XI10" s="826"/>
      <c r="XJ10" s="826"/>
      <c r="XK10" s="826"/>
      <c r="XL10" s="826"/>
      <c r="XM10" s="826"/>
      <c r="XN10" s="826"/>
      <c r="XO10" s="826"/>
      <c r="XP10" s="826"/>
      <c r="XQ10" s="826"/>
      <c r="XR10" s="826"/>
      <c r="XS10" s="826"/>
      <c r="XT10" s="826"/>
      <c r="XU10" s="826"/>
      <c r="XV10" s="826"/>
      <c r="XW10" s="826"/>
      <c r="XX10" s="826"/>
      <c r="XY10" s="826"/>
      <c r="XZ10" s="826"/>
      <c r="YA10" s="826"/>
      <c r="YB10" s="826"/>
      <c r="YC10" s="826"/>
      <c r="YD10" s="826"/>
      <c r="YE10" s="826"/>
      <c r="YF10" s="826"/>
      <c r="YG10" s="826"/>
      <c r="YH10" s="826"/>
      <c r="YI10" s="826"/>
      <c r="YJ10" s="826"/>
      <c r="YK10" s="826"/>
      <c r="YL10" s="826"/>
      <c r="YM10" s="826"/>
      <c r="YN10" s="826"/>
      <c r="YO10" s="826"/>
      <c r="YP10" s="826"/>
      <c r="YQ10" s="826"/>
      <c r="YR10" s="826"/>
      <c r="YS10" s="826"/>
      <c r="YT10" s="826"/>
      <c r="YU10" s="826"/>
      <c r="YV10" s="826"/>
      <c r="YW10" s="826"/>
      <c r="YX10" s="826"/>
      <c r="YY10" s="826"/>
      <c r="YZ10" s="826"/>
      <c r="ZA10" s="826"/>
      <c r="ZB10" s="826"/>
      <c r="ZC10" s="826"/>
      <c r="ZD10" s="826"/>
      <c r="ZE10" s="826"/>
      <c r="ZF10" s="826"/>
      <c r="ZG10" s="826"/>
      <c r="ZH10" s="826"/>
      <c r="ZI10" s="826"/>
      <c r="ZJ10" s="826"/>
      <c r="ZK10" s="826"/>
      <c r="ZL10" s="826"/>
      <c r="ZM10" s="826"/>
      <c r="ZN10" s="826"/>
      <c r="ZO10" s="826"/>
      <c r="ZP10" s="826"/>
      <c r="ZQ10" s="826"/>
      <c r="ZR10" s="826"/>
      <c r="ZS10" s="826"/>
      <c r="ZT10" s="826"/>
      <c r="ZU10" s="826"/>
      <c r="ZV10" s="826"/>
      <c r="ZW10" s="826"/>
      <c r="ZX10" s="826"/>
      <c r="ZY10" s="826"/>
      <c r="ZZ10" s="826"/>
      <c r="AAA10" s="826"/>
      <c r="AAB10" s="826"/>
      <c r="AAC10" s="826"/>
      <c r="AAD10" s="826"/>
      <c r="AAE10" s="826"/>
      <c r="AAF10" s="826"/>
      <c r="AAG10" s="826"/>
      <c r="AAH10" s="826"/>
      <c r="AAI10" s="826"/>
      <c r="AAJ10" s="826"/>
      <c r="AAK10" s="826"/>
      <c r="AAL10" s="826"/>
      <c r="AAM10" s="826"/>
      <c r="AAN10" s="826"/>
      <c r="AAO10" s="826"/>
      <c r="AAP10" s="826"/>
      <c r="AAQ10" s="826"/>
      <c r="AAR10" s="826"/>
      <c r="AAS10" s="826"/>
      <c r="AAT10" s="826"/>
      <c r="AAU10" s="826"/>
      <c r="AAV10" s="826"/>
      <c r="AAW10" s="826"/>
      <c r="AAX10" s="826"/>
      <c r="AAY10" s="826"/>
      <c r="AAZ10" s="826"/>
      <c r="ABA10" s="826"/>
      <c r="ABB10" s="826"/>
      <c r="ABC10" s="826"/>
      <c r="ABD10" s="826"/>
      <c r="ABE10" s="826"/>
      <c r="ABF10" s="826"/>
      <c r="ABG10" s="826"/>
      <c r="ABH10" s="826"/>
      <c r="ABI10" s="826"/>
      <c r="ABJ10" s="826"/>
      <c r="ABK10" s="826"/>
      <c r="ABL10" s="826"/>
      <c r="ABM10" s="826"/>
      <c r="ABN10" s="826"/>
      <c r="ABO10" s="826"/>
      <c r="ABP10" s="826"/>
      <c r="ABQ10" s="826"/>
      <c r="ABR10" s="826"/>
      <c r="ABS10" s="826"/>
      <c r="ABT10" s="826"/>
      <c r="ABU10" s="826"/>
      <c r="ABV10" s="826"/>
      <c r="ABW10" s="826"/>
      <c r="ABX10" s="826"/>
      <c r="ABY10" s="826"/>
      <c r="ABZ10" s="826"/>
      <c r="ACA10" s="826"/>
      <c r="ACB10" s="826"/>
      <c r="ACC10" s="826"/>
      <c r="ACD10" s="826"/>
      <c r="ACE10" s="826"/>
      <c r="ACF10" s="826"/>
      <c r="ACG10" s="826"/>
      <c r="ACH10" s="826"/>
      <c r="ACI10" s="826"/>
      <c r="ACJ10" s="826"/>
      <c r="ACK10" s="826"/>
      <c r="ACL10" s="826"/>
      <c r="ACM10" s="826"/>
      <c r="ACN10" s="826"/>
      <c r="ACO10" s="826"/>
      <c r="ACP10" s="826"/>
      <c r="ACQ10" s="826"/>
      <c r="ACR10" s="826"/>
      <c r="ACS10" s="826"/>
      <c r="ACT10" s="826"/>
      <c r="ACU10" s="826"/>
      <c r="ACV10" s="826"/>
      <c r="ACW10" s="826"/>
      <c r="ACX10" s="826"/>
      <c r="ACY10" s="826"/>
      <c r="ACZ10" s="826"/>
      <c r="ADA10" s="826"/>
      <c r="ADB10" s="826"/>
      <c r="ADC10" s="826"/>
      <c r="ADD10" s="826"/>
      <c r="ADE10" s="826"/>
      <c r="ADF10" s="826"/>
      <c r="ADG10" s="826"/>
      <c r="ADH10" s="826"/>
      <c r="ADI10" s="826"/>
      <c r="ADJ10" s="826"/>
      <c r="ADK10" s="826"/>
      <c r="ADL10" s="826"/>
      <c r="ADM10" s="826"/>
      <c r="ADN10" s="826"/>
      <c r="ADO10" s="826"/>
      <c r="ADP10" s="826"/>
      <c r="ADQ10" s="826"/>
      <c r="ADR10" s="826"/>
      <c r="ADS10" s="826"/>
      <c r="ADT10" s="826"/>
      <c r="ADU10" s="826"/>
      <c r="ADV10" s="826"/>
      <c r="ADW10" s="826"/>
      <c r="ADX10" s="826"/>
      <c r="ADY10" s="826"/>
      <c r="ADZ10" s="826"/>
      <c r="AEA10" s="826"/>
      <c r="AEB10" s="826"/>
      <c r="AEC10" s="826"/>
      <c r="AED10" s="826"/>
      <c r="AEE10" s="826"/>
      <c r="AEF10" s="826"/>
      <c r="AEG10" s="826"/>
      <c r="AEH10" s="826"/>
      <c r="AEI10" s="826"/>
      <c r="AEJ10" s="826"/>
      <c r="AEK10" s="826"/>
      <c r="AEL10" s="826"/>
      <c r="AEM10" s="826"/>
      <c r="AEN10" s="826"/>
      <c r="AEO10" s="826"/>
      <c r="AEP10" s="826"/>
      <c r="AEQ10" s="826"/>
      <c r="AER10" s="826"/>
      <c r="AES10" s="826"/>
      <c r="AET10" s="826"/>
      <c r="AEU10" s="826"/>
      <c r="AEV10" s="826"/>
      <c r="AEW10" s="826"/>
      <c r="AEX10" s="826"/>
      <c r="AEY10" s="826"/>
      <c r="AEZ10" s="826"/>
      <c r="AFA10" s="826"/>
      <c r="AFB10" s="826"/>
      <c r="AFC10" s="826"/>
      <c r="AFD10" s="826"/>
      <c r="AFE10" s="826"/>
      <c r="AFF10" s="826"/>
      <c r="AFG10" s="826"/>
      <c r="AFH10" s="826"/>
      <c r="AFI10" s="826"/>
      <c r="AFJ10" s="826"/>
      <c r="AFK10" s="826"/>
      <c r="AFL10" s="826"/>
      <c r="AFM10" s="826"/>
      <c r="AFN10" s="826"/>
      <c r="AFO10" s="826"/>
      <c r="AFP10" s="826"/>
      <c r="AFQ10" s="826"/>
      <c r="AFR10" s="826"/>
      <c r="AFS10" s="826"/>
      <c r="AFT10" s="826"/>
      <c r="AFU10" s="826"/>
      <c r="AFV10" s="826"/>
      <c r="AFW10" s="826"/>
      <c r="AFX10" s="826"/>
      <c r="AFY10" s="826"/>
      <c r="AFZ10" s="826"/>
      <c r="AGA10" s="826"/>
      <c r="AGB10" s="826"/>
      <c r="AGC10" s="826"/>
      <c r="AGD10" s="826"/>
      <c r="AGE10" s="826"/>
      <c r="AGF10" s="826"/>
      <c r="AGG10" s="826"/>
      <c r="AGH10" s="826"/>
      <c r="AGI10" s="826"/>
      <c r="AGJ10" s="826"/>
      <c r="AGK10" s="826"/>
      <c r="AGL10" s="826"/>
      <c r="AGM10" s="826"/>
      <c r="AGN10" s="826"/>
      <c r="AGO10" s="826"/>
      <c r="AGP10" s="826"/>
      <c r="AGQ10" s="826"/>
      <c r="AGR10" s="826"/>
      <c r="AGS10" s="826"/>
      <c r="AGT10" s="826"/>
      <c r="AGU10" s="826"/>
      <c r="AGV10" s="826"/>
      <c r="AGW10" s="826"/>
      <c r="AGX10" s="826"/>
      <c r="AGY10" s="826"/>
      <c r="AGZ10" s="826"/>
      <c r="AHA10" s="826"/>
      <c r="AHB10" s="826"/>
      <c r="AHC10" s="826"/>
      <c r="AHD10" s="826"/>
      <c r="AHE10" s="826"/>
      <c r="AHF10" s="826"/>
      <c r="AHG10" s="826"/>
      <c r="AHH10" s="826"/>
      <c r="AHI10" s="826"/>
      <c r="AHJ10" s="826"/>
      <c r="AHK10" s="826"/>
      <c r="AHL10" s="826"/>
      <c r="AHM10" s="826"/>
      <c r="AHN10" s="826"/>
      <c r="AHO10" s="826"/>
      <c r="AHP10" s="826"/>
      <c r="AHQ10" s="826"/>
      <c r="AHR10" s="826"/>
      <c r="AHS10" s="826"/>
      <c r="AHT10" s="826"/>
      <c r="AHU10" s="826"/>
      <c r="AHV10" s="826"/>
      <c r="AHW10" s="826"/>
      <c r="AHX10" s="826"/>
      <c r="AHY10" s="826"/>
      <c r="AHZ10" s="826"/>
      <c r="AIA10" s="826"/>
      <c r="AIB10" s="826"/>
      <c r="AIC10" s="826"/>
      <c r="AID10" s="826"/>
      <c r="AIE10" s="826"/>
      <c r="AIF10" s="826"/>
      <c r="AIG10" s="826"/>
      <c r="AIH10" s="826"/>
      <c r="AII10" s="826"/>
      <c r="AIJ10" s="826"/>
      <c r="AIK10" s="826"/>
      <c r="AIL10" s="826"/>
      <c r="AIM10" s="826"/>
      <c r="AIN10" s="826"/>
      <c r="AIO10" s="826"/>
      <c r="AIP10" s="826"/>
      <c r="AIQ10" s="826"/>
      <c r="AIR10" s="826"/>
      <c r="AIS10" s="826"/>
      <c r="AIT10" s="826"/>
      <c r="AIU10" s="826"/>
      <c r="AIV10" s="826"/>
      <c r="AIW10" s="826"/>
      <c r="AIX10" s="826"/>
      <c r="AIY10" s="826"/>
      <c r="AIZ10" s="826"/>
      <c r="AJA10" s="826"/>
      <c r="AJB10" s="826"/>
      <c r="AJC10" s="826"/>
      <c r="AJD10" s="826"/>
      <c r="AJE10" s="826"/>
      <c r="AJF10" s="826"/>
      <c r="AJG10" s="826"/>
      <c r="AJH10" s="826"/>
      <c r="AJI10" s="826"/>
      <c r="AJJ10" s="826"/>
      <c r="AJK10" s="826"/>
      <c r="AJL10" s="826"/>
      <c r="AJM10" s="826"/>
      <c r="AJN10" s="826"/>
      <c r="AJO10" s="826"/>
      <c r="AJP10" s="826"/>
      <c r="AJQ10" s="826"/>
      <c r="AJR10" s="826"/>
      <c r="AJS10" s="826"/>
      <c r="AJT10" s="826"/>
      <c r="AJU10" s="826"/>
      <c r="AJV10" s="826"/>
      <c r="AJW10" s="826"/>
      <c r="AJX10" s="826"/>
      <c r="AJY10" s="826"/>
      <c r="AJZ10" s="826"/>
      <c r="AKA10" s="826"/>
      <c r="AKB10" s="826"/>
      <c r="AKC10" s="826"/>
      <c r="AKD10" s="826"/>
      <c r="AKE10" s="826"/>
      <c r="AKF10" s="826"/>
      <c r="AKG10" s="826"/>
      <c r="AKH10" s="826"/>
      <c r="AKI10" s="826"/>
      <c r="AKJ10" s="826"/>
      <c r="AKK10" s="826"/>
      <c r="AKL10" s="826"/>
      <c r="AKM10" s="826"/>
      <c r="AKN10" s="826"/>
      <c r="AKO10" s="826"/>
      <c r="AKP10" s="826"/>
      <c r="AKQ10" s="826"/>
      <c r="AKR10" s="826"/>
      <c r="AKS10" s="826"/>
      <c r="AKT10" s="826"/>
      <c r="AKU10" s="826"/>
      <c r="AKV10" s="826"/>
      <c r="AKW10" s="826"/>
      <c r="AKX10" s="826"/>
      <c r="AKY10" s="826"/>
      <c r="AKZ10" s="826"/>
      <c r="ALA10" s="826"/>
      <c r="ALB10" s="826"/>
      <c r="ALC10" s="826"/>
      <c r="ALD10" s="826"/>
      <c r="ALE10" s="826"/>
      <c r="ALF10" s="826"/>
      <c r="ALG10" s="826"/>
      <c r="ALH10" s="826"/>
      <c r="ALI10" s="826"/>
      <c r="ALJ10" s="826"/>
      <c r="ALK10" s="826"/>
      <c r="ALL10" s="826"/>
      <c r="ALM10" s="826"/>
      <c r="ALN10" s="826"/>
      <c r="ALO10" s="826"/>
      <c r="ALP10" s="826"/>
      <c r="ALQ10" s="826"/>
      <c r="ALR10" s="826"/>
      <c r="ALS10" s="826"/>
      <c r="ALT10" s="826"/>
      <c r="ALU10" s="826"/>
      <c r="ALV10" s="826"/>
      <c r="ALW10" s="826"/>
      <c r="ALX10" s="826"/>
      <c r="ALY10" s="826"/>
      <c r="ALZ10" s="826"/>
      <c r="AMA10" s="826"/>
      <c r="AMB10" s="826"/>
      <c r="AMC10" s="826"/>
      <c r="AMD10" s="826"/>
      <c r="AME10" s="826"/>
      <c r="AMF10" s="826"/>
      <c r="AMG10" s="826"/>
      <c r="AMH10" s="826"/>
      <c r="AMI10" s="826"/>
      <c r="AMJ10" s="826"/>
      <c r="AMK10" s="826"/>
      <c r="AML10" s="826"/>
      <c r="AMM10" s="826"/>
      <c r="AMN10" s="826"/>
      <c r="AMO10" s="826"/>
      <c r="AMP10" s="826"/>
      <c r="AMQ10" s="826"/>
      <c r="AMR10" s="826"/>
      <c r="AMS10" s="826"/>
      <c r="AMT10" s="826"/>
      <c r="AMU10" s="826"/>
      <c r="AMV10" s="826"/>
      <c r="AMW10" s="826"/>
      <c r="AMX10" s="826"/>
      <c r="AMY10" s="826"/>
      <c r="AMZ10" s="826"/>
      <c r="ANA10" s="826"/>
      <c r="ANB10" s="826"/>
      <c r="ANC10" s="826"/>
      <c r="AND10" s="826"/>
      <c r="ANE10" s="826"/>
      <c r="ANF10" s="826"/>
      <c r="ANG10" s="826"/>
      <c r="ANH10" s="826"/>
      <c r="ANI10" s="826"/>
      <c r="ANJ10" s="826"/>
      <c r="ANK10" s="826"/>
      <c r="ANL10" s="826"/>
      <c r="ANM10" s="826"/>
      <c r="ANN10" s="826"/>
      <c r="ANO10" s="826"/>
      <c r="ANP10" s="826"/>
      <c r="ANQ10" s="826"/>
      <c r="ANR10" s="826"/>
      <c r="ANS10" s="826"/>
      <c r="ANT10" s="826"/>
      <c r="ANU10" s="826"/>
      <c r="ANV10" s="826"/>
      <c r="ANW10" s="826"/>
      <c r="ANX10" s="826"/>
      <c r="ANY10" s="826"/>
      <c r="ANZ10" s="826"/>
      <c r="AOA10" s="826"/>
      <c r="AOB10" s="826"/>
      <c r="AOC10" s="826"/>
      <c r="AOD10" s="826"/>
      <c r="AOE10" s="826"/>
      <c r="AOF10" s="826"/>
      <c r="AOG10" s="826"/>
      <c r="AOH10" s="826"/>
      <c r="AOI10" s="826"/>
      <c r="AOJ10" s="826"/>
      <c r="AOK10" s="826"/>
      <c r="AOL10" s="826"/>
      <c r="AOM10" s="826"/>
      <c r="AON10" s="826"/>
      <c r="AOO10" s="826"/>
      <c r="AOP10" s="826"/>
      <c r="AOQ10" s="826"/>
      <c r="AOR10" s="826"/>
      <c r="AOS10" s="826"/>
      <c r="AOT10" s="826"/>
      <c r="AOU10" s="826"/>
      <c r="AOV10" s="826"/>
      <c r="AOW10" s="826"/>
      <c r="AOX10" s="826"/>
      <c r="AOY10" s="826"/>
      <c r="AOZ10" s="826"/>
      <c r="APA10" s="826"/>
      <c r="APB10" s="826"/>
      <c r="APC10" s="826"/>
      <c r="APD10" s="826"/>
      <c r="APE10" s="826"/>
      <c r="APF10" s="826"/>
      <c r="APG10" s="826"/>
      <c r="APH10" s="826"/>
      <c r="API10" s="826"/>
      <c r="APJ10" s="826"/>
      <c r="APK10" s="826"/>
      <c r="APL10" s="826"/>
      <c r="APM10" s="826"/>
      <c r="APN10" s="826"/>
      <c r="APO10" s="826"/>
      <c r="APP10" s="826"/>
      <c r="APQ10" s="826"/>
      <c r="APR10" s="826"/>
      <c r="APS10" s="826"/>
      <c r="APT10" s="826"/>
      <c r="APU10" s="826"/>
      <c r="APV10" s="826"/>
      <c r="APW10" s="826"/>
      <c r="APX10" s="826"/>
      <c r="APY10" s="826"/>
      <c r="APZ10" s="826"/>
      <c r="AQA10" s="826"/>
      <c r="AQB10" s="826"/>
      <c r="AQC10" s="826"/>
      <c r="AQD10" s="826"/>
      <c r="AQE10" s="826"/>
      <c r="AQF10" s="826"/>
      <c r="AQG10" s="826"/>
      <c r="AQH10" s="826"/>
      <c r="AQI10" s="826"/>
      <c r="AQJ10" s="826"/>
      <c r="AQK10" s="826"/>
      <c r="AQL10" s="826"/>
      <c r="AQM10" s="826"/>
      <c r="AQN10" s="826"/>
      <c r="AQO10" s="826"/>
      <c r="AQP10" s="826"/>
      <c r="AQQ10" s="826"/>
      <c r="AQR10" s="826"/>
      <c r="AQS10" s="826"/>
      <c r="AQT10" s="826"/>
      <c r="AQU10" s="826"/>
      <c r="AQV10" s="826"/>
      <c r="AQW10" s="826"/>
      <c r="AQX10" s="826"/>
      <c r="AQY10" s="826"/>
      <c r="AQZ10" s="826"/>
      <c r="ARA10" s="826"/>
      <c r="ARB10" s="826"/>
      <c r="ARC10" s="826"/>
      <c r="ARD10" s="826"/>
      <c r="ARE10" s="826"/>
      <c r="ARF10" s="826"/>
      <c r="ARG10" s="826"/>
      <c r="ARH10" s="826"/>
      <c r="ARI10" s="826"/>
      <c r="ARJ10" s="826"/>
      <c r="ARK10" s="826"/>
      <c r="ARL10" s="826"/>
      <c r="ARM10" s="826"/>
      <c r="ARN10" s="826"/>
      <c r="ARO10" s="826"/>
      <c r="ARP10" s="826"/>
      <c r="ARQ10" s="826"/>
      <c r="ARR10" s="826"/>
      <c r="ARS10" s="826"/>
      <c r="ART10" s="826"/>
      <c r="ARU10" s="826"/>
      <c r="ARV10" s="826"/>
      <c r="ARW10" s="826"/>
      <c r="ARX10" s="826"/>
      <c r="ARY10" s="826"/>
      <c r="ARZ10" s="826"/>
      <c r="ASA10" s="826"/>
      <c r="ASB10" s="826"/>
      <c r="ASC10" s="826"/>
      <c r="ASD10" s="826"/>
      <c r="ASE10" s="826"/>
      <c r="ASF10" s="826"/>
      <c r="ASG10" s="826"/>
      <c r="ASH10" s="826"/>
      <c r="ASI10" s="826"/>
      <c r="ASJ10" s="826"/>
      <c r="ASK10" s="826"/>
      <c r="ASL10" s="826"/>
      <c r="ASM10" s="826"/>
      <c r="ASN10" s="826"/>
      <c r="ASO10" s="826"/>
      <c r="ASP10" s="826"/>
      <c r="ASQ10" s="826"/>
      <c r="ASR10" s="826"/>
      <c r="ASS10" s="826"/>
      <c r="AST10" s="826"/>
      <c r="ASU10" s="826"/>
      <c r="ASV10" s="826"/>
      <c r="ASW10" s="826"/>
      <c r="ASX10" s="826"/>
      <c r="ASY10" s="826"/>
      <c r="ASZ10" s="826"/>
      <c r="ATA10" s="826"/>
      <c r="ATB10" s="826"/>
      <c r="ATC10" s="826"/>
      <c r="ATD10" s="826"/>
      <c r="ATE10" s="826"/>
      <c r="ATF10" s="826"/>
      <c r="ATG10" s="826"/>
      <c r="ATH10" s="826"/>
      <c r="ATI10" s="826"/>
      <c r="ATJ10" s="826"/>
      <c r="ATK10" s="826"/>
      <c r="ATL10" s="826"/>
      <c r="ATM10" s="826"/>
      <c r="ATN10" s="826"/>
      <c r="ATO10" s="826"/>
      <c r="ATP10" s="826"/>
      <c r="ATQ10" s="826"/>
      <c r="ATR10" s="826"/>
      <c r="ATS10" s="826"/>
      <c r="ATT10" s="826"/>
      <c r="ATU10" s="826"/>
      <c r="ATV10" s="826"/>
      <c r="ATW10" s="826"/>
      <c r="ATX10" s="826"/>
      <c r="ATY10" s="826"/>
      <c r="ATZ10" s="826"/>
      <c r="AUA10" s="826"/>
      <c r="AUB10" s="826"/>
      <c r="AUC10" s="826"/>
      <c r="AUD10" s="826"/>
      <c r="AUE10" s="826"/>
      <c r="AUF10" s="826"/>
      <c r="AUG10" s="826"/>
      <c r="AUH10" s="826"/>
      <c r="AUI10" s="826"/>
      <c r="AUJ10" s="826"/>
      <c r="AUK10" s="826"/>
      <c r="AUL10" s="826"/>
      <c r="AUM10" s="826"/>
      <c r="AUN10" s="826"/>
      <c r="AUO10" s="826"/>
      <c r="AUP10" s="826"/>
      <c r="AUQ10" s="826"/>
      <c r="AUR10" s="826"/>
      <c r="AUS10" s="826"/>
      <c r="AUT10" s="826"/>
      <c r="AUU10" s="826"/>
      <c r="AUV10" s="826"/>
      <c r="AUW10" s="826"/>
      <c r="AUX10" s="826"/>
      <c r="AUY10" s="826"/>
      <c r="AUZ10" s="826"/>
      <c r="AVA10" s="826"/>
      <c r="AVB10" s="826"/>
      <c r="AVC10" s="826"/>
      <c r="AVD10" s="826"/>
      <c r="AVE10" s="826"/>
      <c r="AVF10" s="826"/>
      <c r="AVG10" s="826"/>
      <c r="AVH10" s="826"/>
      <c r="AVI10" s="826"/>
      <c r="AVJ10" s="826"/>
      <c r="AVK10" s="826"/>
      <c r="AVL10" s="826"/>
      <c r="AVM10" s="826"/>
      <c r="AVN10" s="826"/>
      <c r="AVO10" s="826"/>
      <c r="AVP10" s="826"/>
      <c r="AVQ10" s="826"/>
      <c r="AVR10" s="826"/>
      <c r="AVS10" s="826"/>
      <c r="AVT10" s="826"/>
      <c r="AVU10" s="826"/>
      <c r="AVV10" s="826"/>
      <c r="AVW10" s="826"/>
      <c r="AVX10" s="826"/>
      <c r="AVY10" s="826"/>
      <c r="AVZ10" s="826"/>
      <c r="AWA10" s="826"/>
      <c r="AWB10" s="826"/>
      <c r="AWC10" s="826"/>
      <c r="AWD10" s="826"/>
      <c r="AWE10" s="826"/>
      <c r="AWF10" s="826"/>
      <c r="AWG10" s="826"/>
      <c r="AWH10" s="826"/>
      <c r="AWI10" s="826"/>
      <c r="AWJ10" s="826"/>
      <c r="AWK10" s="826"/>
      <c r="AWL10" s="826"/>
      <c r="AWM10" s="826"/>
      <c r="AWN10" s="826"/>
      <c r="AWO10" s="826"/>
      <c r="AWP10" s="826"/>
      <c r="AWQ10" s="826"/>
      <c r="AWR10" s="826"/>
      <c r="AWS10" s="826"/>
      <c r="AWT10" s="826"/>
      <c r="AWU10" s="826"/>
      <c r="AWV10" s="826"/>
      <c r="AWW10" s="826"/>
      <c r="AWX10" s="826"/>
      <c r="AWY10" s="826"/>
      <c r="AWZ10" s="826"/>
      <c r="AXA10" s="826"/>
      <c r="AXB10" s="826"/>
      <c r="AXC10" s="826"/>
      <c r="AXD10" s="826"/>
      <c r="AXE10" s="826"/>
      <c r="AXF10" s="826"/>
      <c r="AXG10" s="826"/>
      <c r="AXH10" s="826"/>
      <c r="AXI10" s="826"/>
      <c r="AXJ10" s="826"/>
      <c r="AXK10" s="826"/>
      <c r="AXL10" s="826"/>
      <c r="AXM10" s="826"/>
      <c r="AXN10" s="826"/>
      <c r="AXO10" s="826"/>
      <c r="AXP10" s="826"/>
      <c r="AXQ10" s="826"/>
      <c r="AXR10" s="826"/>
      <c r="AXS10" s="826"/>
      <c r="AXT10" s="826"/>
      <c r="AXU10" s="826"/>
      <c r="AXV10" s="826"/>
      <c r="AXW10" s="826"/>
      <c r="AXX10" s="826"/>
      <c r="AXY10" s="826"/>
      <c r="AXZ10" s="826"/>
      <c r="AYA10" s="826"/>
      <c r="AYB10" s="826"/>
      <c r="AYC10" s="826"/>
      <c r="AYD10" s="826"/>
      <c r="AYE10" s="826"/>
      <c r="AYF10" s="826"/>
      <c r="AYG10" s="826"/>
      <c r="AYH10" s="826"/>
      <c r="AYI10" s="826"/>
      <c r="AYJ10" s="826"/>
      <c r="AYK10" s="826"/>
      <c r="AYL10" s="826"/>
      <c r="AYM10" s="826"/>
      <c r="AYN10" s="826"/>
      <c r="AYO10" s="826"/>
      <c r="AYP10" s="826"/>
      <c r="AYQ10" s="826"/>
      <c r="AYR10" s="826"/>
      <c r="AYS10" s="826"/>
      <c r="AYT10" s="826"/>
      <c r="AYU10" s="826"/>
      <c r="AYV10" s="826"/>
      <c r="AYW10" s="826"/>
      <c r="AYX10" s="826"/>
      <c r="AYY10" s="826"/>
      <c r="AYZ10" s="826"/>
      <c r="AZA10" s="826"/>
      <c r="AZB10" s="826"/>
      <c r="AZC10" s="826"/>
      <c r="AZD10" s="826"/>
      <c r="AZE10" s="826"/>
      <c r="AZF10" s="826"/>
      <c r="AZG10" s="826"/>
      <c r="AZH10" s="826"/>
      <c r="AZI10" s="826"/>
      <c r="AZJ10" s="826"/>
      <c r="AZK10" s="826"/>
      <c r="AZL10" s="826"/>
      <c r="AZM10" s="826"/>
      <c r="AZN10" s="826"/>
      <c r="AZO10" s="826"/>
      <c r="AZP10" s="826"/>
      <c r="AZQ10" s="826"/>
      <c r="AZR10" s="826"/>
      <c r="AZS10" s="826"/>
      <c r="AZT10" s="826"/>
      <c r="AZU10" s="826"/>
      <c r="AZV10" s="826"/>
      <c r="AZW10" s="826"/>
      <c r="AZX10" s="826"/>
      <c r="AZY10" s="826"/>
      <c r="AZZ10" s="826"/>
      <c r="BAA10" s="826"/>
      <c r="BAB10" s="826"/>
      <c r="BAC10" s="826"/>
      <c r="BAD10" s="826"/>
      <c r="BAE10" s="826"/>
      <c r="BAF10" s="826"/>
      <c r="BAG10" s="826"/>
      <c r="BAH10" s="826"/>
      <c r="BAI10" s="826"/>
      <c r="BAJ10" s="826"/>
      <c r="BAK10" s="826"/>
      <c r="BAL10" s="826"/>
      <c r="BAM10" s="826"/>
      <c r="BAN10" s="826"/>
      <c r="BAO10" s="826"/>
      <c r="BAP10" s="826"/>
      <c r="BAQ10" s="826"/>
      <c r="BAR10" s="826"/>
      <c r="BAS10" s="826"/>
      <c r="BAT10" s="826"/>
      <c r="BAU10" s="826"/>
      <c r="BAV10" s="826"/>
      <c r="BAW10" s="826"/>
      <c r="BAX10" s="826"/>
      <c r="BAY10" s="826"/>
      <c r="BAZ10" s="826"/>
      <c r="BBA10" s="826"/>
      <c r="BBB10" s="826"/>
      <c r="BBC10" s="826"/>
      <c r="BBD10" s="826"/>
      <c r="BBE10" s="826"/>
      <c r="BBF10" s="826"/>
      <c r="BBG10" s="826"/>
      <c r="BBH10" s="826"/>
      <c r="BBI10" s="826"/>
      <c r="BBJ10" s="826"/>
      <c r="BBK10" s="826"/>
      <c r="BBL10" s="826"/>
      <c r="BBM10" s="826"/>
      <c r="BBN10" s="826"/>
      <c r="BBO10" s="826"/>
      <c r="BBP10" s="826"/>
      <c r="BBQ10" s="826"/>
      <c r="BBR10" s="826"/>
      <c r="BBS10" s="826"/>
      <c r="BBT10" s="826"/>
      <c r="BBU10" s="826"/>
      <c r="BBV10" s="826"/>
      <c r="BBW10" s="826"/>
      <c r="BBX10" s="826"/>
      <c r="BBY10" s="826"/>
      <c r="BBZ10" s="826"/>
      <c r="BCA10" s="826"/>
      <c r="BCB10" s="826"/>
      <c r="BCC10" s="826"/>
      <c r="BCD10" s="826"/>
      <c r="BCE10" s="826"/>
      <c r="BCF10" s="826"/>
      <c r="BCG10" s="826"/>
      <c r="BCH10" s="826"/>
      <c r="BCI10" s="826"/>
      <c r="BCJ10" s="826"/>
      <c r="BCK10" s="826"/>
      <c r="BCL10" s="826"/>
      <c r="BCM10" s="826"/>
      <c r="BCN10" s="826"/>
      <c r="BCO10" s="826"/>
      <c r="BCP10" s="826"/>
      <c r="BCQ10" s="826"/>
      <c r="BCR10" s="826"/>
      <c r="BCS10" s="826"/>
      <c r="BCT10" s="826"/>
      <c r="BCU10" s="826"/>
      <c r="BCV10" s="826"/>
      <c r="BCW10" s="826"/>
      <c r="BCX10" s="826"/>
      <c r="BCY10" s="826"/>
      <c r="BCZ10" s="826"/>
      <c r="BDA10" s="826"/>
      <c r="BDB10" s="826"/>
      <c r="BDC10" s="826"/>
      <c r="BDD10" s="826"/>
      <c r="BDE10" s="826"/>
      <c r="BDF10" s="826"/>
      <c r="BDG10" s="826"/>
      <c r="BDH10" s="826"/>
      <c r="BDI10" s="826"/>
      <c r="BDJ10" s="826"/>
      <c r="BDK10" s="826"/>
      <c r="BDL10" s="826"/>
      <c r="BDM10" s="826"/>
      <c r="BDN10" s="826"/>
      <c r="BDO10" s="826"/>
      <c r="BDP10" s="826"/>
      <c r="BDQ10" s="826"/>
      <c r="BDR10" s="826"/>
      <c r="BDS10" s="826"/>
      <c r="BDT10" s="826"/>
      <c r="BDU10" s="826"/>
      <c r="BDV10" s="826"/>
      <c r="BDW10" s="826"/>
      <c r="BDX10" s="826"/>
      <c r="BDY10" s="826"/>
      <c r="BDZ10" s="826"/>
      <c r="BEA10" s="826"/>
      <c r="BEB10" s="826"/>
      <c r="BEC10" s="826"/>
      <c r="BED10" s="826"/>
      <c r="BEE10" s="826"/>
      <c r="BEF10" s="826"/>
      <c r="BEG10" s="826"/>
      <c r="BEH10" s="826"/>
      <c r="BEI10" s="826"/>
      <c r="BEJ10" s="826"/>
      <c r="BEK10" s="826"/>
      <c r="BEL10" s="826"/>
      <c r="BEM10" s="826"/>
      <c r="BEN10" s="826"/>
      <c r="BEO10" s="826"/>
      <c r="BEP10" s="826"/>
      <c r="BEQ10" s="826"/>
      <c r="BER10" s="826"/>
      <c r="BES10" s="826"/>
      <c r="BET10" s="826"/>
      <c r="BEU10" s="826"/>
      <c r="BEV10" s="826"/>
      <c r="BEW10" s="826"/>
      <c r="BEX10" s="826"/>
      <c r="BEY10" s="826"/>
      <c r="BEZ10" s="826"/>
      <c r="BFA10" s="826"/>
      <c r="BFB10" s="826"/>
      <c r="BFC10" s="826"/>
      <c r="BFD10" s="826"/>
      <c r="BFE10" s="826"/>
      <c r="BFF10" s="826"/>
      <c r="BFG10" s="826"/>
      <c r="BFH10" s="826"/>
      <c r="BFI10" s="826"/>
      <c r="BFJ10" s="826"/>
      <c r="BFK10" s="826"/>
      <c r="BFL10" s="826"/>
      <c r="BFM10" s="826"/>
      <c r="BFN10" s="826"/>
      <c r="BFO10" s="826"/>
      <c r="BFP10" s="826"/>
      <c r="BFQ10" s="826"/>
      <c r="BFR10" s="826"/>
      <c r="BFS10" s="826"/>
      <c r="BFT10" s="826"/>
      <c r="BFU10" s="826"/>
      <c r="BFV10" s="826"/>
      <c r="BFW10" s="826"/>
      <c r="BFX10" s="826"/>
      <c r="BFY10" s="826"/>
      <c r="BFZ10" s="826"/>
      <c r="BGA10" s="826"/>
      <c r="BGB10" s="826"/>
      <c r="BGC10" s="826"/>
      <c r="BGD10" s="826"/>
      <c r="BGE10" s="826"/>
      <c r="BGF10" s="826"/>
      <c r="BGG10" s="826"/>
      <c r="BGH10" s="826"/>
      <c r="BGI10" s="826"/>
      <c r="BGJ10" s="826"/>
      <c r="BGK10" s="826"/>
      <c r="BGL10" s="826"/>
      <c r="BGM10" s="826"/>
      <c r="BGN10" s="826"/>
      <c r="BGO10" s="826"/>
      <c r="BGP10" s="826"/>
      <c r="BGQ10" s="826"/>
      <c r="BGR10" s="826"/>
      <c r="BGS10" s="826"/>
      <c r="BGT10" s="826"/>
      <c r="BGU10" s="826"/>
      <c r="BGV10" s="826"/>
      <c r="BGW10" s="826"/>
      <c r="BGX10" s="826"/>
      <c r="BGY10" s="826"/>
      <c r="BGZ10" s="826"/>
      <c r="BHA10" s="826"/>
      <c r="BHB10" s="826"/>
      <c r="BHC10" s="826"/>
      <c r="BHD10" s="826"/>
      <c r="BHE10" s="826"/>
      <c r="BHF10" s="826"/>
      <c r="BHG10" s="826"/>
      <c r="BHH10" s="826"/>
      <c r="BHI10" s="826"/>
      <c r="BHJ10" s="826"/>
      <c r="BHK10" s="826"/>
      <c r="BHL10" s="826"/>
      <c r="BHM10" s="826"/>
      <c r="BHN10" s="826"/>
      <c r="BHO10" s="826"/>
      <c r="BHP10" s="826"/>
      <c r="BHQ10" s="826"/>
      <c r="BHR10" s="826"/>
      <c r="BHS10" s="826"/>
      <c r="BHT10" s="826"/>
      <c r="BHU10" s="826"/>
      <c r="BHV10" s="826"/>
      <c r="BHW10" s="826"/>
      <c r="BHX10" s="826"/>
      <c r="BHY10" s="826"/>
      <c r="BHZ10" s="826"/>
      <c r="BIA10" s="826"/>
      <c r="BIB10" s="826"/>
      <c r="BIC10" s="826"/>
      <c r="BID10" s="826"/>
      <c r="BIE10" s="826"/>
      <c r="BIF10" s="826"/>
      <c r="BIG10" s="826"/>
      <c r="BIH10" s="826"/>
      <c r="BII10" s="826"/>
      <c r="BIJ10" s="826"/>
      <c r="BIK10" s="826"/>
      <c r="BIL10" s="826"/>
      <c r="BIM10" s="826"/>
      <c r="BIN10" s="826"/>
      <c r="BIO10" s="826"/>
      <c r="BIP10" s="826"/>
      <c r="BIQ10" s="826"/>
      <c r="BIR10" s="826"/>
      <c r="BIS10" s="826"/>
      <c r="BIT10" s="826"/>
      <c r="BIU10" s="826"/>
      <c r="BIV10" s="826"/>
      <c r="BIW10" s="826"/>
      <c r="BIX10" s="826"/>
      <c r="BIY10" s="826"/>
      <c r="BIZ10" s="826"/>
      <c r="BJA10" s="826"/>
      <c r="BJB10" s="826"/>
      <c r="BJC10" s="826"/>
      <c r="BJD10" s="826"/>
      <c r="BJE10" s="826"/>
      <c r="BJF10" s="826"/>
      <c r="BJG10" s="826"/>
      <c r="BJH10" s="826"/>
      <c r="BJI10" s="826"/>
      <c r="BJJ10" s="826"/>
      <c r="BJK10" s="826"/>
      <c r="BJL10" s="826"/>
      <c r="BJM10" s="826"/>
      <c r="BJN10" s="826"/>
      <c r="BJO10" s="826"/>
      <c r="BJP10" s="826"/>
      <c r="BJQ10" s="826"/>
      <c r="BJR10" s="826"/>
      <c r="BJS10" s="826"/>
      <c r="BJT10" s="826"/>
      <c r="BJU10" s="826"/>
      <c r="BJV10" s="826"/>
      <c r="BJW10" s="826"/>
      <c r="BJX10" s="826"/>
      <c r="BJY10" s="826"/>
      <c r="BJZ10" s="826"/>
      <c r="BKA10" s="826"/>
      <c r="BKB10" s="826"/>
      <c r="BKC10" s="826"/>
      <c r="BKD10" s="826"/>
      <c r="BKE10" s="826"/>
      <c r="BKF10" s="826"/>
      <c r="BKG10" s="826"/>
      <c r="BKH10" s="826"/>
      <c r="BKI10" s="826"/>
      <c r="BKJ10" s="826"/>
      <c r="BKK10" s="826"/>
      <c r="BKL10" s="826"/>
      <c r="BKM10" s="826"/>
      <c r="BKN10" s="826"/>
      <c r="BKO10" s="826"/>
      <c r="BKP10" s="826"/>
      <c r="BKQ10" s="826"/>
      <c r="BKR10" s="826"/>
      <c r="BKS10" s="826"/>
      <c r="BKT10" s="826"/>
      <c r="BKU10" s="826"/>
      <c r="BKV10" s="826"/>
      <c r="BKW10" s="826"/>
      <c r="BKX10" s="826"/>
      <c r="BKY10" s="826"/>
      <c r="BKZ10" s="826"/>
      <c r="BLA10" s="826"/>
      <c r="BLB10" s="826"/>
      <c r="BLC10" s="826"/>
      <c r="BLD10" s="826"/>
      <c r="BLE10" s="826"/>
      <c r="BLF10" s="826"/>
      <c r="BLG10" s="826"/>
      <c r="BLH10" s="826"/>
      <c r="BLI10" s="826"/>
      <c r="BLJ10" s="826"/>
      <c r="BLK10" s="826"/>
      <c r="BLL10" s="826"/>
      <c r="BLM10" s="826"/>
      <c r="BLN10" s="826"/>
      <c r="BLO10" s="826"/>
      <c r="BLP10" s="826"/>
      <c r="BLQ10" s="826"/>
      <c r="BLR10" s="826"/>
      <c r="BLS10" s="826"/>
      <c r="BLT10" s="826"/>
      <c r="BLU10" s="826"/>
      <c r="BLV10" s="826"/>
      <c r="BLW10" s="826"/>
      <c r="BLX10" s="826"/>
      <c r="BLY10" s="826"/>
      <c r="BLZ10" s="826"/>
      <c r="BMA10" s="826"/>
      <c r="BMB10" s="826"/>
      <c r="BMC10" s="826"/>
      <c r="BMD10" s="826"/>
      <c r="BME10" s="826"/>
      <c r="BMF10" s="826"/>
      <c r="BMG10" s="826"/>
      <c r="BMH10" s="826"/>
      <c r="BMI10" s="826"/>
      <c r="BMJ10" s="826"/>
      <c r="BMK10" s="826"/>
      <c r="BML10" s="826"/>
      <c r="BMM10" s="826"/>
      <c r="BMN10" s="826"/>
      <c r="BMO10" s="826"/>
      <c r="BMP10" s="826"/>
      <c r="BMQ10" s="826"/>
      <c r="BMR10" s="826"/>
      <c r="BMS10" s="826"/>
      <c r="BMT10" s="826"/>
      <c r="BMU10" s="826"/>
      <c r="BMV10" s="826"/>
      <c r="BMW10" s="826"/>
      <c r="BMX10" s="826"/>
      <c r="BMY10" s="826"/>
      <c r="BMZ10" s="826"/>
      <c r="BNA10" s="826"/>
      <c r="BNB10" s="826"/>
      <c r="BNC10" s="826"/>
      <c r="BND10" s="826"/>
      <c r="BNE10" s="826"/>
      <c r="BNF10" s="826"/>
      <c r="BNG10" s="826"/>
      <c r="BNH10" s="826"/>
      <c r="BNI10" s="826"/>
      <c r="BNJ10" s="826"/>
      <c r="BNK10" s="826"/>
      <c r="BNL10" s="826"/>
      <c r="BNM10" s="826"/>
      <c r="BNN10" s="826"/>
      <c r="BNO10" s="826"/>
      <c r="BNP10" s="826"/>
      <c r="BNQ10" s="826"/>
      <c r="BNR10" s="826"/>
      <c r="BNS10" s="826"/>
      <c r="BNT10" s="826"/>
      <c r="BNU10" s="826"/>
      <c r="BNV10" s="826"/>
      <c r="BNW10" s="826"/>
      <c r="BNX10" s="826"/>
      <c r="BNY10" s="826"/>
      <c r="BNZ10" s="826"/>
      <c r="BOA10" s="826"/>
      <c r="BOB10" s="826"/>
      <c r="BOC10" s="826"/>
      <c r="BOD10" s="826"/>
      <c r="BOE10" s="826"/>
      <c r="BOF10" s="826"/>
      <c r="BOG10" s="826"/>
      <c r="BOH10" s="826"/>
      <c r="BOI10" s="826"/>
      <c r="BOJ10" s="826"/>
      <c r="BOK10" s="826"/>
      <c r="BOL10" s="826"/>
      <c r="BOM10" s="826"/>
      <c r="BON10" s="826"/>
      <c r="BOO10" s="826"/>
      <c r="BOP10" s="826"/>
      <c r="BOQ10" s="826"/>
      <c r="BOR10" s="826"/>
      <c r="BOS10" s="826"/>
      <c r="BOT10" s="826"/>
      <c r="BOU10" s="826"/>
      <c r="BOV10" s="826"/>
      <c r="BOW10" s="826"/>
      <c r="BOX10" s="826"/>
      <c r="BOY10" s="826"/>
      <c r="BOZ10" s="826"/>
      <c r="BPA10" s="826"/>
      <c r="BPB10" s="826"/>
      <c r="BPC10" s="826"/>
      <c r="BPD10" s="826"/>
      <c r="BPE10" s="826"/>
      <c r="BPF10" s="826"/>
      <c r="BPG10" s="826"/>
      <c r="BPH10" s="826"/>
      <c r="BPI10" s="826"/>
      <c r="BPJ10" s="826"/>
      <c r="BPK10" s="826"/>
      <c r="BPL10" s="826"/>
      <c r="BPM10" s="826"/>
      <c r="BPN10" s="826"/>
      <c r="BPO10" s="826"/>
      <c r="BPP10" s="826"/>
      <c r="BPQ10" s="826"/>
      <c r="BPR10" s="826"/>
      <c r="BPS10" s="826"/>
      <c r="BPT10" s="826"/>
      <c r="BPU10" s="826"/>
      <c r="BPV10" s="826"/>
      <c r="BPW10" s="826"/>
      <c r="BPX10" s="826"/>
      <c r="BPY10" s="826"/>
      <c r="BPZ10" s="826"/>
      <c r="BQA10" s="826"/>
      <c r="BQB10" s="826"/>
      <c r="BQC10" s="826"/>
      <c r="BQD10" s="826"/>
      <c r="BQE10" s="826"/>
      <c r="BQF10" s="826"/>
      <c r="BQG10" s="826"/>
      <c r="BQH10" s="826"/>
      <c r="BQI10" s="826"/>
      <c r="BQJ10" s="826"/>
      <c r="BQK10" s="826"/>
      <c r="BQL10" s="826"/>
      <c r="BQM10" s="826"/>
      <c r="BQN10" s="826"/>
      <c r="BQO10" s="826"/>
      <c r="BQP10" s="826"/>
      <c r="BQQ10" s="826"/>
      <c r="BQR10" s="826"/>
      <c r="BQS10" s="826"/>
      <c r="BQT10" s="826"/>
      <c r="BQU10" s="826"/>
      <c r="BQV10" s="826"/>
      <c r="BQW10" s="826"/>
      <c r="BQX10" s="826"/>
      <c r="BQY10" s="826"/>
      <c r="BQZ10" s="826"/>
      <c r="BRA10" s="826"/>
      <c r="BRB10" s="826"/>
      <c r="BRC10" s="826"/>
      <c r="BRD10" s="826"/>
      <c r="BRE10" s="826"/>
      <c r="BRF10" s="826"/>
      <c r="BRG10" s="826"/>
      <c r="BRH10" s="826"/>
      <c r="BRI10" s="826"/>
      <c r="BRJ10" s="826"/>
      <c r="BRK10" s="826"/>
      <c r="BRL10" s="826"/>
      <c r="BRM10" s="826"/>
      <c r="BRN10" s="826"/>
      <c r="BRO10" s="826"/>
      <c r="BRP10" s="826"/>
      <c r="BRQ10" s="826"/>
      <c r="BRR10" s="826"/>
      <c r="BRS10" s="826"/>
      <c r="BRT10" s="826"/>
      <c r="BRU10" s="826"/>
      <c r="BRV10" s="826"/>
      <c r="BRW10" s="826"/>
      <c r="BRX10" s="826"/>
      <c r="BRY10" s="826"/>
      <c r="BRZ10" s="826"/>
      <c r="BSA10" s="826"/>
      <c r="BSB10" s="826"/>
      <c r="BSC10" s="826"/>
      <c r="BSD10" s="826"/>
      <c r="BSE10" s="826"/>
      <c r="BSF10" s="826"/>
      <c r="BSG10" s="826"/>
      <c r="BSH10" s="826"/>
      <c r="BSI10" s="826"/>
      <c r="BSJ10" s="826"/>
      <c r="BSK10" s="826"/>
      <c r="BSL10" s="826"/>
      <c r="BSM10" s="826"/>
      <c r="BSN10" s="826"/>
      <c r="BSO10" s="826"/>
      <c r="BSP10" s="826"/>
      <c r="BSQ10" s="826"/>
      <c r="BSR10" s="826"/>
      <c r="BSS10" s="826"/>
      <c r="BST10" s="826"/>
    </row>
    <row r="11" spans="1:1866" s="825" customFormat="1" ht="20.100000000000001" customHeight="1" x14ac:dyDescent="0.25">
      <c r="A11" s="826"/>
      <c r="B11" s="3173"/>
      <c r="C11" s="1489" t="s">
        <v>282</v>
      </c>
      <c r="D11" s="1487">
        <f>SUMIF(Bfr!$B$26:$B$29,"="&amp;C11,Bfr!$D$26:$D$29)</f>
        <v>0</v>
      </c>
      <c r="E11" s="1473"/>
      <c r="F11" s="1473"/>
      <c r="G11" s="1473">
        <f>E6*$D$11</f>
        <v>0</v>
      </c>
      <c r="H11" s="1473">
        <f t="shared" ref="H11:P11" si="13">F6*$D$11</f>
        <v>0</v>
      </c>
      <c r="I11" s="1473">
        <f t="shared" si="13"/>
        <v>0</v>
      </c>
      <c r="J11" s="1473">
        <f t="shared" si="13"/>
        <v>0</v>
      </c>
      <c r="K11" s="1473">
        <f t="shared" si="13"/>
        <v>0</v>
      </c>
      <c r="L11" s="1473">
        <f t="shared" si="13"/>
        <v>0</v>
      </c>
      <c r="M11" s="1473">
        <f t="shared" si="13"/>
        <v>0</v>
      </c>
      <c r="N11" s="1473">
        <f t="shared" si="13"/>
        <v>0</v>
      </c>
      <c r="O11" s="1473">
        <f t="shared" si="13"/>
        <v>0</v>
      </c>
      <c r="P11" s="1473">
        <f t="shared" si="13"/>
        <v>0</v>
      </c>
      <c r="Q11" s="1473">
        <f t="shared" ref="Q11" si="14">O6*$D$11</f>
        <v>0</v>
      </c>
      <c r="R11" s="1473">
        <f t="shared" ref="R11" si="15">P6*$D$11</f>
        <v>0</v>
      </c>
      <c r="S11" s="1473">
        <f t="shared" ref="S11" si="16">Q6*$D$11</f>
        <v>0</v>
      </c>
      <c r="T11" s="1473">
        <f t="shared" ref="T11" si="17">R6*$D$11</f>
        <v>0</v>
      </c>
      <c r="U11" s="1473">
        <f t="shared" ref="U11" si="18">S6*$D$11</f>
        <v>0</v>
      </c>
      <c r="V11" s="1488">
        <f t="shared" ref="V11" si="19">T6*$D$11</f>
        <v>0</v>
      </c>
      <c r="W11" s="826"/>
      <c r="X11" s="874">
        <f t="shared" si="9"/>
        <v>0</v>
      </c>
      <c r="Y11" s="874">
        <f>U6*D11</f>
        <v>0</v>
      </c>
      <c r="Z11" s="874">
        <f>V6*D11</f>
        <v>0</v>
      </c>
      <c r="AA11" s="866"/>
      <c r="AB11" s="826"/>
      <c r="AC11" s="826"/>
      <c r="AD11" s="826"/>
      <c r="AE11" s="826"/>
      <c r="AF11" s="826"/>
      <c r="AG11" s="826"/>
      <c r="AH11" s="826"/>
      <c r="AI11" s="826"/>
      <c r="AJ11" s="826"/>
      <c r="AK11" s="826"/>
      <c r="AL11" s="826"/>
      <c r="AM11" s="826"/>
      <c r="AN11" s="826"/>
      <c r="AO11" s="826"/>
      <c r="AP11" s="826"/>
      <c r="AQ11" s="826"/>
      <c r="AR11" s="826"/>
      <c r="AS11" s="826"/>
      <c r="AT11" s="826"/>
      <c r="AU11" s="826"/>
      <c r="AV11" s="826"/>
      <c r="AW11" s="826"/>
      <c r="AX11" s="826"/>
      <c r="AY11" s="826"/>
      <c r="AZ11" s="826"/>
      <c r="BA11" s="826"/>
      <c r="BB11" s="826"/>
      <c r="BC11" s="826"/>
      <c r="BD11" s="826"/>
      <c r="BE11" s="826"/>
      <c r="BF11" s="826"/>
      <c r="BG11" s="826"/>
      <c r="BH11" s="826"/>
      <c r="BI11" s="826"/>
      <c r="BJ11" s="826"/>
      <c r="BK11" s="826"/>
      <c r="BL11" s="826"/>
      <c r="BM11" s="826"/>
      <c r="BN11" s="826"/>
      <c r="BO11" s="826"/>
      <c r="BP11" s="826"/>
      <c r="BQ11" s="826"/>
      <c r="BR11" s="826"/>
      <c r="BS11" s="826"/>
      <c r="BT11" s="826"/>
      <c r="BU11" s="826"/>
      <c r="BV11" s="826"/>
      <c r="BW11" s="826"/>
      <c r="BX11" s="826"/>
      <c r="BY11" s="826"/>
      <c r="BZ11" s="826"/>
      <c r="CA11" s="826"/>
      <c r="CB11" s="826"/>
      <c r="CC11" s="826"/>
      <c r="CD11" s="826"/>
      <c r="CE11" s="826"/>
      <c r="CF11" s="826"/>
      <c r="CG11" s="826"/>
      <c r="CH11" s="826"/>
      <c r="CI11" s="826"/>
      <c r="CJ11" s="826"/>
      <c r="CK11" s="826"/>
      <c r="CL11" s="826"/>
      <c r="CM11" s="826"/>
      <c r="CN11" s="826"/>
      <c r="CO11" s="826"/>
      <c r="CP11" s="826"/>
      <c r="CQ11" s="826"/>
      <c r="CR11" s="826"/>
      <c r="CS11" s="826"/>
      <c r="CT11" s="826"/>
      <c r="CU11" s="826"/>
      <c r="CV11" s="826"/>
      <c r="CW11" s="826"/>
      <c r="CX11" s="826"/>
      <c r="CY11" s="826"/>
      <c r="CZ11" s="826"/>
      <c r="DA11" s="826"/>
      <c r="DB11" s="826"/>
      <c r="DC11" s="826"/>
      <c r="DD11" s="826"/>
      <c r="DE11" s="826"/>
      <c r="DF11" s="826"/>
      <c r="DG11" s="826"/>
      <c r="DH11" s="826"/>
      <c r="DI11" s="826"/>
      <c r="DJ11" s="826"/>
      <c r="DK11" s="826"/>
      <c r="DL11" s="826"/>
      <c r="DM11" s="826"/>
      <c r="DN11" s="826"/>
      <c r="DO11" s="826"/>
      <c r="DP11" s="826"/>
      <c r="DQ11" s="826"/>
      <c r="DR11" s="826"/>
      <c r="DS11" s="826"/>
      <c r="DT11" s="826"/>
      <c r="DU11" s="826"/>
      <c r="DV11" s="826"/>
      <c r="DW11" s="826"/>
      <c r="DX11" s="826"/>
      <c r="DY11" s="826"/>
      <c r="DZ11" s="826"/>
      <c r="EA11" s="826"/>
      <c r="EB11" s="826"/>
      <c r="EC11" s="826"/>
      <c r="ED11" s="826"/>
      <c r="EE11" s="826"/>
      <c r="EF11" s="826"/>
      <c r="EG11" s="826"/>
      <c r="EH11" s="826"/>
      <c r="EI11" s="826"/>
      <c r="EJ11" s="826"/>
      <c r="EK11" s="826"/>
      <c r="EL11" s="826"/>
      <c r="EM11" s="826"/>
      <c r="EN11" s="826"/>
      <c r="EO11" s="826"/>
      <c r="EP11" s="826"/>
      <c r="EQ11" s="826"/>
      <c r="ER11" s="826"/>
      <c r="ES11" s="826"/>
      <c r="ET11" s="826"/>
      <c r="EU11" s="826"/>
      <c r="EV11" s="826"/>
      <c r="EW11" s="826"/>
      <c r="EX11" s="826"/>
      <c r="EY11" s="826"/>
      <c r="EZ11" s="826"/>
      <c r="FA11" s="826"/>
      <c r="FB11" s="826"/>
      <c r="FC11" s="826"/>
      <c r="FD11" s="826"/>
      <c r="FE11" s="826"/>
      <c r="FF11" s="826"/>
      <c r="FG11" s="826"/>
      <c r="FH11" s="826"/>
      <c r="FI11" s="826"/>
      <c r="FJ11" s="826"/>
      <c r="FK11" s="826"/>
      <c r="FL11" s="826"/>
      <c r="FM11" s="826"/>
      <c r="FN11" s="826"/>
      <c r="FO11" s="826"/>
      <c r="FP11" s="826"/>
      <c r="FQ11" s="826"/>
      <c r="FR11" s="826"/>
      <c r="FS11" s="826"/>
      <c r="FT11" s="826"/>
      <c r="FU11" s="826"/>
      <c r="FV11" s="826"/>
      <c r="FW11" s="826"/>
      <c r="FX11" s="826"/>
      <c r="FY11" s="826"/>
      <c r="FZ11" s="826"/>
      <c r="GA11" s="826"/>
      <c r="GB11" s="826"/>
      <c r="GC11" s="826"/>
      <c r="GD11" s="826"/>
      <c r="GE11" s="826"/>
      <c r="GF11" s="826"/>
      <c r="GG11" s="826"/>
      <c r="GH11" s="826"/>
      <c r="GI11" s="826"/>
      <c r="GJ11" s="826"/>
      <c r="GK11" s="826"/>
      <c r="GL11" s="826"/>
      <c r="GM11" s="826"/>
      <c r="GN11" s="826"/>
      <c r="GO11" s="826"/>
      <c r="GP11" s="826"/>
      <c r="GQ11" s="826"/>
      <c r="GR11" s="826"/>
      <c r="GS11" s="826"/>
      <c r="GT11" s="826"/>
      <c r="GU11" s="826"/>
      <c r="GV11" s="826"/>
      <c r="GW11" s="826"/>
      <c r="GX11" s="826"/>
      <c r="GY11" s="826"/>
      <c r="GZ11" s="826"/>
      <c r="HA11" s="826"/>
      <c r="HB11" s="826"/>
      <c r="HC11" s="826"/>
      <c r="HD11" s="826"/>
      <c r="HE11" s="826"/>
      <c r="HF11" s="826"/>
      <c r="HG11" s="826"/>
      <c r="HH11" s="826"/>
      <c r="HI11" s="826"/>
      <c r="HJ11" s="826"/>
      <c r="HK11" s="826"/>
      <c r="HL11" s="826"/>
      <c r="HM11" s="826"/>
      <c r="HN11" s="826"/>
      <c r="HO11" s="826"/>
      <c r="HP11" s="826"/>
      <c r="HQ11" s="826"/>
      <c r="HR11" s="826"/>
      <c r="HS11" s="826"/>
      <c r="HT11" s="826"/>
      <c r="HU11" s="826"/>
      <c r="HV11" s="826"/>
      <c r="HW11" s="826"/>
      <c r="HX11" s="826"/>
      <c r="HY11" s="826"/>
      <c r="HZ11" s="826"/>
      <c r="IA11" s="826"/>
      <c r="IB11" s="826"/>
      <c r="IC11" s="826"/>
      <c r="ID11" s="826"/>
      <c r="IE11" s="826"/>
      <c r="IF11" s="826"/>
      <c r="IG11" s="826"/>
      <c r="IH11" s="826"/>
      <c r="II11" s="826"/>
      <c r="IJ11" s="826"/>
      <c r="IK11" s="826"/>
      <c r="IL11" s="826"/>
      <c r="IM11" s="826"/>
      <c r="IN11" s="826"/>
      <c r="IO11" s="826"/>
      <c r="IP11" s="826"/>
      <c r="IQ11" s="826"/>
      <c r="IR11" s="826"/>
      <c r="IS11" s="826"/>
      <c r="IT11" s="826"/>
      <c r="IU11" s="826"/>
      <c r="IV11" s="826"/>
      <c r="IW11" s="826"/>
      <c r="IX11" s="826"/>
      <c r="IY11" s="826"/>
      <c r="IZ11" s="826"/>
      <c r="JA11" s="826"/>
      <c r="JB11" s="826"/>
      <c r="JC11" s="826"/>
      <c r="JD11" s="826"/>
      <c r="JE11" s="826"/>
      <c r="JF11" s="826"/>
      <c r="JG11" s="826"/>
      <c r="JH11" s="826"/>
      <c r="JI11" s="826"/>
      <c r="JJ11" s="826"/>
      <c r="JK11" s="826"/>
      <c r="JL11" s="826"/>
      <c r="JM11" s="826"/>
      <c r="JN11" s="826"/>
      <c r="JO11" s="826"/>
      <c r="JP11" s="826"/>
      <c r="JQ11" s="826"/>
      <c r="JR11" s="826"/>
      <c r="JS11" s="826"/>
      <c r="JT11" s="826"/>
      <c r="JU11" s="826"/>
      <c r="JV11" s="826"/>
      <c r="JW11" s="826"/>
      <c r="JX11" s="826"/>
      <c r="JY11" s="826"/>
      <c r="JZ11" s="826"/>
      <c r="KA11" s="826"/>
      <c r="KB11" s="826"/>
      <c r="KC11" s="826"/>
      <c r="KD11" s="826"/>
      <c r="KE11" s="826"/>
      <c r="KF11" s="826"/>
      <c r="KG11" s="826"/>
      <c r="KH11" s="826"/>
      <c r="KI11" s="826"/>
      <c r="KJ11" s="826"/>
      <c r="KK11" s="826"/>
      <c r="KL11" s="826"/>
      <c r="KM11" s="826"/>
      <c r="KN11" s="826"/>
      <c r="KO11" s="826"/>
      <c r="KP11" s="826"/>
      <c r="KQ11" s="826"/>
      <c r="KR11" s="826"/>
      <c r="KS11" s="826"/>
      <c r="KT11" s="826"/>
      <c r="KU11" s="826"/>
      <c r="KV11" s="826"/>
      <c r="KW11" s="826"/>
      <c r="KX11" s="826"/>
      <c r="KY11" s="826"/>
      <c r="KZ11" s="826"/>
      <c r="LA11" s="826"/>
      <c r="LB11" s="826"/>
      <c r="LC11" s="826"/>
      <c r="LD11" s="826"/>
      <c r="LE11" s="826"/>
      <c r="LF11" s="826"/>
      <c r="LG11" s="826"/>
      <c r="LH11" s="826"/>
      <c r="LI11" s="826"/>
      <c r="LJ11" s="826"/>
      <c r="LK11" s="826"/>
      <c r="LL11" s="826"/>
      <c r="LM11" s="826"/>
      <c r="LN11" s="826"/>
      <c r="LO11" s="826"/>
      <c r="LP11" s="826"/>
      <c r="LQ11" s="826"/>
      <c r="LR11" s="826"/>
      <c r="LS11" s="826"/>
      <c r="LT11" s="826"/>
      <c r="LU11" s="826"/>
      <c r="LV11" s="826"/>
      <c r="LW11" s="826"/>
      <c r="LX11" s="826"/>
      <c r="LY11" s="826"/>
      <c r="LZ11" s="826"/>
      <c r="MA11" s="826"/>
      <c r="MB11" s="826"/>
      <c r="MC11" s="826"/>
      <c r="MD11" s="826"/>
      <c r="ME11" s="826"/>
      <c r="MF11" s="826"/>
      <c r="MG11" s="826"/>
      <c r="MH11" s="826"/>
      <c r="MI11" s="826"/>
      <c r="MJ11" s="826"/>
      <c r="MK11" s="826"/>
      <c r="ML11" s="826"/>
      <c r="MM11" s="826"/>
      <c r="MN11" s="826"/>
      <c r="MO11" s="826"/>
      <c r="MP11" s="826"/>
      <c r="MQ11" s="826"/>
      <c r="MR11" s="826"/>
      <c r="MS11" s="826"/>
      <c r="MT11" s="826"/>
      <c r="MU11" s="826"/>
      <c r="MV11" s="826"/>
      <c r="MW11" s="826"/>
      <c r="MX11" s="826"/>
      <c r="MY11" s="826"/>
      <c r="MZ11" s="826"/>
      <c r="NA11" s="826"/>
      <c r="NB11" s="826"/>
      <c r="NC11" s="826"/>
      <c r="ND11" s="826"/>
      <c r="NE11" s="826"/>
      <c r="NF11" s="826"/>
      <c r="NG11" s="826"/>
      <c r="NH11" s="826"/>
      <c r="NI11" s="826"/>
      <c r="NJ11" s="826"/>
      <c r="NK11" s="826"/>
      <c r="NL11" s="826"/>
      <c r="NM11" s="826"/>
      <c r="NN11" s="826"/>
      <c r="NO11" s="826"/>
      <c r="NP11" s="826"/>
      <c r="NQ11" s="826"/>
      <c r="NR11" s="826"/>
      <c r="NS11" s="826"/>
      <c r="NT11" s="826"/>
      <c r="NU11" s="826"/>
      <c r="NV11" s="826"/>
      <c r="NW11" s="826"/>
      <c r="NX11" s="826"/>
      <c r="NY11" s="826"/>
      <c r="NZ11" s="826"/>
      <c r="OA11" s="826"/>
      <c r="OB11" s="826"/>
      <c r="OC11" s="826"/>
      <c r="OD11" s="826"/>
      <c r="OE11" s="826"/>
      <c r="OF11" s="826"/>
      <c r="OG11" s="826"/>
      <c r="OH11" s="826"/>
      <c r="OI11" s="826"/>
      <c r="OJ11" s="826"/>
      <c r="OK11" s="826"/>
      <c r="OL11" s="826"/>
      <c r="OM11" s="826"/>
      <c r="ON11" s="826"/>
      <c r="OO11" s="826"/>
      <c r="OP11" s="826"/>
      <c r="OQ11" s="826"/>
      <c r="OR11" s="826"/>
      <c r="OS11" s="826"/>
      <c r="OT11" s="826"/>
      <c r="OU11" s="826"/>
      <c r="OV11" s="826"/>
      <c r="OW11" s="826"/>
      <c r="OX11" s="826"/>
      <c r="OY11" s="826"/>
      <c r="OZ11" s="826"/>
      <c r="PA11" s="826"/>
      <c r="PB11" s="826"/>
      <c r="PC11" s="826"/>
      <c r="PD11" s="826"/>
      <c r="PE11" s="826"/>
      <c r="PF11" s="826"/>
      <c r="PG11" s="826"/>
      <c r="PH11" s="826"/>
      <c r="PI11" s="826"/>
      <c r="PJ11" s="826"/>
      <c r="PK11" s="826"/>
      <c r="PL11" s="826"/>
      <c r="PM11" s="826"/>
      <c r="PN11" s="826"/>
      <c r="PO11" s="826"/>
      <c r="PP11" s="826"/>
      <c r="PQ11" s="826"/>
      <c r="PR11" s="826"/>
      <c r="PS11" s="826"/>
      <c r="PT11" s="826"/>
      <c r="PU11" s="826"/>
      <c r="PV11" s="826"/>
      <c r="PW11" s="826"/>
      <c r="PX11" s="826"/>
      <c r="PY11" s="826"/>
      <c r="PZ11" s="826"/>
      <c r="QA11" s="826"/>
      <c r="QB11" s="826"/>
      <c r="QC11" s="826"/>
      <c r="QD11" s="826"/>
      <c r="QE11" s="826"/>
      <c r="QF11" s="826"/>
      <c r="QG11" s="826"/>
      <c r="QH11" s="826"/>
      <c r="QI11" s="826"/>
      <c r="QJ11" s="826"/>
      <c r="QK11" s="826"/>
      <c r="QL11" s="826"/>
      <c r="QM11" s="826"/>
      <c r="QN11" s="826"/>
      <c r="QO11" s="826"/>
      <c r="QP11" s="826"/>
      <c r="QQ11" s="826"/>
      <c r="QR11" s="826"/>
      <c r="QS11" s="826"/>
      <c r="QT11" s="826"/>
      <c r="QU11" s="826"/>
      <c r="QV11" s="826"/>
      <c r="QW11" s="826"/>
      <c r="QX11" s="826"/>
      <c r="QY11" s="826"/>
      <c r="QZ11" s="826"/>
      <c r="RA11" s="826"/>
      <c r="RB11" s="826"/>
      <c r="RC11" s="826"/>
      <c r="RD11" s="826"/>
      <c r="RE11" s="826"/>
      <c r="RF11" s="826"/>
      <c r="RG11" s="826"/>
      <c r="RH11" s="826"/>
      <c r="RI11" s="826"/>
      <c r="RJ11" s="826"/>
      <c r="RK11" s="826"/>
      <c r="RL11" s="826"/>
      <c r="RM11" s="826"/>
      <c r="RN11" s="826"/>
      <c r="RO11" s="826"/>
      <c r="RP11" s="826"/>
      <c r="RQ11" s="826"/>
      <c r="RR11" s="826"/>
      <c r="RS11" s="826"/>
      <c r="RT11" s="826"/>
      <c r="RU11" s="826"/>
      <c r="RV11" s="826"/>
      <c r="RW11" s="826"/>
      <c r="RX11" s="826"/>
      <c r="RY11" s="826"/>
      <c r="RZ11" s="826"/>
      <c r="SA11" s="826"/>
      <c r="SB11" s="826"/>
      <c r="SC11" s="826"/>
      <c r="SD11" s="826"/>
      <c r="SE11" s="826"/>
      <c r="SF11" s="826"/>
      <c r="SG11" s="826"/>
      <c r="SH11" s="826"/>
      <c r="SI11" s="826"/>
      <c r="SJ11" s="826"/>
      <c r="SK11" s="826"/>
      <c r="SL11" s="826"/>
      <c r="SM11" s="826"/>
      <c r="SN11" s="826"/>
      <c r="SO11" s="826"/>
      <c r="SP11" s="826"/>
      <c r="SQ11" s="826"/>
      <c r="SR11" s="826"/>
      <c r="SS11" s="826"/>
      <c r="ST11" s="826"/>
      <c r="SU11" s="826"/>
      <c r="SV11" s="826"/>
      <c r="SW11" s="826"/>
      <c r="SX11" s="826"/>
      <c r="SY11" s="826"/>
      <c r="SZ11" s="826"/>
      <c r="TA11" s="826"/>
      <c r="TB11" s="826"/>
      <c r="TC11" s="826"/>
      <c r="TD11" s="826"/>
      <c r="TE11" s="826"/>
      <c r="TF11" s="826"/>
      <c r="TG11" s="826"/>
      <c r="TH11" s="826"/>
      <c r="TI11" s="826"/>
      <c r="TJ11" s="826"/>
      <c r="TK11" s="826"/>
      <c r="TL11" s="826"/>
      <c r="TM11" s="826"/>
      <c r="TN11" s="826"/>
      <c r="TO11" s="826"/>
      <c r="TP11" s="826"/>
      <c r="TQ11" s="826"/>
      <c r="TR11" s="826"/>
      <c r="TS11" s="826"/>
      <c r="TT11" s="826"/>
      <c r="TU11" s="826"/>
      <c r="TV11" s="826"/>
      <c r="TW11" s="826"/>
      <c r="TX11" s="826"/>
      <c r="TY11" s="826"/>
      <c r="TZ11" s="826"/>
      <c r="UA11" s="826"/>
      <c r="UB11" s="826"/>
      <c r="UC11" s="826"/>
      <c r="UD11" s="826"/>
      <c r="UE11" s="826"/>
      <c r="UF11" s="826"/>
      <c r="UG11" s="826"/>
      <c r="UH11" s="826"/>
      <c r="UI11" s="826"/>
      <c r="UJ11" s="826"/>
      <c r="UK11" s="826"/>
      <c r="UL11" s="826"/>
      <c r="UM11" s="826"/>
      <c r="UN11" s="826"/>
      <c r="UO11" s="826"/>
      <c r="UP11" s="826"/>
      <c r="UQ11" s="826"/>
      <c r="UR11" s="826"/>
      <c r="US11" s="826"/>
      <c r="UT11" s="826"/>
      <c r="UU11" s="826"/>
      <c r="UV11" s="826"/>
      <c r="UW11" s="826"/>
      <c r="UX11" s="826"/>
      <c r="UY11" s="826"/>
      <c r="UZ11" s="826"/>
      <c r="VA11" s="826"/>
      <c r="VB11" s="826"/>
      <c r="VC11" s="826"/>
      <c r="VD11" s="826"/>
      <c r="VE11" s="826"/>
      <c r="VF11" s="826"/>
      <c r="VG11" s="826"/>
      <c r="VH11" s="826"/>
      <c r="VI11" s="826"/>
      <c r="VJ11" s="826"/>
      <c r="VK11" s="826"/>
      <c r="VL11" s="826"/>
      <c r="VM11" s="826"/>
      <c r="VN11" s="826"/>
      <c r="VO11" s="826"/>
      <c r="VP11" s="826"/>
      <c r="VQ11" s="826"/>
      <c r="VR11" s="826"/>
      <c r="VS11" s="826"/>
      <c r="VT11" s="826"/>
      <c r="VU11" s="826"/>
      <c r="VV11" s="826"/>
      <c r="VW11" s="826"/>
      <c r="VX11" s="826"/>
      <c r="VY11" s="826"/>
      <c r="VZ11" s="826"/>
      <c r="WA11" s="826"/>
      <c r="WB11" s="826"/>
      <c r="WC11" s="826"/>
      <c r="WD11" s="826"/>
      <c r="WE11" s="826"/>
      <c r="WF11" s="826"/>
      <c r="WG11" s="826"/>
      <c r="WH11" s="826"/>
      <c r="WI11" s="826"/>
      <c r="WJ11" s="826"/>
      <c r="WK11" s="826"/>
      <c r="WL11" s="826"/>
      <c r="WM11" s="826"/>
      <c r="WN11" s="826"/>
      <c r="WO11" s="826"/>
      <c r="WP11" s="826"/>
      <c r="WQ11" s="826"/>
      <c r="WR11" s="826"/>
      <c r="WS11" s="826"/>
      <c r="WT11" s="826"/>
      <c r="WU11" s="826"/>
      <c r="WV11" s="826"/>
      <c r="WW11" s="826"/>
      <c r="WX11" s="826"/>
      <c r="WY11" s="826"/>
      <c r="WZ11" s="826"/>
      <c r="XA11" s="826"/>
      <c r="XB11" s="826"/>
      <c r="XC11" s="826"/>
      <c r="XD11" s="826"/>
      <c r="XE11" s="826"/>
      <c r="XF11" s="826"/>
      <c r="XG11" s="826"/>
      <c r="XH11" s="826"/>
      <c r="XI11" s="826"/>
      <c r="XJ11" s="826"/>
      <c r="XK11" s="826"/>
      <c r="XL11" s="826"/>
      <c r="XM11" s="826"/>
      <c r="XN11" s="826"/>
      <c r="XO11" s="826"/>
      <c r="XP11" s="826"/>
      <c r="XQ11" s="826"/>
      <c r="XR11" s="826"/>
      <c r="XS11" s="826"/>
      <c r="XT11" s="826"/>
      <c r="XU11" s="826"/>
      <c r="XV11" s="826"/>
      <c r="XW11" s="826"/>
      <c r="XX11" s="826"/>
      <c r="XY11" s="826"/>
      <c r="XZ11" s="826"/>
      <c r="YA11" s="826"/>
      <c r="YB11" s="826"/>
      <c r="YC11" s="826"/>
      <c r="YD11" s="826"/>
      <c r="YE11" s="826"/>
      <c r="YF11" s="826"/>
      <c r="YG11" s="826"/>
      <c r="YH11" s="826"/>
      <c r="YI11" s="826"/>
      <c r="YJ11" s="826"/>
      <c r="YK11" s="826"/>
      <c r="YL11" s="826"/>
      <c r="YM11" s="826"/>
      <c r="YN11" s="826"/>
      <c r="YO11" s="826"/>
      <c r="YP11" s="826"/>
      <c r="YQ11" s="826"/>
      <c r="YR11" s="826"/>
      <c r="YS11" s="826"/>
      <c r="YT11" s="826"/>
      <c r="YU11" s="826"/>
      <c r="YV11" s="826"/>
      <c r="YW11" s="826"/>
      <c r="YX11" s="826"/>
      <c r="YY11" s="826"/>
      <c r="YZ11" s="826"/>
      <c r="ZA11" s="826"/>
      <c r="ZB11" s="826"/>
      <c r="ZC11" s="826"/>
      <c r="ZD11" s="826"/>
      <c r="ZE11" s="826"/>
      <c r="ZF11" s="826"/>
      <c r="ZG11" s="826"/>
      <c r="ZH11" s="826"/>
      <c r="ZI11" s="826"/>
      <c r="ZJ11" s="826"/>
      <c r="ZK11" s="826"/>
      <c r="ZL11" s="826"/>
      <c r="ZM11" s="826"/>
      <c r="ZN11" s="826"/>
      <c r="ZO11" s="826"/>
      <c r="ZP11" s="826"/>
      <c r="ZQ11" s="826"/>
      <c r="ZR11" s="826"/>
      <c r="ZS11" s="826"/>
      <c r="ZT11" s="826"/>
      <c r="ZU11" s="826"/>
      <c r="ZV11" s="826"/>
      <c r="ZW11" s="826"/>
      <c r="ZX11" s="826"/>
      <c r="ZY11" s="826"/>
      <c r="ZZ11" s="826"/>
      <c r="AAA11" s="826"/>
      <c r="AAB11" s="826"/>
      <c r="AAC11" s="826"/>
      <c r="AAD11" s="826"/>
      <c r="AAE11" s="826"/>
      <c r="AAF11" s="826"/>
      <c r="AAG11" s="826"/>
      <c r="AAH11" s="826"/>
      <c r="AAI11" s="826"/>
      <c r="AAJ11" s="826"/>
      <c r="AAK11" s="826"/>
      <c r="AAL11" s="826"/>
      <c r="AAM11" s="826"/>
      <c r="AAN11" s="826"/>
      <c r="AAO11" s="826"/>
      <c r="AAP11" s="826"/>
      <c r="AAQ11" s="826"/>
      <c r="AAR11" s="826"/>
      <c r="AAS11" s="826"/>
      <c r="AAT11" s="826"/>
      <c r="AAU11" s="826"/>
      <c r="AAV11" s="826"/>
      <c r="AAW11" s="826"/>
      <c r="AAX11" s="826"/>
      <c r="AAY11" s="826"/>
      <c r="AAZ11" s="826"/>
      <c r="ABA11" s="826"/>
      <c r="ABB11" s="826"/>
      <c r="ABC11" s="826"/>
      <c r="ABD11" s="826"/>
      <c r="ABE11" s="826"/>
      <c r="ABF11" s="826"/>
      <c r="ABG11" s="826"/>
      <c r="ABH11" s="826"/>
      <c r="ABI11" s="826"/>
      <c r="ABJ11" s="826"/>
      <c r="ABK11" s="826"/>
      <c r="ABL11" s="826"/>
      <c r="ABM11" s="826"/>
      <c r="ABN11" s="826"/>
      <c r="ABO11" s="826"/>
      <c r="ABP11" s="826"/>
      <c r="ABQ11" s="826"/>
      <c r="ABR11" s="826"/>
      <c r="ABS11" s="826"/>
      <c r="ABT11" s="826"/>
      <c r="ABU11" s="826"/>
      <c r="ABV11" s="826"/>
      <c r="ABW11" s="826"/>
      <c r="ABX11" s="826"/>
      <c r="ABY11" s="826"/>
      <c r="ABZ11" s="826"/>
      <c r="ACA11" s="826"/>
      <c r="ACB11" s="826"/>
      <c r="ACC11" s="826"/>
      <c r="ACD11" s="826"/>
      <c r="ACE11" s="826"/>
      <c r="ACF11" s="826"/>
      <c r="ACG11" s="826"/>
      <c r="ACH11" s="826"/>
      <c r="ACI11" s="826"/>
      <c r="ACJ11" s="826"/>
      <c r="ACK11" s="826"/>
      <c r="ACL11" s="826"/>
      <c r="ACM11" s="826"/>
      <c r="ACN11" s="826"/>
      <c r="ACO11" s="826"/>
      <c r="ACP11" s="826"/>
      <c r="ACQ11" s="826"/>
      <c r="ACR11" s="826"/>
      <c r="ACS11" s="826"/>
      <c r="ACT11" s="826"/>
      <c r="ACU11" s="826"/>
      <c r="ACV11" s="826"/>
      <c r="ACW11" s="826"/>
      <c r="ACX11" s="826"/>
      <c r="ACY11" s="826"/>
      <c r="ACZ11" s="826"/>
      <c r="ADA11" s="826"/>
      <c r="ADB11" s="826"/>
      <c r="ADC11" s="826"/>
      <c r="ADD11" s="826"/>
      <c r="ADE11" s="826"/>
      <c r="ADF11" s="826"/>
      <c r="ADG11" s="826"/>
      <c r="ADH11" s="826"/>
      <c r="ADI11" s="826"/>
      <c r="ADJ11" s="826"/>
      <c r="ADK11" s="826"/>
      <c r="ADL11" s="826"/>
      <c r="ADM11" s="826"/>
      <c r="ADN11" s="826"/>
      <c r="ADO11" s="826"/>
      <c r="ADP11" s="826"/>
      <c r="ADQ11" s="826"/>
      <c r="ADR11" s="826"/>
      <c r="ADS11" s="826"/>
      <c r="ADT11" s="826"/>
      <c r="ADU11" s="826"/>
      <c r="ADV11" s="826"/>
      <c r="ADW11" s="826"/>
      <c r="ADX11" s="826"/>
      <c r="ADY11" s="826"/>
      <c r="ADZ11" s="826"/>
      <c r="AEA11" s="826"/>
      <c r="AEB11" s="826"/>
      <c r="AEC11" s="826"/>
      <c r="AED11" s="826"/>
      <c r="AEE11" s="826"/>
      <c r="AEF11" s="826"/>
      <c r="AEG11" s="826"/>
      <c r="AEH11" s="826"/>
      <c r="AEI11" s="826"/>
      <c r="AEJ11" s="826"/>
      <c r="AEK11" s="826"/>
      <c r="AEL11" s="826"/>
      <c r="AEM11" s="826"/>
      <c r="AEN11" s="826"/>
      <c r="AEO11" s="826"/>
      <c r="AEP11" s="826"/>
      <c r="AEQ11" s="826"/>
      <c r="AER11" s="826"/>
      <c r="AES11" s="826"/>
      <c r="AET11" s="826"/>
      <c r="AEU11" s="826"/>
      <c r="AEV11" s="826"/>
      <c r="AEW11" s="826"/>
      <c r="AEX11" s="826"/>
      <c r="AEY11" s="826"/>
      <c r="AEZ11" s="826"/>
      <c r="AFA11" s="826"/>
      <c r="AFB11" s="826"/>
      <c r="AFC11" s="826"/>
      <c r="AFD11" s="826"/>
      <c r="AFE11" s="826"/>
      <c r="AFF11" s="826"/>
      <c r="AFG11" s="826"/>
      <c r="AFH11" s="826"/>
      <c r="AFI11" s="826"/>
      <c r="AFJ11" s="826"/>
      <c r="AFK11" s="826"/>
      <c r="AFL11" s="826"/>
      <c r="AFM11" s="826"/>
      <c r="AFN11" s="826"/>
      <c r="AFO11" s="826"/>
      <c r="AFP11" s="826"/>
      <c r="AFQ11" s="826"/>
      <c r="AFR11" s="826"/>
      <c r="AFS11" s="826"/>
      <c r="AFT11" s="826"/>
      <c r="AFU11" s="826"/>
      <c r="AFV11" s="826"/>
      <c r="AFW11" s="826"/>
      <c r="AFX11" s="826"/>
      <c r="AFY11" s="826"/>
      <c r="AFZ11" s="826"/>
      <c r="AGA11" s="826"/>
      <c r="AGB11" s="826"/>
      <c r="AGC11" s="826"/>
      <c r="AGD11" s="826"/>
      <c r="AGE11" s="826"/>
      <c r="AGF11" s="826"/>
      <c r="AGG11" s="826"/>
      <c r="AGH11" s="826"/>
      <c r="AGI11" s="826"/>
      <c r="AGJ11" s="826"/>
      <c r="AGK11" s="826"/>
      <c r="AGL11" s="826"/>
      <c r="AGM11" s="826"/>
      <c r="AGN11" s="826"/>
      <c r="AGO11" s="826"/>
      <c r="AGP11" s="826"/>
      <c r="AGQ11" s="826"/>
      <c r="AGR11" s="826"/>
      <c r="AGS11" s="826"/>
      <c r="AGT11" s="826"/>
      <c r="AGU11" s="826"/>
      <c r="AGV11" s="826"/>
      <c r="AGW11" s="826"/>
      <c r="AGX11" s="826"/>
      <c r="AGY11" s="826"/>
      <c r="AGZ11" s="826"/>
      <c r="AHA11" s="826"/>
      <c r="AHB11" s="826"/>
      <c r="AHC11" s="826"/>
      <c r="AHD11" s="826"/>
      <c r="AHE11" s="826"/>
      <c r="AHF11" s="826"/>
      <c r="AHG11" s="826"/>
      <c r="AHH11" s="826"/>
      <c r="AHI11" s="826"/>
      <c r="AHJ11" s="826"/>
      <c r="AHK11" s="826"/>
      <c r="AHL11" s="826"/>
      <c r="AHM11" s="826"/>
      <c r="AHN11" s="826"/>
      <c r="AHO11" s="826"/>
      <c r="AHP11" s="826"/>
      <c r="AHQ11" s="826"/>
      <c r="AHR11" s="826"/>
      <c r="AHS11" s="826"/>
      <c r="AHT11" s="826"/>
      <c r="AHU11" s="826"/>
      <c r="AHV11" s="826"/>
      <c r="AHW11" s="826"/>
      <c r="AHX11" s="826"/>
      <c r="AHY11" s="826"/>
      <c r="AHZ11" s="826"/>
      <c r="AIA11" s="826"/>
      <c r="AIB11" s="826"/>
      <c r="AIC11" s="826"/>
      <c r="AID11" s="826"/>
      <c r="AIE11" s="826"/>
      <c r="AIF11" s="826"/>
      <c r="AIG11" s="826"/>
      <c r="AIH11" s="826"/>
      <c r="AII11" s="826"/>
      <c r="AIJ11" s="826"/>
      <c r="AIK11" s="826"/>
      <c r="AIL11" s="826"/>
      <c r="AIM11" s="826"/>
      <c r="AIN11" s="826"/>
      <c r="AIO11" s="826"/>
      <c r="AIP11" s="826"/>
      <c r="AIQ11" s="826"/>
      <c r="AIR11" s="826"/>
      <c r="AIS11" s="826"/>
      <c r="AIT11" s="826"/>
      <c r="AIU11" s="826"/>
      <c r="AIV11" s="826"/>
      <c r="AIW11" s="826"/>
      <c r="AIX11" s="826"/>
      <c r="AIY11" s="826"/>
      <c r="AIZ11" s="826"/>
      <c r="AJA11" s="826"/>
      <c r="AJB11" s="826"/>
      <c r="AJC11" s="826"/>
      <c r="AJD11" s="826"/>
      <c r="AJE11" s="826"/>
      <c r="AJF11" s="826"/>
      <c r="AJG11" s="826"/>
      <c r="AJH11" s="826"/>
      <c r="AJI11" s="826"/>
      <c r="AJJ11" s="826"/>
      <c r="AJK11" s="826"/>
      <c r="AJL11" s="826"/>
      <c r="AJM11" s="826"/>
      <c r="AJN11" s="826"/>
      <c r="AJO11" s="826"/>
      <c r="AJP11" s="826"/>
      <c r="AJQ11" s="826"/>
      <c r="AJR11" s="826"/>
      <c r="AJS11" s="826"/>
      <c r="AJT11" s="826"/>
      <c r="AJU11" s="826"/>
      <c r="AJV11" s="826"/>
      <c r="AJW11" s="826"/>
      <c r="AJX11" s="826"/>
      <c r="AJY11" s="826"/>
      <c r="AJZ11" s="826"/>
      <c r="AKA11" s="826"/>
      <c r="AKB11" s="826"/>
      <c r="AKC11" s="826"/>
      <c r="AKD11" s="826"/>
      <c r="AKE11" s="826"/>
      <c r="AKF11" s="826"/>
      <c r="AKG11" s="826"/>
      <c r="AKH11" s="826"/>
      <c r="AKI11" s="826"/>
      <c r="AKJ11" s="826"/>
      <c r="AKK11" s="826"/>
      <c r="AKL11" s="826"/>
      <c r="AKM11" s="826"/>
      <c r="AKN11" s="826"/>
      <c r="AKO11" s="826"/>
      <c r="AKP11" s="826"/>
      <c r="AKQ11" s="826"/>
      <c r="AKR11" s="826"/>
      <c r="AKS11" s="826"/>
      <c r="AKT11" s="826"/>
      <c r="AKU11" s="826"/>
      <c r="AKV11" s="826"/>
      <c r="AKW11" s="826"/>
      <c r="AKX11" s="826"/>
      <c r="AKY11" s="826"/>
      <c r="AKZ11" s="826"/>
      <c r="ALA11" s="826"/>
      <c r="ALB11" s="826"/>
      <c r="ALC11" s="826"/>
      <c r="ALD11" s="826"/>
      <c r="ALE11" s="826"/>
      <c r="ALF11" s="826"/>
      <c r="ALG11" s="826"/>
      <c r="ALH11" s="826"/>
      <c r="ALI11" s="826"/>
      <c r="ALJ11" s="826"/>
      <c r="ALK11" s="826"/>
      <c r="ALL11" s="826"/>
      <c r="ALM11" s="826"/>
      <c r="ALN11" s="826"/>
      <c r="ALO11" s="826"/>
      <c r="ALP11" s="826"/>
      <c r="ALQ11" s="826"/>
      <c r="ALR11" s="826"/>
      <c r="ALS11" s="826"/>
      <c r="ALT11" s="826"/>
      <c r="ALU11" s="826"/>
      <c r="ALV11" s="826"/>
      <c r="ALW11" s="826"/>
      <c r="ALX11" s="826"/>
      <c r="ALY11" s="826"/>
      <c r="ALZ11" s="826"/>
      <c r="AMA11" s="826"/>
      <c r="AMB11" s="826"/>
      <c r="AMC11" s="826"/>
      <c r="AMD11" s="826"/>
      <c r="AME11" s="826"/>
      <c r="AMF11" s="826"/>
      <c r="AMG11" s="826"/>
      <c r="AMH11" s="826"/>
      <c r="AMI11" s="826"/>
      <c r="AMJ11" s="826"/>
      <c r="AMK11" s="826"/>
      <c r="AML11" s="826"/>
      <c r="AMM11" s="826"/>
      <c r="AMN11" s="826"/>
      <c r="AMO11" s="826"/>
      <c r="AMP11" s="826"/>
      <c r="AMQ11" s="826"/>
      <c r="AMR11" s="826"/>
      <c r="AMS11" s="826"/>
      <c r="AMT11" s="826"/>
      <c r="AMU11" s="826"/>
      <c r="AMV11" s="826"/>
      <c r="AMW11" s="826"/>
      <c r="AMX11" s="826"/>
      <c r="AMY11" s="826"/>
      <c r="AMZ11" s="826"/>
      <c r="ANA11" s="826"/>
      <c r="ANB11" s="826"/>
      <c r="ANC11" s="826"/>
      <c r="AND11" s="826"/>
      <c r="ANE11" s="826"/>
      <c r="ANF11" s="826"/>
      <c r="ANG11" s="826"/>
      <c r="ANH11" s="826"/>
      <c r="ANI11" s="826"/>
      <c r="ANJ11" s="826"/>
      <c r="ANK11" s="826"/>
      <c r="ANL11" s="826"/>
      <c r="ANM11" s="826"/>
      <c r="ANN11" s="826"/>
      <c r="ANO11" s="826"/>
      <c r="ANP11" s="826"/>
      <c r="ANQ11" s="826"/>
      <c r="ANR11" s="826"/>
      <c r="ANS11" s="826"/>
      <c r="ANT11" s="826"/>
      <c r="ANU11" s="826"/>
      <c r="ANV11" s="826"/>
      <c r="ANW11" s="826"/>
      <c r="ANX11" s="826"/>
      <c r="ANY11" s="826"/>
      <c r="ANZ11" s="826"/>
      <c r="AOA11" s="826"/>
      <c r="AOB11" s="826"/>
      <c r="AOC11" s="826"/>
      <c r="AOD11" s="826"/>
      <c r="AOE11" s="826"/>
      <c r="AOF11" s="826"/>
      <c r="AOG11" s="826"/>
      <c r="AOH11" s="826"/>
      <c r="AOI11" s="826"/>
      <c r="AOJ11" s="826"/>
      <c r="AOK11" s="826"/>
      <c r="AOL11" s="826"/>
      <c r="AOM11" s="826"/>
      <c r="AON11" s="826"/>
      <c r="AOO11" s="826"/>
      <c r="AOP11" s="826"/>
      <c r="AOQ11" s="826"/>
      <c r="AOR11" s="826"/>
      <c r="AOS11" s="826"/>
      <c r="AOT11" s="826"/>
      <c r="AOU11" s="826"/>
      <c r="AOV11" s="826"/>
      <c r="AOW11" s="826"/>
      <c r="AOX11" s="826"/>
      <c r="AOY11" s="826"/>
      <c r="AOZ11" s="826"/>
      <c r="APA11" s="826"/>
      <c r="APB11" s="826"/>
      <c r="APC11" s="826"/>
      <c r="APD11" s="826"/>
      <c r="APE11" s="826"/>
      <c r="APF11" s="826"/>
      <c r="APG11" s="826"/>
      <c r="APH11" s="826"/>
      <c r="API11" s="826"/>
      <c r="APJ11" s="826"/>
      <c r="APK11" s="826"/>
      <c r="APL11" s="826"/>
      <c r="APM11" s="826"/>
      <c r="APN11" s="826"/>
      <c r="APO11" s="826"/>
      <c r="APP11" s="826"/>
      <c r="APQ11" s="826"/>
      <c r="APR11" s="826"/>
      <c r="APS11" s="826"/>
      <c r="APT11" s="826"/>
      <c r="APU11" s="826"/>
      <c r="APV11" s="826"/>
      <c r="APW11" s="826"/>
      <c r="APX11" s="826"/>
      <c r="APY11" s="826"/>
      <c r="APZ11" s="826"/>
      <c r="AQA11" s="826"/>
      <c r="AQB11" s="826"/>
      <c r="AQC11" s="826"/>
      <c r="AQD11" s="826"/>
      <c r="AQE11" s="826"/>
      <c r="AQF11" s="826"/>
      <c r="AQG11" s="826"/>
      <c r="AQH11" s="826"/>
      <c r="AQI11" s="826"/>
      <c r="AQJ11" s="826"/>
      <c r="AQK11" s="826"/>
      <c r="AQL11" s="826"/>
      <c r="AQM11" s="826"/>
      <c r="AQN11" s="826"/>
      <c r="AQO11" s="826"/>
      <c r="AQP11" s="826"/>
      <c r="AQQ11" s="826"/>
      <c r="AQR11" s="826"/>
      <c r="AQS11" s="826"/>
      <c r="AQT11" s="826"/>
      <c r="AQU11" s="826"/>
      <c r="AQV11" s="826"/>
      <c r="AQW11" s="826"/>
      <c r="AQX11" s="826"/>
      <c r="AQY11" s="826"/>
      <c r="AQZ11" s="826"/>
      <c r="ARA11" s="826"/>
      <c r="ARB11" s="826"/>
      <c r="ARC11" s="826"/>
      <c r="ARD11" s="826"/>
      <c r="ARE11" s="826"/>
      <c r="ARF11" s="826"/>
      <c r="ARG11" s="826"/>
      <c r="ARH11" s="826"/>
      <c r="ARI11" s="826"/>
      <c r="ARJ11" s="826"/>
      <c r="ARK11" s="826"/>
      <c r="ARL11" s="826"/>
      <c r="ARM11" s="826"/>
      <c r="ARN11" s="826"/>
      <c r="ARO11" s="826"/>
      <c r="ARP11" s="826"/>
      <c r="ARQ11" s="826"/>
      <c r="ARR11" s="826"/>
      <c r="ARS11" s="826"/>
      <c r="ART11" s="826"/>
      <c r="ARU11" s="826"/>
      <c r="ARV11" s="826"/>
      <c r="ARW11" s="826"/>
      <c r="ARX11" s="826"/>
      <c r="ARY11" s="826"/>
      <c r="ARZ11" s="826"/>
      <c r="ASA11" s="826"/>
      <c r="ASB11" s="826"/>
      <c r="ASC11" s="826"/>
      <c r="ASD11" s="826"/>
      <c r="ASE11" s="826"/>
      <c r="ASF11" s="826"/>
      <c r="ASG11" s="826"/>
      <c r="ASH11" s="826"/>
      <c r="ASI11" s="826"/>
      <c r="ASJ11" s="826"/>
      <c r="ASK11" s="826"/>
      <c r="ASL11" s="826"/>
      <c r="ASM11" s="826"/>
      <c r="ASN11" s="826"/>
      <c r="ASO11" s="826"/>
      <c r="ASP11" s="826"/>
      <c r="ASQ11" s="826"/>
      <c r="ASR11" s="826"/>
      <c r="ASS11" s="826"/>
      <c r="AST11" s="826"/>
      <c r="ASU11" s="826"/>
      <c r="ASV11" s="826"/>
      <c r="ASW11" s="826"/>
      <c r="ASX11" s="826"/>
      <c r="ASY11" s="826"/>
      <c r="ASZ11" s="826"/>
      <c r="ATA11" s="826"/>
      <c r="ATB11" s="826"/>
      <c r="ATC11" s="826"/>
      <c r="ATD11" s="826"/>
      <c r="ATE11" s="826"/>
      <c r="ATF11" s="826"/>
      <c r="ATG11" s="826"/>
      <c r="ATH11" s="826"/>
      <c r="ATI11" s="826"/>
      <c r="ATJ11" s="826"/>
      <c r="ATK11" s="826"/>
      <c r="ATL11" s="826"/>
      <c r="ATM11" s="826"/>
      <c r="ATN11" s="826"/>
      <c r="ATO11" s="826"/>
      <c r="ATP11" s="826"/>
      <c r="ATQ11" s="826"/>
      <c r="ATR11" s="826"/>
      <c r="ATS11" s="826"/>
      <c r="ATT11" s="826"/>
      <c r="ATU11" s="826"/>
      <c r="ATV11" s="826"/>
      <c r="ATW11" s="826"/>
      <c r="ATX11" s="826"/>
      <c r="ATY11" s="826"/>
      <c r="ATZ11" s="826"/>
      <c r="AUA11" s="826"/>
      <c r="AUB11" s="826"/>
      <c r="AUC11" s="826"/>
      <c r="AUD11" s="826"/>
      <c r="AUE11" s="826"/>
      <c r="AUF11" s="826"/>
      <c r="AUG11" s="826"/>
      <c r="AUH11" s="826"/>
      <c r="AUI11" s="826"/>
      <c r="AUJ11" s="826"/>
      <c r="AUK11" s="826"/>
      <c r="AUL11" s="826"/>
      <c r="AUM11" s="826"/>
      <c r="AUN11" s="826"/>
      <c r="AUO11" s="826"/>
      <c r="AUP11" s="826"/>
      <c r="AUQ11" s="826"/>
      <c r="AUR11" s="826"/>
      <c r="AUS11" s="826"/>
      <c r="AUT11" s="826"/>
      <c r="AUU11" s="826"/>
      <c r="AUV11" s="826"/>
      <c r="AUW11" s="826"/>
      <c r="AUX11" s="826"/>
      <c r="AUY11" s="826"/>
      <c r="AUZ11" s="826"/>
      <c r="AVA11" s="826"/>
      <c r="AVB11" s="826"/>
      <c r="AVC11" s="826"/>
      <c r="AVD11" s="826"/>
      <c r="AVE11" s="826"/>
      <c r="AVF11" s="826"/>
      <c r="AVG11" s="826"/>
      <c r="AVH11" s="826"/>
      <c r="AVI11" s="826"/>
      <c r="AVJ11" s="826"/>
      <c r="AVK11" s="826"/>
      <c r="AVL11" s="826"/>
      <c r="AVM11" s="826"/>
      <c r="AVN11" s="826"/>
      <c r="AVO11" s="826"/>
      <c r="AVP11" s="826"/>
      <c r="AVQ11" s="826"/>
      <c r="AVR11" s="826"/>
      <c r="AVS11" s="826"/>
      <c r="AVT11" s="826"/>
      <c r="AVU11" s="826"/>
      <c r="AVV11" s="826"/>
      <c r="AVW11" s="826"/>
      <c r="AVX11" s="826"/>
      <c r="AVY11" s="826"/>
      <c r="AVZ11" s="826"/>
      <c r="AWA11" s="826"/>
      <c r="AWB11" s="826"/>
      <c r="AWC11" s="826"/>
      <c r="AWD11" s="826"/>
      <c r="AWE11" s="826"/>
      <c r="AWF11" s="826"/>
      <c r="AWG11" s="826"/>
      <c r="AWH11" s="826"/>
      <c r="AWI11" s="826"/>
      <c r="AWJ11" s="826"/>
      <c r="AWK11" s="826"/>
      <c r="AWL11" s="826"/>
      <c r="AWM11" s="826"/>
      <c r="AWN11" s="826"/>
      <c r="AWO11" s="826"/>
      <c r="AWP11" s="826"/>
      <c r="AWQ11" s="826"/>
      <c r="AWR11" s="826"/>
      <c r="AWS11" s="826"/>
      <c r="AWT11" s="826"/>
      <c r="AWU11" s="826"/>
      <c r="AWV11" s="826"/>
      <c r="AWW11" s="826"/>
      <c r="AWX11" s="826"/>
      <c r="AWY11" s="826"/>
      <c r="AWZ11" s="826"/>
      <c r="AXA11" s="826"/>
      <c r="AXB11" s="826"/>
      <c r="AXC11" s="826"/>
      <c r="AXD11" s="826"/>
      <c r="AXE11" s="826"/>
      <c r="AXF11" s="826"/>
      <c r="AXG11" s="826"/>
      <c r="AXH11" s="826"/>
      <c r="AXI11" s="826"/>
      <c r="AXJ11" s="826"/>
      <c r="AXK11" s="826"/>
      <c r="AXL11" s="826"/>
      <c r="AXM11" s="826"/>
      <c r="AXN11" s="826"/>
      <c r="AXO11" s="826"/>
      <c r="AXP11" s="826"/>
      <c r="AXQ11" s="826"/>
      <c r="AXR11" s="826"/>
      <c r="AXS11" s="826"/>
      <c r="AXT11" s="826"/>
      <c r="AXU11" s="826"/>
      <c r="AXV11" s="826"/>
      <c r="AXW11" s="826"/>
      <c r="AXX11" s="826"/>
      <c r="AXY11" s="826"/>
      <c r="AXZ11" s="826"/>
      <c r="AYA11" s="826"/>
      <c r="AYB11" s="826"/>
      <c r="AYC11" s="826"/>
      <c r="AYD11" s="826"/>
      <c r="AYE11" s="826"/>
      <c r="AYF11" s="826"/>
      <c r="AYG11" s="826"/>
      <c r="AYH11" s="826"/>
      <c r="AYI11" s="826"/>
      <c r="AYJ11" s="826"/>
      <c r="AYK11" s="826"/>
      <c r="AYL11" s="826"/>
      <c r="AYM11" s="826"/>
      <c r="AYN11" s="826"/>
      <c r="AYO11" s="826"/>
      <c r="AYP11" s="826"/>
      <c r="AYQ11" s="826"/>
      <c r="AYR11" s="826"/>
      <c r="AYS11" s="826"/>
      <c r="AYT11" s="826"/>
      <c r="AYU11" s="826"/>
      <c r="AYV11" s="826"/>
      <c r="AYW11" s="826"/>
      <c r="AYX11" s="826"/>
      <c r="AYY11" s="826"/>
      <c r="AYZ11" s="826"/>
      <c r="AZA11" s="826"/>
      <c r="AZB11" s="826"/>
      <c r="AZC11" s="826"/>
      <c r="AZD11" s="826"/>
      <c r="AZE11" s="826"/>
      <c r="AZF11" s="826"/>
      <c r="AZG11" s="826"/>
      <c r="AZH11" s="826"/>
      <c r="AZI11" s="826"/>
      <c r="AZJ11" s="826"/>
      <c r="AZK11" s="826"/>
      <c r="AZL11" s="826"/>
      <c r="AZM11" s="826"/>
      <c r="AZN11" s="826"/>
      <c r="AZO11" s="826"/>
      <c r="AZP11" s="826"/>
      <c r="AZQ11" s="826"/>
      <c r="AZR11" s="826"/>
      <c r="AZS11" s="826"/>
      <c r="AZT11" s="826"/>
      <c r="AZU11" s="826"/>
      <c r="AZV11" s="826"/>
      <c r="AZW11" s="826"/>
      <c r="AZX11" s="826"/>
      <c r="AZY11" s="826"/>
      <c r="AZZ11" s="826"/>
      <c r="BAA11" s="826"/>
      <c r="BAB11" s="826"/>
      <c r="BAC11" s="826"/>
      <c r="BAD11" s="826"/>
      <c r="BAE11" s="826"/>
      <c r="BAF11" s="826"/>
      <c r="BAG11" s="826"/>
      <c r="BAH11" s="826"/>
      <c r="BAI11" s="826"/>
      <c r="BAJ11" s="826"/>
      <c r="BAK11" s="826"/>
      <c r="BAL11" s="826"/>
      <c r="BAM11" s="826"/>
      <c r="BAN11" s="826"/>
      <c r="BAO11" s="826"/>
      <c r="BAP11" s="826"/>
      <c r="BAQ11" s="826"/>
      <c r="BAR11" s="826"/>
      <c r="BAS11" s="826"/>
      <c r="BAT11" s="826"/>
      <c r="BAU11" s="826"/>
      <c r="BAV11" s="826"/>
      <c r="BAW11" s="826"/>
      <c r="BAX11" s="826"/>
      <c r="BAY11" s="826"/>
      <c r="BAZ11" s="826"/>
      <c r="BBA11" s="826"/>
      <c r="BBB11" s="826"/>
      <c r="BBC11" s="826"/>
      <c r="BBD11" s="826"/>
      <c r="BBE11" s="826"/>
      <c r="BBF11" s="826"/>
      <c r="BBG11" s="826"/>
      <c r="BBH11" s="826"/>
      <c r="BBI11" s="826"/>
      <c r="BBJ11" s="826"/>
      <c r="BBK11" s="826"/>
      <c r="BBL11" s="826"/>
      <c r="BBM11" s="826"/>
      <c r="BBN11" s="826"/>
      <c r="BBO11" s="826"/>
      <c r="BBP11" s="826"/>
      <c r="BBQ11" s="826"/>
      <c r="BBR11" s="826"/>
      <c r="BBS11" s="826"/>
      <c r="BBT11" s="826"/>
      <c r="BBU11" s="826"/>
      <c r="BBV11" s="826"/>
      <c r="BBW11" s="826"/>
      <c r="BBX11" s="826"/>
      <c r="BBY11" s="826"/>
      <c r="BBZ11" s="826"/>
      <c r="BCA11" s="826"/>
      <c r="BCB11" s="826"/>
      <c r="BCC11" s="826"/>
      <c r="BCD11" s="826"/>
      <c r="BCE11" s="826"/>
      <c r="BCF11" s="826"/>
      <c r="BCG11" s="826"/>
      <c r="BCH11" s="826"/>
      <c r="BCI11" s="826"/>
      <c r="BCJ11" s="826"/>
      <c r="BCK11" s="826"/>
      <c r="BCL11" s="826"/>
      <c r="BCM11" s="826"/>
      <c r="BCN11" s="826"/>
      <c r="BCO11" s="826"/>
      <c r="BCP11" s="826"/>
      <c r="BCQ11" s="826"/>
      <c r="BCR11" s="826"/>
      <c r="BCS11" s="826"/>
      <c r="BCT11" s="826"/>
      <c r="BCU11" s="826"/>
      <c r="BCV11" s="826"/>
      <c r="BCW11" s="826"/>
      <c r="BCX11" s="826"/>
      <c r="BCY11" s="826"/>
      <c r="BCZ11" s="826"/>
      <c r="BDA11" s="826"/>
      <c r="BDB11" s="826"/>
      <c r="BDC11" s="826"/>
      <c r="BDD11" s="826"/>
      <c r="BDE11" s="826"/>
      <c r="BDF11" s="826"/>
      <c r="BDG11" s="826"/>
      <c r="BDH11" s="826"/>
      <c r="BDI11" s="826"/>
      <c r="BDJ11" s="826"/>
      <c r="BDK11" s="826"/>
      <c r="BDL11" s="826"/>
      <c r="BDM11" s="826"/>
      <c r="BDN11" s="826"/>
      <c r="BDO11" s="826"/>
      <c r="BDP11" s="826"/>
      <c r="BDQ11" s="826"/>
      <c r="BDR11" s="826"/>
      <c r="BDS11" s="826"/>
      <c r="BDT11" s="826"/>
      <c r="BDU11" s="826"/>
      <c r="BDV11" s="826"/>
      <c r="BDW11" s="826"/>
      <c r="BDX11" s="826"/>
      <c r="BDY11" s="826"/>
      <c r="BDZ11" s="826"/>
      <c r="BEA11" s="826"/>
      <c r="BEB11" s="826"/>
      <c r="BEC11" s="826"/>
      <c r="BED11" s="826"/>
      <c r="BEE11" s="826"/>
      <c r="BEF11" s="826"/>
      <c r="BEG11" s="826"/>
      <c r="BEH11" s="826"/>
      <c r="BEI11" s="826"/>
      <c r="BEJ11" s="826"/>
      <c r="BEK11" s="826"/>
      <c r="BEL11" s="826"/>
      <c r="BEM11" s="826"/>
      <c r="BEN11" s="826"/>
      <c r="BEO11" s="826"/>
      <c r="BEP11" s="826"/>
      <c r="BEQ11" s="826"/>
      <c r="BER11" s="826"/>
      <c r="BES11" s="826"/>
      <c r="BET11" s="826"/>
      <c r="BEU11" s="826"/>
      <c r="BEV11" s="826"/>
      <c r="BEW11" s="826"/>
      <c r="BEX11" s="826"/>
      <c r="BEY11" s="826"/>
      <c r="BEZ11" s="826"/>
      <c r="BFA11" s="826"/>
      <c r="BFB11" s="826"/>
      <c r="BFC11" s="826"/>
      <c r="BFD11" s="826"/>
      <c r="BFE11" s="826"/>
      <c r="BFF11" s="826"/>
      <c r="BFG11" s="826"/>
      <c r="BFH11" s="826"/>
      <c r="BFI11" s="826"/>
      <c r="BFJ11" s="826"/>
      <c r="BFK11" s="826"/>
      <c r="BFL11" s="826"/>
      <c r="BFM11" s="826"/>
      <c r="BFN11" s="826"/>
      <c r="BFO11" s="826"/>
      <c r="BFP11" s="826"/>
      <c r="BFQ11" s="826"/>
      <c r="BFR11" s="826"/>
      <c r="BFS11" s="826"/>
      <c r="BFT11" s="826"/>
      <c r="BFU11" s="826"/>
      <c r="BFV11" s="826"/>
      <c r="BFW11" s="826"/>
      <c r="BFX11" s="826"/>
      <c r="BFY11" s="826"/>
      <c r="BFZ11" s="826"/>
      <c r="BGA11" s="826"/>
      <c r="BGB11" s="826"/>
      <c r="BGC11" s="826"/>
      <c r="BGD11" s="826"/>
      <c r="BGE11" s="826"/>
      <c r="BGF11" s="826"/>
      <c r="BGG11" s="826"/>
      <c r="BGH11" s="826"/>
      <c r="BGI11" s="826"/>
      <c r="BGJ11" s="826"/>
      <c r="BGK11" s="826"/>
      <c r="BGL11" s="826"/>
      <c r="BGM11" s="826"/>
      <c r="BGN11" s="826"/>
      <c r="BGO11" s="826"/>
      <c r="BGP11" s="826"/>
      <c r="BGQ11" s="826"/>
      <c r="BGR11" s="826"/>
      <c r="BGS11" s="826"/>
      <c r="BGT11" s="826"/>
      <c r="BGU11" s="826"/>
      <c r="BGV11" s="826"/>
      <c r="BGW11" s="826"/>
      <c r="BGX11" s="826"/>
      <c r="BGY11" s="826"/>
      <c r="BGZ11" s="826"/>
      <c r="BHA11" s="826"/>
      <c r="BHB11" s="826"/>
      <c r="BHC11" s="826"/>
      <c r="BHD11" s="826"/>
      <c r="BHE11" s="826"/>
      <c r="BHF11" s="826"/>
      <c r="BHG11" s="826"/>
      <c r="BHH11" s="826"/>
      <c r="BHI11" s="826"/>
      <c r="BHJ11" s="826"/>
      <c r="BHK11" s="826"/>
      <c r="BHL11" s="826"/>
      <c r="BHM11" s="826"/>
      <c r="BHN11" s="826"/>
      <c r="BHO11" s="826"/>
      <c r="BHP11" s="826"/>
      <c r="BHQ11" s="826"/>
      <c r="BHR11" s="826"/>
      <c r="BHS11" s="826"/>
      <c r="BHT11" s="826"/>
      <c r="BHU11" s="826"/>
      <c r="BHV11" s="826"/>
      <c r="BHW11" s="826"/>
      <c r="BHX11" s="826"/>
      <c r="BHY11" s="826"/>
      <c r="BHZ11" s="826"/>
      <c r="BIA11" s="826"/>
      <c r="BIB11" s="826"/>
      <c r="BIC11" s="826"/>
      <c r="BID11" s="826"/>
      <c r="BIE11" s="826"/>
      <c r="BIF11" s="826"/>
      <c r="BIG11" s="826"/>
      <c r="BIH11" s="826"/>
      <c r="BII11" s="826"/>
      <c r="BIJ11" s="826"/>
      <c r="BIK11" s="826"/>
      <c r="BIL11" s="826"/>
      <c r="BIM11" s="826"/>
      <c r="BIN11" s="826"/>
      <c r="BIO11" s="826"/>
      <c r="BIP11" s="826"/>
      <c r="BIQ11" s="826"/>
      <c r="BIR11" s="826"/>
      <c r="BIS11" s="826"/>
      <c r="BIT11" s="826"/>
      <c r="BIU11" s="826"/>
      <c r="BIV11" s="826"/>
      <c r="BIW11" s="826"/>
      <c r="BIX11" s="826"/>
      <c r="BIY11" s="826"/>
      <c r="BIZ11" s="826"/>
      <c r="BJA11" s="826"/>
      <c r="BJB11" s="826"/>
      <c r="BJC11" s="826"/>
      <c r="BJD11" s="826"/>
      <c r="BJE11" s="826"/>
      <c r="BJF11" s="826"/>
      <c r="BJG11" s="826"/>
      <c r="BJH11" s="826"/>
      <c r="BJI11" s="826"/>
      <c r="BJJ11" s="826"/>
      <c r="BJK11" s="826"/>
      <c r="BJL11" s="826"/>
      <c r="BJM11" s="826"/>
      <c r="BJN11" s="826"/>
      <c r="BJO11" s="826"/>
      <c r="BJP11" s="826"/>
      <c r="BJQ11" s="826"/>
      <c r="BJR11" s="826"/>
      <c r="BJS11" s="826"/>
      <c r="BJT11" s="826"/>
      <c r="BJU11" s="826"/>
      <c r="BJV11" s="826"/>
      <c r="BJW11" s="826"/>
      <c r="BJX11" s="826"/>
      <c r="BJY11" s="826"/>
      <c r="BJZ11" s="826"/>
      <c r="BKA11" s="826"/>
      <c r="BKB11" s="826"/>
      <c r="BKC11" s="826"/>
      <c r="BKD11" s="826"/>
      <c r="BKE11" s="826"/>
      <c r="BKF11" s="826"/>
      <c r="BKG11" s="826"/>
      <c r="BKH11" s="826"/>
      <c r="BKI11" s="826"/>
      <c r="BKJ11" s="826"/>
      <c r="BKK11" s="826"/>
      <c r="BKL11" s="826"/>
      <c r="BKM11" s="826"/>
      <c r="BKN11" s="826"/>
      <c r="BKO11" s="826"/>
      <c r="BKP11" s="826"/>
      <c r="BKQ11" s="826"/>
      <c r="BKR11" s="826"/>
      <c r="BKS11" s="826"/>
      <c r="BKT11" s="826"/>
      <c r="BKU11" s="826"/>
      <c r="BKV11" s="826"/>
      <c r="BKW11" s="826"/>
      <c r="BKX11" s="826"/>
      <c r="BKY11" s="826"/>
      <c r="BKZ11" s="826"/>
      <c r="BLA11" s="826"/>
      <c r="BLB11" s="826"/>
      <c r="BLC11" s="826"/>
      <c r="BLD11" s="826"/>
      <c r="BLE11" s="826"/>
      <c r="BLF11" s="826"/>
      <c r="BLG11" s="826"/>
      <c r="BLH11" s="826"/>
      <c r="BLI11" s="826"/>
      <c r="BLJ11" s="826"/>
      <c r="BLK11" s="826"/>
      <c r="BLL11" s="826"/>
      <c r="BLM11" s="826"/>
      <c r="BLN11" s="826"/>
      <c r="BLO11" s="826"/>
      <c r="BLP11" s="826"/>
      <c r="BLQ11" s="826"/>
      <c r="BLR11" s="826"/>
      <c r="BLS11" s="826"/>
      <c r="BLT11" s="826"/>
      <c r="BLU11" s="826"/>
      <c r="BLV11" s="826"/>
      <c r="BLW11" s="826"/>
      <c r="BLX11" s="826"/>
      <c r="BLY11" s="826"/>
      <c r="BLZ11" s="826"/>
      <c r="BMA11" s="826"/>
      <c r="BMB11" s="826"/>
      <c r="BMC11" s="826"/>
      <c r="BMD11" s="826"/>
      <c r="BME11" s="826"/>
      <c r="BMF11" s="826"/>
      <c r="BMG11" s="826"/>
      <c r="BMH11" s="826"/>
      <c r="BMI11" s="826"/>
      <c r="BMJ11" s="826"/>
      <c r="BMK11" s="826"/>
      <c r="BML11" s="826"/>
      <c r="BMM11" s="826"/>
      <c r="BMN11" s="826"/>
      <c r="BMO11" s="826"/>
      <c r="BMP11" s="826"/>
      <c r="BMQ11" s="826"/>
      <c r="BMR11" s="826"/>
      <c r="BMS11" s="826"/>
      <c r="BMT11" s="826"/>
      <c r="BMU11" s="826"/>
      <c r="BMV11" s="826"/>
      <c r="BMW11" s="826"/>
      <c r="BMX11" s="826"/>
      <c r="BMY11" s="826"/>
      <c r="BMZ11" s="826"/>
      <c r="BNA11" s="826"/>
      <c r="BNB11" s="826"/>
      <c r="BNC11" s="826"/>
      <c r="BND11" s="826"/>
      <c r="BNE11" s="826"/>
      <c r="BNF11" s="826"/>
      <c r="BNG11" s="826"/>
      <c r="BNH11" s="826"/>
      <c r="BNI11" s="826"/>
      <c r="BNJ11" s="826"/>
      <c r="BNK11" s="826"/>
      <c r="BNL11" s="826"/>
      <c r="BNM11" s="826"/>
      <c r="BNN11" s="826"/>
      <c r="BNO11" s="826"/>
      <c r="BNP11" s="826"/>
      <c r="BNQ11" s="826"/>
      <c r="BNR11" s="826"/>
      <c r="BNS11" s="826"/>
      <c r="BNT11" s="826"/>
      <c r="BNU11" s="826"/>
      <c r="BNV11" s="826"/>
      <c r="BNW11" s="826"/>
      <c r="BNX11" s="826"/>
      <c r="BNY11" s="826"/>
      <c r="BNZ11" s="826"/>
      <c r="BOA11" s="826"/>
      <c r="BOB11" s="826"/>
      <c r="BOC11" s="826"/>
      <c r="BOD11" s="826"/>
      <c r="BOE11" s="826"/>
      <c r="BOF11" s="826"/>
      <c r="BOG11" s="826"/>
      <c r="BOH11" s="826"/>
      <c r="BOI11" s="826"/>
      <c r="BOJ11" s="826"/>
      <c r="BOK11" s="826"/>
      <c r="BOL11" s="826"/>
      <c r="BOM11" s="826"/>
      <c r="BON11" s="826"/>
      <c r="BOO11" s="826"/>
      <c r="BOP11" s="826"/>
      <c r="BOQ11" s="826"/>
      <c r="BOR11" s="826"/>
      <c r="BOS11" s="826"/>
      <c r="BOT11" s="826"/>
      <c r="BOU11" s="826"/>
      <c r="BOV11" s="826"/>
      <c r="BOW11" s="826"/>
      <c r="BOX11" s="826"/>
      <c r="BOY11" s="826"/>
      <c r="BOZ11" s="826"/>
      <c r="BPA11" s="826"/>
      <c r="BPB11" s="826"/>
      <c r="BPC11" s="826"/>
      <c r="BPD11" s="826"/>
      <c r="BPE11" s="826"/>
      <c r="BPF11" s="826"/>
      <c r="BPG11" s="826"/>
      <c r="BPH11" s="826"/>
      <c r="BPI11" s="826"/>
      <c r="BPJ11" s="826"/>
      <c r="BPK11" s="826"/>
      <c r="BPL11" s="826"/>
      <c r="BPM11" s="826"/>
      <c r="BPN11" s="826"/>
      <c r="BPO11" s="826"/>
      <c r="BPP11" s="826"/>
      <c r="BPQ11" s="826"/>
      <c r="BPR11" s="826"/>
      <c r="BPS11" s="826"/>
      <c r="BPT11" s="826"/>
      <c r="BPU11" s="826"/>
      <c r="BPV11" s="826"/>
      <c r="BPW11" s="826"/>
      <c r="BPX11" s="826"/>
      <c r="BPY11" s="826"/>
      <c r="BPZ11" s="826"/>
      <c r="BQA11" s="826"/>
      <c r="BQB11" s="826"/>
      <c r="BQC11" s="826"/>
      <c r="BQD11" s="826"/>
      <c r="BQE11" s="826"/>
      <c r="BQF11" s="826"/>
      <c r="BQG11" s="826"/>
      <c r="BQH11" s="826"/>
      <c r="BQI11" s="826"/>
      <c r="BQJ11" s="826"/>
      <c r="BQK11" s="826"/>
      <c r="BQL11" s="826"/>
      <c r="BQM11" s="826"/>
      <c r="BQN11" s="826"/>
      <c r="BQO11" s="826"/>
      <c r="BQP11" s="826"/>
      <c r="BQQ11" s="826"/>
      <c r="BQR11" s="826"/>
      <c r="BQS11" s="826"/>
      <c r="BQT11" s="826"/>
      <c r="BQU11" s="826"/>
      <c r="BQV11" s="826"/>
      <c r="BQW11" s="826"/>
      <c r="BQX11" s="826"/>
      <c r="BQY11" s="826"/>
      <c r="BQZ11" s="826"/>
      <c r="BRA11" s="826"/>
      <c r="BRB11" s="826"/>
      <c r="BRC11" s="826"/>
      <c r="BRD11" s="826"/>
      <c r="BRE11" s="826"/>
      <c r="BRF11" s="826"/>
      <c r="BRG11" s="826"/>
      <c r="BRH11" s="826"/>
      <c r="BRI11" s="826"/>
      <c r="BRJ11" s="826"/>
      <c r="BRK11" s="826"/>
      <c r="BRL11" s="826"/>
      <c r="BRM11" s="826"/>
      <c r="BRN11" s="826"/>
      <c r="BRO11" s="826"/>
      <c r="BRP11" s="826"/>
      <c r="BRQ11" s="826"/>
      <c r="BRR11" s="826"/>
      <c r="BRS11" s="826"/>
      <c r="BRT11" s="826"/>
      <c r="BRU11" s="826"/>
      <c r="BRV11" s="826"/>
      <c r="BRW11" s="826"/>
      <c r="BRX11" s="826"/>
      <c r="BRY11" s="826"/>
      <c r="BRZ11" s="826"/>
      <c r="BSA11" s="826"/>
      <c r="BSB11" s="826"/>
      <c r="BSC11" s="826"/>
      <c r="BSD11" s="826"/>
      <c r="BSE11" s="826"/>
      <c r="BSF11" s="826"/>
      <c r="BSG11" s="826"/>
      <c r="BSH11" s="826"/>
      <c r="BSI11" s="826"/>
      <c r="BSJ11" s="826"/>
      <c r="BSK11" s="826"/>
      <c r="BSL11" s="826"/>
      <c r="BSM11" s="826"/>
      <c r="BSN11" s="826"/>
      <c r="BSO11" s="826"/>
      <c r="BSP11" s="826"/>
      <c r="BSQ11" s="826"/>
      <c r="BSR11" s="826"/>
      <c r="BSS11" s="826"/>
      <c r="BST11" s="826"/>
    </row>
    <row r="12" spans="1:1866" s="825" customFormat="1" ht="20.100000000000001" customHeight="1" x14ac:dyDescent="0.25">
      <c r="A12" s="826"/>
      <c r="B12" s="3173"/>
      <c r="C12" s="1489" t="s">
        <v>283</v>
      </c>
      <c r="D12" s="1487">
        <f>SUMIF(Bfr!$B$26:$B$29,"="&amp;C12,Bfr!$D$26:$D$29)</f>
        <v>0</v>
      </c>
      <c r="E12" s="1473"/>
      <c r="F12" s="1473"/>
      <c r="G12" s="1473">
        <f>E6*$D$12</f>
        <v>0</v>
      </c>
      <c r="H12" s="1473">
        <f t="shared" ref="H12:P12" si="20">F6*$D$12</f>
        <v>0</v>
      </c>
      <c r="I12" s="1473">
        <f t="shared" si="20"/>
        <v>0</v>
      </c>
      <c r="J12" s="1473">
        <f t="shared" si="20"/>
        <v>0</v>
      </c>
      <c r="K12" s="1473">
        <f t="shared" si="20"/>
        <v>0</v>
      </c>
      <c r="L12" s="1473">
        <f t="shared" si="20"/>
        <v>0</v>
      </c>
      <c r="M12" s="1473">
        <f t="shared" si="20"/>
        <v>0</v>
      </c>
      <c r="N12" s="1473">
        <f t="shared" si="20"/>
        <v>0</v>
      </c>
      <c r="O12" s="1473">
        <f t="shared" si="20"/>
        <v>0</v>
      </c>
      <c r="P12" s="1473">
        <f t="shared" si="20"/>
        <v>0</v>
      </c>
      <c r="Q12" s="1473">
        <f t="shared" ref="Q12" si="21">O6*$D$12</f>
        <v>0</v>
      </c>
      <c r="R12" s="1473">
        <f t="shared" ref="R12" si="22">P6*$D$12</f>
        <v>0</v>
      </c>
      <c r="S12" s="1473">
        <f t="shared" ref="S12" si="23">Q6*$D$12</f>
        <v>0</v>
      </c>
      <c r="T12" s="1473">
        <f t="shared" ref="T12" si="24">R6*$D$12</f>
        <v>0</v>
      </c>
      <c r="U12" s="1473">
        <f t="shared" ref="U12" si="25">S6*$D$12</f>
        <v>0</v>
      </c>
      <c r="V12" s="1488"/>
      <c r="W12" s="826"/>
      <c r="X12" s="874">
        <f t="shared" si="9"/>
        <v>0</v>
      </c>
      <c r="Y12" s="874">
        <f>U6*D12</f>
        <v>0</v>
      </c>
      <c r="Z12" s="874">
        <f>V6*D12</f>
        <v>0</v>
      </c>
      <c r="AA12" s="866"/>
      <c r="AB12" s="826"/>
      <c r="AC12" s="826"/>
      <c r="AD12" s="826"/>
      <c r="AE12" s="826"/>
      <c r="AF12" s="826"/>
      <c r="AG12" s="826"/>
      <c r="AH12" s="826"/>
      <c r="AI12" s="826"/>
      <c r="AJ12" s="826"/>
      <c r="AK12" s="826"/>
      <c r="AL12" s="826"/>
      <c r="AM12" s="826"/>
      <c r="AN12" s="826"/>
      <c r="AO12" s="826"/>
      <c r="AP12" s="826"/>
      <c r="AQ12" s="826"/>
      <c r="AR12" s="826"/>
      <c r="AS12" s="826"/>
      <c r="AT12" s="826"/>
      <c r="AU12" s="826"/>
      <c r="AV12" s="826"/>
      <c r="AW12" s="826"/>
      <c r="AX12" s="826"/>
      <c r="AY12" s="826"/>
      <c r="AZ12" s="826"/>
      <c r="BA12" s="826"/>
      <c r="BB12" s="826"/>
      <c r="BC12" s="826"/>
      <c r="BD12" s="826"/>
      <c r="BE12" s="826"/>
      <c r="BF12" s="826"/>
      <c r="BG12" s="826"/>
      <c r="BH12" s="826"/>
      <c r="BI12" s="826"/>
      <c r="BJ12" s="826"/>
      <c r="BK12" s="826"/>
      <c r="BL12" s="826"/>
      <c r="BM12" s="826"/>
      <c r="BN12" s="826"/>
      <c r="BO12" s="826"/>
      <c r="BP12" s="826"/>
      <c r="BQ12" s="826"/>
      <c r="BR12" s="826"/>
      <c r="BS12" s="826"/>
      <c r="BT12" s="826"/>
      <c r="BU12" s="826"/>
      <c r="BV12" s="826"/>
      <c r="BW12" s="826"/>
      <c r="BX12" s="826"/>
      <c r="BY12" s="826"/>
      <c r="BZ12" s="826"/>
      <c r="CA12" s="826"/>
      <c r="CB12" s="826"/>
      <c r="CC12" s="826"/>
      <c r="CD12" s="826"/>
      <c r="CE12" s="826"/>
      <c r="CF12" s="826"/>
      <c r="CG12" s="826"/>
      <c r="CH12" s="826"/>
      <c r="CI12" s="826"/>
      <c r="CJ12" s="826"/>
      <c r="CK12" s="826"/>
      <c r="CL12" s="826"/>
      <c r="CM12" s="826"/>
      <c r="CN12" s="826"/>
      <c r="CO12" s="826"/>
      <c r="CP12" s="826"/>
      <c r="CQ12" s="826"/>
      <c r="CR12" s="826"/>
      <c r="CS12" s="826"/>
      <c r="CT12" s="826"/>
      <c r="CU12" s="826"/>
      <c r="CV12" s="826"/>
      <c r="CW12" s="826"/>
      <c r="CX12" s="826"/>
      <c r="CY12" s="826"/>
      <c r="CZ12" s="826"/>
      <c r="DA12" s="826"/>
      <c r="DB12" s="826"/>
      <c r="DC12" s="826"/>
      <c r="DD12" s="826"/>
      <c r="DE12" s="826"/>
      <c r="DF12" s="826"/>
      <c r="DG12" s="826"/>
      <c r="DH12" s="826"/>
      <c r="DI12" s="826"/>
      <c r="DJ12" s="826"/>
      <c r="DK12" s="826"/>
      <c r="DL12" s="826"/>
      <c r="DM12" s="826"/>
      <c r="DN12" s="826"/>
      <c r="DO12" s="826"/>
      <c r="DP12" s="826"/>
      <c r="DQ12" s="826"/>
      <c r="DR12" s="826"/>
      <c r="DS12" s="826"/>
      <c r="DT12" s="826"/>
      <c r="DU12" s="826"/>
      <c r="DV12" s="826"/>
      <c r="DW12" s="826"/>
      <c r="DX12" s="826"/>
      <c r="DY12" s="826"/>
      <c r="DZ12" s="826"/>
      <c r="EA12" s="826"/>
      <c r="EB12" s="826"/>
      <c r="EC12" s="826"/>
      <c r="ED12" s="826"/>
      <c r="EE12" s="826"/>
      <c r="EF12" s="826"/>
      <c r="EG12" s="826"/>
      <c r="EH12" s="826"/>
      <c r="EI12" s="826"/>
      <c r="EJ12" s="826"/>
      <c r="EK12" s="826"/>
      <c r="EL12" s="826"/>
      <c r="EM12" s="826"/>
      <c r="EN12" s="826"/>
      <c r="EO12" s="826"/>
      <c r="EP12" s="826"/>
      <c r="EQ12" s="826"/>
      <c r="ER12" s="826"/>
      <c r="ES12" s="826"/>
      <c r="ET12" s="826"/>
      <c r="EU12" s="826"/>
      <c r="EV12" s="826"/>
      <c r="EW12" s="826"/>
      <c r="EX12" s="826"/>
      <c r="EY12" s="826"/>
      <c r="EZ12" s="826"/>
      <c r="FA12" s="826"/>
      <c r="FB12" s="826"/>
      <c r="FC12" s="826"/>
      <c r="FD12" s="826"/>
      <c r="FE12" s="826"/>
      <c r="FF12" s="826"/>
      <c r="FG12" s="826"/>
      <c r="FH12" s="826"/>
      <c r="FI12" s="826"/>
      <c r="FJ12" s="826"/>
      <c r="FK12" s="826"/>
      <c r="FL12" s="826"/>
      <c r="FM12" s="826"/>
      <c r="FN12" s="826"/>
      <c r="FO12" s="826"/>
      <c r="FP12" s="826"/>
      <c r="FQ12" s="826"/>
      <c r="FR12" s="826"/>
      <c r="FS12" s="826"/>
      <c r="FT12" s="826"/>
      <c r="FU12" s="826"/>
      <c r="FV12" s="826"/>
      <c r="FW12" s="826"/>
      <c r="FX12" s="826"/>
      <c r="FY12" s="826"/>
      <c r="FZ12" s="826"/>
      <c r="GA12" s="826"/>
      <c r="GB12" s="826"/>
      <c r="GC12" s="826"/>
      <c r="GD12" s="826"/>
      <c r="GE12" s="826"/>
      <c r="GF12" s="826"/>
      <c r="GG12" s="826"/>
      <c r="GH12" s="826"/>
      <c r="GI12" s="826"/>
      <c r="GJ12" s="826"/>
      <c r="GK12" s="826"/>
      <c r="GL12" s="826"/>
      <c r="GM12" s="826"/>
      <c r="GN12" s="826"/>
      <c r="GO12" s="826"/>
      <c r="GP12" s="826"/>
      <c r="GQ12" s="826"/>
      <c r="GR12" s="826"/>
      <c r="GS12" s="826"/>
      <c r="GT12" s="826"/>
      <c r="GU12" s="826"/>
      <c r="GV12" s="826"/>
      <c r="GW12" s="826"/>
      <c r="GX12" s="826"/>
      <c r="GY12" s="826"/>
      <c r="GZ12" s="826"/>
      <c r="HA12" s="826"/>
      <c r="HB12" s="826"/>
      <c r="HC12" s="826"/>
      <c r="HD12" s="826"/>
      <c r="HE12" s="826"/>
      <c r="HF12" s="826"/>
      <c r="HG12" s="826"/>
      <c r="HH12" s="826"/>
      <c r="HI12" s="826"/>
      <c r="HJ12" s="826"/>
      <c r="HK12" s="826"/>
      <c r="HL12" s="826"/>
      <c r="HM12" s="826"/>
      <c r="HN12" s="826"/>
      <c r="HO12" s="826"/>
      <c r="HP12" s="826"/>
      <c r="HQ12" s="826"/>
      <c r="HR12" s="826"/>
      <c r="HS12" s="826"/>
      <c r="HT12" s="826"/>
      <c r="HU12" s="826"/>
      <c r="HV12" s="826"/>
      <c r="HW12" s="826"/>
      <c r="HX12" s="826"/>
      <c r="HY12" s="826"/>
      <c r="HZ12" s="826"/>
      <c r="IA12" s="826"/>
      <c r="IB12" s="826"/>
      <c r="IC12" s="826"/>
      <c r="ID12" s="826"/>
      <c r="IE12" s="826"/>
      <c r="IF12" s="826"/>
      <c r="IG12" s="826"/>
      <c r="IH12" s="826"/>
      <c r="II12" s="826"/>
      <c r="IJ12" s="826"/>
      <c r="IK12" s="826"/>
      <c r="IL12" s="826"/>
      <c r="IM12" s="826"/>
      <c r="IN12" s="826"/>
      <c r="IO12" s="826"/>
      <c r="IP12" s="826"/>
      <c r="IQ12" s="826"/>
      <c r="IR12" s="826"/>
      <c r="IS12" s="826"/>
      <c r="IT12" s="826"/>
      <c r="IU12" s="826"/>
      <c r="IV12" s="826"/>
      <c r="IW12" s="826"/>
      <c r="IX12" s="826"/>
      <c r="IY12" s="826"/>
      <c r="IZ12" s="826"/>
      <c r="JA12" s="826"/>
      <c r="JB12" s="826"/>
      <c r="JC12" s="826"/>
      <c r="JD12" s="826"/>
      <c r="JE12" s="826"/>
      <c r="JF12" s="826"/>
      <c r="JG12" s="826"/>
      <c r="JH12" s="826"/>
      <c r="JI12" s="826"/>
      <c r="JJ12" s="826"/>
      <c r="JK12" s="826"/>
      <c r="JL12" s="826"/>
      <c r="JM12" s="826"/>
      <c r="JN12" s="826"/>
      <c r="JO12" s="826"/>
      <c r="JP12" s="826"/>
      <c r="JQ12" s="826"/>
      <c r="JR12" s="826"/>
      <c r="JS12" s="826"/>
      <c r="JT12" s="826"/>
      <c r="JU12" s="826"/>
      <c r="JV12" s="826"/>
      <c r="JW12" s="826"/>
      <c r="JX12" s="826"/>
      <c r="JY12" s="826"/>
      <c r="JZ12" s="826"/>
      <c r="KA12" s="826"/>
      <c r="KB12" s="826"/>
      <c r="KC12" s="826"/>
      <c r="KD12" s="826"/>
      <c r="KE12" s="826"/>
      <c r="KF12" s="826"/>
      <c r="KG12" s="826"/>
      <c r="KH12" s="826"/>
      <c r="KI12" s="826"/>
      <c r="KJ12" s="826"/>
      <c r="KK12" s="826"/>
      <c r="KL12" s="826"/>
      <c r="KM12" s="826"/>
      <c r="KN12" s="826"/>
      <c r="KO12" s="826"/>
      <c r="KP12" s="826"/>
      <c r="KQ12" s="826"/>
      <c r="KR12" s="826"/>
      <c r="KS12" s="826"/>
      <c r="KT12" s="826"/>
      <c r="KU12" s="826"/>
      <c r="KV12" s="826"/>
      <c r="KW12" s="826"/>
      <c r="KX12" s="826"/>
      <c r="KY12" s="826"/>
      <c r="KZ12" s="826"/>
      <c r="LA12" s="826"/>
      <c r="LB12" s="826"/>
      <c r="LC12" s="826"/>
      <c r="LD12" s="826"/>
      <c r="LE12" s="826"/>
      <c r="LF12" s="826"/>
      <c r="LG12" s="826"/>
      <c r="LH12" s="826"/>
      <c r="LI12" s="826"/>
      <c r="LJ12" s="826"/>
      <c r="LK12" s="826"/>
      <c r="LL12" s="826"/>
      <c r="LM12" s="826"/>
      <c r="LN12" s="826"/>
      <c r="LO12" s="826"/>
      <c r="LP12" s="826"/>
      <c r="LQ12" s="826"/>
      <c r="LR12" s="826"/>
      <c r="LS12" s="826"/>
      <c r="LT12" s="826"/>
      <c r="LU12" s="826"/>
      <c r="LV12" s="826"/>
      <c r="LW12" s="826"/>
      <c r="LX12" s="826"/>
      <c r="LY12" s="826"/>
      <c r="LZ12" s="826"/>
      <c r="MA12" s="826"/>
      <c r="MB12" s="826"/>
      <c r="MC12" s="826"/>
      <c r="MD12" s="826"/>
      <c r="ME12" s="826"/>
      <c r="MF12" s="826"/>
      <c r="MG12" s="826"/>
      <c r="MH12" s="826"/>
      <c r="MI12" s="826"/>
      <c r="MJ12" s="826"/>
      <c r="MK12" s="826"/>
      <c r="ML12" s="826"/>
      <c r="MM12" s="826"/>
      <c r="MN12" s="826"/>
      <c r="MO12" s="826"/>
      <c r="MP12" s="826"/>
      <c r="MQ12" s="826"/>
      <c r="MR12" s="826"/>
      <c r="MS12" s="826"/>
      <c r="MT12" s="826"/>
      <c r="MU12" s="826"/>
      <c r="MV12" s="826"/>
      <c r="MW12" s="826"/>
      <c r="MX12" s="826"/>
      <c r="MY12" s="826"/>
      <c r="MZ12" s="826"/>
      <c r="NA12" s="826"/>
      <c r="NB12" s="826"/>
      <c r="NC12" s="826"/>
      <c r="ND12" s="826"/>
      <c r="NE12" s="826"/>
      <c r="NF12" s="826"/>
      <c r="NG12" s="826"/>
      <c r="NH12" s="826"/>
      <c r="NI12" s="826"/>
      <c r="NJ12" s="826"/>
      <c r="NK12" s="826"/>
      <c r="NL12" s="826"/>
      <c r="NM12" s="826"/>
      <c r="NN12" s="826"/>
      <c r="NO12" s="826"/>
      <c r="NP12" s="826"/>
      <c r="NQ12" s="826"/>
      <c r="NR12" s="826"/>
      <c r="NS12" s="826"/>
      <c r="NT12" s="826"/>
      <c r="NU12" s="826"/>
      <c r="NV12" s="826"/>
      <c r="NW12" s="826"/>
      <c r="NX12" s="826"/>
      <c r="NY12" s="826"/>
      <c r="NZ12" s="826"/>
      <c r="OA12" s="826"/>
      <c r="OB12" s="826"/>
      <c r="OC12" s="826"/>
      <c r="OD12" s="826"/>
      <c r="OE12" s="826"/>
      <c r="OF12" s="826"/>
      <c r="OG12" s="826"/>
      <c r="OH12" s="826"/>
      <c r="OI12" s="826"/>
      <c r="OJ12" s="826"/>
      <c r="OK12" s="826"/>
      <c r="OL12" s="826"/>
      <c r="OM12" s="826"/>
      <c r="ON12" s="826"/>
      <c r="OO12" s="826"/>
      <c r="OP12" s="826"/>
      <c r="OQ12" s="826"/>
      <c r="OR12" s="826"/>
      <c r="OS12" s="826"/>
      <c r="OT12" s="826"/>
      <c r="OU12" s="826"/>
      <c r="OV12" s="826"/>
      <c r="OW12" s="826"/>
      <c r="OX12" s="826"/>
      <c r="OY12" s="826"/>
      <c r="OZ12" s="826"/>
      <c r="PA12" s="826"/>
      <c r="PB12" s="826"/>
      <c r="PC12" s="826"/>
      <c r="PD12" s="826"/>
      <c r="PE12" s="826"/>
      <c r="PF12" s="826"/>
      <c r="PG12" s="826"/>
      <c r="PH12" s="826"/>
      <c r="PI12" s="826"/>
      <c r="PJ12" s="826"/>
      <c r="PK12" s="826"/>
      <c r="PL12" s="826"/>
      <c r="PM12" s="826"/>
      <c r="PN12" s="826"/>
      <c r="PO12" s="826"/>
      <c r="PP12" s="826"/>
      <c r="PQ12" s="826"/>
      <c r="PR12" s="826"/>
      <c r="PS12" s="826"/>
      <c r="PT12" s="826"/>
      <c r="PU12" s="826"/>
      <c r="PV12" s="826"/>
      <c r="PW12" s="826"/>
      <c r="PX12" s="826"/>
      <c r="PY12" s="826"/>
      <c r="PZ12" s="826"/>
      <c r="QA12" s="826"/>
      <c r="QB12" s="826"/>
      <c r="QC12" s="826"/>
      <c r="QD12" s="826"/>
      <c r="QE12" s="826"/>
      <c r="QF12" s="826"/>
      <c r="QG12" s="826"/>
      <c r="QH12" s="826"/>
      <c r="QI12" s="826"/>
      <c r="QJ12" s="826"/>
      <c r="QK12" s="826"/>
      <c r="QL12" s="826"/>
      <c r="QM12" s="826"/>
      <c r="QN12" s="826"/>
      <c r="QO12" s="826"/>
      <c r="QP12" s="826"/>
      <c r="QQ12" s="826"/>
      <c r="QR12" s="826"/>
      <c r="QS12" s="826"/>
      <c r="QT12" s="826"/>
      <c r="QU12" s="826"/>
      <c r="QV12" s="826"/>
      <c r="QW12" s="826"/>
      <c r="QX12" s="826"/>
      <c r="QY12" s="826"/>
      <c r="QZ12" s="826"/>
      <c r="RA12" s="826"/>
      <c r="RB12" s="826"/>
      <c r="RC12" s="826"/>
      <c r="RD12" s="826"/>
      <c r="RE12" s="826"/>
      <c r="RF12" s="826"/>
      <c r="RG12" s="826"/>
      <c r="RH12" s="826"/>
      <c r="RI12" s="826"/>
      <c r="RJ12" s="826"/>
      <c r="RK12" s="826"/>
      <c r="RL12" s="826"/>
      <c r="RM12" s="826"/>
      <c r="RN12" s="826"/>
      <c r="RO12" s="826"/>
      <c r="RP12" s="826"/>
      <c r="RQ12" s="826"/>
      <c r="RR12" s="826"/>
      <c r="RS12" s="826"/>
      <c r="RT12" s="826"/>
      <c r="RU12" s="826"/>
      <c r="RV12" s="826"/>
      <c r="RW12" s="826"/>
      <c r="RX12" s="826"/>
      <c r="RY12" s="826"/>
      <c r="RZ12" s="826"/>
      <c r="SA12" s="826"/>
      <c r="SB12" s="826"/>
      <c r="SC12" s="826"/>
      <c r="SD12" s="826"/>
      <c r="SE12" s="826"/>
      <c r="SF12" s="826"/>
      <c r="SG12" s="826"/>
      <c r="SH12" s="826"/>
      <c r="SI12" s="826"/>
      <c r="SJ12" s="826"/>
      <c r="SK12" s="826"/>
      <c r="SL12" s="826"/>
      <c r="SM12" s="826"/>
      <c r="SN12" s="826"/>
      <c r="SO12" s="826"/>
      <c r="SP12" s="826"/>
      <c r="SQ12" s="826"/>
      <c r="SR12" s="826"/>
      <c r="SS12" s="826"/>
      <c r="ST12" s="826"/>
      <c r="SU12" s="826"/>
      <c r="SV12" s="826"/>
      <c r="SW12" s="826"/>
      <c r="SX12" s="826"/>
      <c r="SY12" s="826"/>
      <c r="SZ12" s="826"/>
      <c r="TA12" s="826"/>
      <c r="TB12" s="826"/>
      <c r="TC12" s="826"/>
      <c r="TD12" s="826"/>
      <c r="TE12" s="826"/>
      <c r="TF12" s="826"/>
      <c r="TG12" s="826"/>
      <c r="TH12" s="826"/>
      <c r="TI12" s="826"/>
      <c r="TJ12" s="826"/>
      <c r="TK12" s="826"/>
      <c r="TL12" s="826"/>
      <c r="TM12" s="826"/>
      <c r="TN12" s="826"/>
      <c r="TO12" s="826"/>
      <c r="TP12" s="826"/>
      <c r="TQ12" s="826"/>
      <c r="TR12" s="826"/>
      <c r="TS12" s="826"/>
      <c r="TT12" s="826"/>
      <c r="TU12" s="826"/>
      <c r="TV12" s="826"/>
      <c r="TW12" s="826"/>
      <c r="TX12" s="826"/>
      <c r="TY12" s="826"/>
      <c r="TZ12" s="826"/>
      <c r="UA12" s="826"/>
      <c r="UB12" s="826"/>
      <c r="UC12" s="826"/>
      <c r="UD12" s="826"/>
      <c r="UE12" s="826"/>
      <c r="UF12" s="826"/>
      <c r="UG12" s="826"/>
      <c r="UH12" s="826"/>
      <c r="UI12" s="826"/>
      <c r="UJ12" s="826"/>
      <c r="UK12" s="826"/>
      <c r="UL12" s="826"/>
      <c r="UM12" s="826"/>
      <c r="UN12" s="826"/>
      <c r="UO12" s="826"/>
      <c r="UP12" s="826"/>
      <c r="UQ12" s="826"/>
      <c r="UR12" s="826"/>
      <c r="US12" s="826"/>
      <c r="UT12" s="826"/>
      <c r="UU12" s="826"/>
      <c r="UV12" s="826"/>
      <c r="UW12" s="826"/>
      <c r="UX12" s="826"/>
      <c r="UY12" s="826"/>
      <c r="UZ12" s="826"/>
      <c r="VA12" s="826"/>
      <c r="VB12" s="826"/>
      <c r="VC12" s="826"/>
      <c r="VD12" s="826"/>
      <c r="VE12" s="826"/>
      <c r="VF12" s="826"/>
      <c r="VG12" s="826"/>
      <c r="VH12" s="826"/>
      <c r="VI12" s="826"/>
      <c r="VJ12" s="826"/>
      <c r="VK12" s="826"/>
      <c r="VL12" s="826"/>
      <c r="VM12" s="826"/>
      <c r="VN12" s="826"/>
      <c r="VO12" s="826"/>
      <c r="VP12" s="826"/>
      <c r="VQ12" s="826"/>
      <c r="VR12" s="826"/>
      <c r="VS12" s="826"/>
      <c r="VT12" s="826"/>
      <c r="VU12" s="826"/>
      <c r="VV12" s="826"/>
      <c r="VW12" s="826"/>
      <c r="VX12" s="826"/>
      <c r="VY12" s="826"/>
      <c r="VZ12" s="826"/>
      <c r="WA12" s="826"/>
      <c r="WB12" s="826"/>
      <c r="WC12" s="826"/>
      <c r="WD12" s="826"/>
      <c r="WE12" s="826"/>
      <c r="WF12" s="826"/>
      <c r="WG12" s="826"/>
      <c r="WH12" s="826"/>
      <c r="WI12" s="826"/>
      <c r="WJ12" s="826"/>
      <c r="WK12" s="826"/>
      <c r="WL12" s="826"/>
      <c r="WM12" s="826"/>
      <c r="WN12" s="826"/>
      <c r="WO12" s="826"/>
      <c r="WP12" s="826"/>
      <c r="WQ12" s="826"/>
      <c r="WR12" s="826"/>
      <c r="WS12" s="826"/>
      <c r="WT12" s="826"/>
      <c r="WU12" s="826"/>
      <c r="WV12" s="826"/>
      <c r="WW12" s="826"/>
      <c r="WX12" s="826"/>
      <c r="WY12" s="826"/>
      <c r="WZ12" s="826"/>
      <c r="XA12" s="826"/>
      <c r="XB12" s="826"/>
      <c r="XC12" s="826"/>
      <c r="XD12" s="826"/>
      <c r="XE12" s="826"/>
      <c r="XF12" s="826"/>
      <c r="XG12" s="826"/>
      <c r="XH12" s="826"/>
      <c r="XI12" s="826"/>
      <c r="XJ12" s="826"/>
      <c r="XK12" s="826"/>
      <c r="XL12" s="826"/>
      <c r="XM12" s="826"/>
      <c r="XN12" s="826"/>
      <c r="XO12" s="826"/>
      <c r="XP12" s="826"/>
      <c r="XQ12" s="826"/>
      <c r="XR12" s="826"/>
      <c r="XS12" s="826"/>
      <c r="XT12" s="826"/>
      <c r="XU12" s="826"/>
      <c r="XV12" s="826"/>
      <c r="XW12" s="826"/>
      <c r="XX12" s="826"/>
      <c r="XY12" s="826"/>
      <c r="XZ12" s="826"/>
      <c r="YA12" s="826"/>
      <c r="YB12" s="826"/>
      <c r="YC12" s="826"/>
      <c r="YD12" s="826"/>
      <c r="YE12" s="826"/>
      <c r="YF12" s="826"/>
      <c r="YG12" s="826"/>
      <c r="YH12" s="826"/>
      <c r="YI12" s="826"/>
      <c r="YJ12" s="826"/>
      <c r="YK12" s="826"/>
      <c r="YL12" s="826"/>
      <c r="YM12" s="826"/>
      <c r="YN12" s="826"/>
      <c r="YO12" s="826"/>
      <c r="YP12" s="826"/>
      <c r="YQ12" s="826"/>
      <c r="YR12" s="826"/>
      <c r="YS12" s="826"/>
      <c r="YT12" s="826"/>
      <c r="YU12" s="826"/>
      <c r="YV12" s="826"/>
      <c r="YW12" s="826"/>
      <c r="YX12" s="826"/>
      <c r="YY12" s="826"/>
      <c r="YZ12" s="826"/>
      <c r="ZA12" s="826"/>
      <c r="ZB12" s="826"/>
      <c r="ZC12" s="826"/>
      <c r="ZD12" s="826"/>
      <c r="ZE12" s="826"/>
      <c r="ZF12" s="826"/>
      <c r="ZG12" s="826"/>
      <c r="ZH12" s="826"/>
      <c r="ZI12" s="826"/>
      <c r="ZJ12" s="826"/>
      <c r="ZK12" s="826"/>
      <c r="ZL12" s="826"/>
      <c r="ZM12" s="826"/>
      <c r="ZN12" s="826"/>
      <c r="ZO12" s="826"/>
      <c r="ZP12" s="826"/>
      <c r="ZQ12" s="826"/>
      <c r="ZR12" s="826"/>
      <c r="ZS12" s="826"/>
      <c r="ZT12" s="826"/>
      <c r="ZU12" s="826"/>
      <c r="ZV12" s="826"/>
      <c r="ZW12" s="826"/>
      <c r="ZX12" s="826"/>
      <c r="ZY12" s="826"/>
      <c r="ZZ12" s="826"/>
      <c r="AAA12" s="826"/>
      <c r="AAB12" s="826"/>
      <c r="AAC12" s="826"/>
      <c r="AAD12" s="826"/>
      <c r="AAE12" s="826"/>
      <c r="AAF12" s="826"/>
      <c r="AAG12" s="826"/>
      <c r="AAH12" s="826"/>
      <c r="AAI12" s="826"/>
      <c r="AAJ12" s="826"/>
      <c r="AAK12" s="826"/>
      <c r="AAL12" s="826"/>
      <c r="AAM12" s="826"/>
      <c r="AAN12" s="826"/>
      <c r="AAO12" s="826"/>
      <c r="AAP12" s="826"/>
      <c r="AAQ12" s="826"/>
      <c r="AAR12" s="826"/>
      <c r="AAS12" s="826"/>
      <c r="AAT12" s="826"/>
      <c r="AAU12" s="826"/>
      <c r="AAV12" s="826"/>
      <c r="AAW12" s="826"/>
      <c r="AAX12" s="826"/>
      <c r="AAY12" s="826"/>
      <c r="AAZ12" s="826"/>
      <c r="ABA12" s="826"/>
      <c r="ABB12" s="826"/>
      <c r="ABC12" s="826"/>
      <c r="ABD12" s="826"/>
      <c r="ABE12" s="826"/>
      <c r="ABF12" s="826"/>
      <c r="ABG12" s="826"/>
      <c r="ABH12" s="826"/>
      <c r="ABI12" s="826"/>
      <c r="ABJ12" s="826"/>
      <c r="ABK12" s="826"/>
      <c r="ABL12" s="826"/>
      <c r="ABM12" s="826"/>
      <c r="ABN12" s="826"/>
      <c r="ABO12" s="826"/>
      <c r="ABP12" s="826"/>
      <c r="ABQ12" s="826"/>
      <c r="ABR12" s="826"/>
      <c r="ABS12" s="826"/>
      <c r="ABT12" s="826"/>
      <c r="ABU12" s="826"/>
      <c r="ABV12" s="826"/>
      <c r="ABW12" s="826"/>
      <c r="ABX12" s="826"/>
      <c r="ABY12" s="826"/>
      <c r="ABZ12" s="826"/>
      <c r="ACA12" s="826"/>
      <c r="ACB12" s="826"/>
      <c r="ACC12" s="826"/>
      <c r="ACD12" s="826"/>
      <c r="ACE12" s="826"/>
      <c r="ACF12" s="826"/>
      <c r="ACG12" s="826"/>
      <c r="ACH12" s="826"/>
      <c r="ACI12" s="826"/>
      <c r="ACJ12" s="826"/>
      <c r="ACK12" s="826"/>
      <c r="ACL12" s="826"/>
      <c r="ACM12" s="826"/>
      <c r="ACN12" s="826"/>
      <c r="ACO12" s="826"/>
      <c r="ACP12" s="826"/>
      <c r="ACQ12" s="826"/>
      <c r="ACR12" s="826"/>
      <c r="ACS12" s="826"/>
      <c r="ACT12" s="826"/>
      <c r="ACU12" s="826"/>
      <c r="ACV12" s="826"/>
      <c r="ACW12" s="826"/>
      <c r="ACX12" s="826"/>
      <c r="ACY12" s="826"/>
      <c r="ACZ12" s="826"/>
      <c r="ADA12" s="826"/>
      <c r="ADB12" s="826"/>
      <c r="ADC12" s="826"/>
      <c r="ADD12" s="826"/>
      <c r="ADE12" s="826"/>
      <c r="ADF12" s="826"/>
      <c r="ADG12" s="826"/>
      <c r="ADH12" s="826"/>
      <c r="ADI12" s="826"/>
      <c r="ADJ12" s="826"/>
      <c r="ADK12" s="826"/>
      <c r="ADL12" s="826"/>
      <c r="ADM12" s="826"/>
      <c r="ADN12" s="826"/>
      <c r="ADO12" s="826"/>
      <c r="ADP12" s="826"/>
      <c r="ADQ12" s="826"/>
      <c r="ADR12" s="826"/>
      <c r="ADS12" s="826"/>
      <c r="ADT12" s="826"/>
      <c r="ADU12" s="826"/>
      <c r="ADV12" s="826"/>
      <c r="ADW12" s="826"/>
      <c r="ADX12" s="826"/>
      <c r="ADY12" s="826"/>
      <c r="ADZ12" s="826"/>
      <c r="AEA12" s="826"/>
      <c r="AEB12" s="826"/>
      <c r="AEC12" s="826"/>
      <c r="AED12" s="826"/>
      <c r="AEE12" s="826"/>
      <c r="AEF12" s="826"/>
      <c r="AEG12" s="826"/>
      <c r="AEH12" s="826"/>
      <c r="AEI12" s="826"/>
      <c r="AEJ12" s="826"/>
      <c r="AEK12" s="826"/>
      <c r="AEL12" s="826"/>
      <c r="AEM12" s="826"/>
      <c r="AEN12" s="826"/>
      <c r="AEO12" s="826"/>
      <c r="AEP12" s="826"/>
      <c r="AEQ12" s="826"/>
      <c r="AER12" s="826"/>
      <c r="AES12" s="826"/>
      <c r="AET12" s="826"/>
      <c r="AEU12" s="826"/>
      <c r="AEV12" s="826"/>
      <c r="AEW12" s="826"/>
      <c r="AEX12" s="826"/>
      <c r="AEY12" s="826"/>
      <c r="AEZ12" s="826"/>
      <c r="AFA12" s="826"/>
      <c r="AFB12" s="826"/>
      <c r="AFC12" s="826"/>
      <c r="AFD12" s="826"/>
      <c r="AFE12" s="826"/>
      <c r="AFF12" s="826"/>
      <c r="AFG12" s="826"/>
      <c r="AFH12" s="826"/>
      <c r="AFI12" s="826"/>
      <c r="AFJ12" s="826"/>
      <c r="AFK12" s="826"/>
      <c r="AFL12" s="826"/>
      <c r="AFM12" s="826"/>
      <c r="AFN12" s="826"/>
      <c r="AFO12" s="826"/>
      <c r="AFP12" s="826"/>
      <c r="AFQ12" s="826"/>
      <c r="AFR12" s="826"/>
      <c r="AFS12" s="826"/>
      <c r="AFT12" s="826"/>
      <c r="AFU12" s="826"/>
      <c r="AFV12" s="826"/>
      <c r="AFW12" s="826"/>
      <c r="AFX12" s="826"/>
      <c r="AFY12" s="826"/>
      <c r="AFZ12" s="826"/>
      <c r="AGA12" s="826"/>
      <c r="AGB12" s="826"/>
      <c r="AGC12" s="826"/>
      <c r="AGD12" s="826"/>
      <c r="AGE12" s="826"/>
      <c r="AGF12" s="826"/>
      <c r="AGG12" s="826"/>
      <c r="AGH12" s="826"/>
      <c r="AGI12" s="826"/>
      <c r="AGJ12" s="826"/>
      <c r="AGK12" s="826"/>
      <c r="AGL12" s="826"/>
      <c r="AGM12" s="826"/>
      <c r="AGN12" s="826"/>
      <c r="AGO12" s="826"/>
      <c r="AGP12" s="826"/>
      <c r="AGQ12" s="826"/>
      <c r="AGR12" s="826"/>
      <c r="AGS12" s="826"/>
      <c r="AGT12" s="826"/>
      <c r="AGU12" s="826"/>
      <c r="AGV12" s="826"/>
      <c r="AGW12" s="826"/>
      <c r="AGX12" s="826"/>
      <c r="AGY12" s="826"/>
      <c r="AGZ12" s="826"/>
      <c r="AHA12" s="826"/>
      <c r="AHB12" s="826"/>
      <c r="AHC12" s="826"/>
      <c r="AHD12" s="826"/>
      <c r="AHE12" s="826"/>
      <c r="AHF12" s="826"/>
      <c r="AHG12" s="826"/>
      <c r="AHH12" s="826"/>
      <c r="AHI12" s="826"/>
      <c r="AHJ12" s="826"/>
      <c r="AHK12" s="826"/>
      <c r="AHL12" s="826"/>
      <c r="AHM12" s="826"/>
      <c r="AHN12" s="826"/>
      <c r="AHO12" s="826"/>
      <c r="AHP12" s="826"/>
      <c r="AHQ12" s="826"/>
      <c r="AHR12" s="826"/>
      <c r="AHS12" s="826"/>
      <c r="AHT12" s="826"/>
      <c r="AHU12" s="826"/>
      <c r="AHV12" s="826"/>
      <c r="AHW12" s="826"/>
      <c r="AHX12" s="826"/>
      <c r="AHY12" s="826"/>
      <c r="AHZ12" s="826"/>
      <c r="AIA12" s="826"/>
      <c r="AIB12" s="826"/>
      <c r="AIC12" s="826"/>
      <c r="AID12" s="826"/>
      <c r="AIE12" s="826"/>
      <c r="AIF12" s="826"/>
      <c r="AIG12" s="826"/>
      <c r="AIH12" s="826"/>
      <c r="AII12" s="826"/>
      <c r="AIJ12" s="826"/>
      <c r="AIK12" s="826"/>
      <c r="AIL12" s="826"/>
      <c r="AIM12" s="826"/>
      <c r="AIN12" s="826"/>
      <c r="AIO12" s="826"/>
      <c r="AIP12" s="826"/>
      <c r="AIQ12" s="826"/>
      <c r="AIR12" s="826"/>
      <c r="AIS12" s="826"/>
      <c r="AIT12" s="826"/>
      <c r="AIU12" s="826"/>
      <c r="AIV12" s="826"/>
      <c r="AIW12" s="826"/>
      <c r="AIX12" s="826"/>
      <c r="AIY12" s="826"/>
      <c r="AIZ12" s="826"/>
      <c r="AJA12" s="826"/>
      <c r="AJB12" s="826"/>
      <c r="AJC12" s="826"/>
      <c r="AJD12" s="826"/>
      <c r="AJE12" s="826"/>
      <c r="AJF12" s="826"/>
      <c r="AJG12" s="826"/>
      <c r="AJH12" s="826"/>
      <c r="AJI12" s="826"/>
      <c r="AJJ12" s="826"/>
      <c r="AJK12" s="826"/>
      <c r="AJL12" s="826"/>
      <c r="AJM12" s="826"/>
      <c r="AJN12" s="826"/>
      <c r="AJO12" s="826"/>
      <c r="AJP12" s="826"/>
      <c r="AJQ12" s="826"/>
      <c r="AJR12" s="826"/>
      <c r="AJS12" s="826"/>
      <c r="AJT12" s="826"/>
      <c r="AJU12" s="826"/>
      <c r="AJV12" s="826"/>
      <c r="AJW12" s="826"/>
      <c r="AJX12" s="826"/>
      <c r="AJY12" s="826"/>
      <c r="AJZ12" s="826"/>
      <c r="AKA12" s="826"/>
      <c r="AKB12" s="826"/>
      <c r="AKC12" s="826"/>
      <c r="AKD12" s="826"/>
      <c r="AKE12" s="826"/>
      <c r="AKF12" s="826"/>
      <c r="AKG12" s="826"/>
      <c r="AKH12" s="826"/>
      <c r="AKI12" s="826"/>
      <c r="AKJ12" s="826"/>
      <c r="AKK12" s="826"/>
      <c r="AKL12" s="826"/>
      <c r="AKM12" s="826"/>
      <c r="AKN12" s="826"/>
      <c r="AKO12" s="826"/>
      <c r="AKP12" s="826"/>
      <c r="AKQ12" s="826"/>
      <c r="AKR12" s="826"/>
      <c r="AKS12" s="826"/>
      <c r="AKT12" s="826"/>
      <c r="AKU12" s="826"/>
      <c r="AKV12" s="826"/>
      <c r="AKW12" s="826"/>
      <c r="AKX12" s="826"/>
      <c r="AKY12" s="826"/>
      <c r="AKZ12" s="826"/>
      <c r="ALA12" s="826"/>
      <c r="ALB12" s="826"/>
      <c r="ALC12" s="826"/>
      <c r="ALD12" s="826"/>
      <c r="ALE12" s="826"/>
      <c r="ALF12" s="826"/>
      <c r="ALG12" s="826"/>
      <c r="ALH12" s="826"/>
      <c r="ALI12" s="826"/>
      <c r="ALJ12" s="826"/>
      <c r="ALK12" s="826"/>
      <c r="ALL12" s="826"/>
      <c r="ALM12" s="826"/>
      <c r="ALN12" s="826"/>
      <c r="ALO12" s="826"/>
      <c r="ALP12" s="826"/>
      <c r="ALQ12" s="826"/>
      <c r="ALR12" s="826"/>
      <c r="ALS12" s="826"/>
      <c r="ALT12" s="826"/>
      <c r="ALU12" s="826"/>
      <c r="ALV12" s="826"/>
      <c r="ALW12" s="826"/>
      <c r="ALX12" s="826"/>
      <c r="ALY12" s="826"/>
      <c r="ALZ12" s="826"/>
      <c r="AMA12" s="826"/>
      <c r="AMB12" s="826"/>
      <c r="AMC12" s="826"/>
      <c r="AMD12" s="826"/>
      <c r="AME12" s="826"/>
      <c r="AMF12" s="826"/>
      <c r="AMG12" s="826"/>
      <c r="AMH12" s="826"/>
      <c r="AMI12" s="826"/>
      <c r="AMJ12" s="826"/>
      <c r="AMK12" s="826"/>
      <c r="AML12" s="826"/>
      <c r="AMM12" s="826"/>
      <c r="AMN12" s="826"/>
      <c r="AMO12" s="826"/>
      <c r="AMP12" s="826"/>
      <c r="AMQ12" s="826"/>
      <c r="AMR12" s="826"/>
      <c r="AMS12" s="826"/>
      <c r="AMT12" s="826"/>
      <c r="AMU12" s="826"/>
      <c r="AMV12" s="826"/>
      <c r="AMW12" s="826"/>
      <c r="AMX12" s="826"/>
      <c r="AMY12" s="826"/>
      <c r="AMZ12" s="826"/>
      <c r="ANA12" s="826"/>
      <c r="ANB12" s="826"/>
      <c r="ANC12" s="826"/>
      <c r="AND12" s="826"/>
      <c r="ANE12" s="826"/>
      <c r="ANF12" s="826"/>
      <c r="ANG12" s="826"/>
      <c r="ANH12" s="826"/>
      <c r="ANI12" s="826"/>
      <c r="ANJ12" s="826"/>
      <c r="ANK12" s="826"/>
      <c r="ANL12" s="826"/>
      <c r="ANM12" s="826"/>
      <c r="ANN12" s="826"/>
      <c r="ANO12" s="826"/>
      <c r="ANP12" s="826"/>
      <c r="ANQ12" s="826"/>
      <c r="ANR12" s="826"/>
      <c r="ANS12" s="826"/>
      <c r="ANT12" s="826"/>
      <c r="ANU12" s="826"/>
      <c r="ANV12" s="826"/>
      <c r="ANW12" s="826"/>
      <c r="ANX12" s="826"/>
      <c r="ANY12" s="826"/>
      <c r="ANZ12" s="826"/>
      <c r="AOA12" s="826"/>
      <c r="AOB12" s="826"/>
      <c r="AOC12" s="826"/>
      <c r="AOD12" s="826"/>
      <c r="AOE12" s="826"/>
      <c r="AOF12" s="826"/>
      <c r="AOG12" s="826"/>
      <c r="AOH12" s="826"/>
      <c r="AOI12" s="826"/>
      <c r="AOJ12" s="826"/>
      <c r="AOK12" s="826"/>
      <c r="AOL12" s="826"/>
      <c r="AOM12" s="826"/>
      <c r="AON12" s="826"/>
      <c r="AOO12" s="826"/>
      <c r="AOP12" s="826"/>
      <c r="AOQ12" s="826"/>
      <c r="AOR12" s="826"/>
      <c r="AOS12" s="826"/>
      <c r="AOT12" s="826"/>
      <c r="AOU12" s="826"/>
      <c r="AOV12" s="826"/>
      <c r="AOW12" s="826"/>
      <c r="AOX12" s="826"/>
      <c r="AOY12" s="826"/>
      <c r="AOZ12" s="826"/>
      <c r="APA12" s="826"/>
      <c r="APB12" s="826"/>
      <c r="APC12" s="826"/>
      <c r="APD12" s="826"/>
      <c r="APE12" s="826"/>
      <c r="APF12" s="826"/>
      <c r="APG12" s="826"/>
      <c r="APH12" s="826"/>
      <c r="API12" s="826"/>
      <c r="APJ12" s="826"/>
      <c r="APK12" s="826"/>
      <c r="APL12" s="826"/>
      <c r="APM12" s="826"/>
      <c r="APN12" s="826"/>
      <c r="APO12" s="826"/>
      <c r="APP12" s="826"/>
      <c r="APQ12" s="826"/>
      <c r="APR12" s="826"/>
      <c r="APS12" s="826"/>
      <c r="APT12" s="826"/>
      <c r="APU12" s="826"/>
      <c r="APV12" s="826"/>
      <c r="APW12" s="826"/>
      <c r="APX12" s="826"/>
      <c r="APY12" s="826"/>
      <c r="APZ12" s="826"/>
      <c r="AQA12" s="826"/>
      <c r="AQB12" s="826"/>
      <c r="AQC12" s="826"/>
      <c r="AQD12" s="826"/>
      <c r="AQE12" s="826"/>
      <c r="AQF12" s="826"/>
      <c r="AQG12" s="826"/>
      <c r="AQH12" s="826"/>
      <c r="AQI12" s="826"/>
      <c r="AQJ12" s="826"/>
      <c r="AQK12" s="826"/>
      <c r="AQL12" s="826"/>
      <c r="AQM12" s="826"/>
      <c r="AQN12" s="826"/>
      <c r="AQO12" s="826"/>
      <c r="AQP12" s="826"/>
      <c r="AQQ12" s="826"/>
      <c r="AQR12" s="826"/>
      <c r="AQS12" s="826"/>
      <c r="AQT12" s="826"/>
      <c r="AQU12" s="826"/>
      <c r="AQV12" s="826"/>
      <c r="AQW12" s="826"/>
      <c r="AQX12" s="826"/>
      <c r="AQY12" s="826"/>
      <c r="AQZ12" s="826"/>
      <c r="ARA12" s="826"/>
      <c r="ARB12" s="826"/>
      <c r="ARC12" s="826"/>
      <c r="ARD12" s="826"/>
      <c r="ARE12" s="826"/>
      <c r="ARF12" s="826"/>
      <c r="ARG12" s="826"/>
      <c r="ARH12" s="826"/>
      <c r="ARI12" s="826"/>
      <c r="ARJ12" s="826"/>
      <c r="ARK12" s="826"/>
      <c r="ARL12" s="826"/>
      <c r="ARM12" s="826"/>
      <c r="ARN12" s="826"/>
      <c r="ARO12" s="826"/>
      <c r="ARP12" s="826"/>
      <c r="ARQ12" s="826"/>
      <c r="ARR12" s="826"/>
      <c r="ARS12" s="826"/>
      <c r="ART12" s="826"/>
      <c r="ARU12" s="826"/>
      <c r="ARV12" s="826"/>
      <c r="ARW12" s="826"/>
      <c r="ARX12" s="826"/>
      <c r="ARY12" s="826"/>
      <c r="ARZ12" s="826"/>
      <c r="ASA12" s="826"/>
      <c r="ASB12" s="826"/>
      <c r="ASC12" s="826"/>
      <c r="ASD12" s="826"/>
      <c r="ASE12" s="826"/>
      <c r="ASF12" s="826"/>
      <c r="ASG12" s="826"/>
      <c r="ASH12" s="826"/>
      <c r="ASI12" s="826"/>
      <c r="ASJ12" s="826"/>
      <c r="ASK12" s="826"/>
      <c r="ASL12" s="826"/>
      <c r="ASM12" s="826"/>
      <c r="ASN12" s="826"/>
      <c r="ASO12" s="826"/>
      <c r="ASP12" s="826"/>
      <c r="ASQ12" s="826"/>
      <c r="ASR12" s="826"/>
      <c r="ASS12" s="826"/>
      <c r="AST12" s="826"/>
      <c r="ASU12" s="826"/>
      <c r="ASV12" s="826"/>
      <c r="ASW12" s="826"/>
      <c r="ASX12" s="826"/>
      <c r="ASY12" s="826"/>
      <c r="ASZ12" s="826"/>
      <c r="ATA12" s="826"/>
      <c r="ATB12" s="826"/>
      <c r="ATC12" s="826"/>
      <c r="ATD12" s="826"/>
      <c r="ATE12" s="826"/>
      <c r="ATF12" s="826"/>
      <c r="ATG12" s="826"/>
      <c r="ATH12" s="826"/>
      <c r="ATI12" s="826"/>
      <c r="ATJ12" s="826"/>
      <c r="ATK12" s="826"/>
      <c r="ATL12" s="826"/>
      <c r="ATM12" s="826"/>
      <c r="ATN12" s="826"/>
      <c r="ATO12" s="826"/>
      <c r="ATP12" s="826"/>
      <c r="ATQ12" s="826"/>
      <c r="ATR12" s="826"/>
      <c r="ATS12" s="826"/>
      <c r="ATT12" s="826"/>
      <c r="ATU12" s="826"/>
      <c r="ATV12" s="826"/>
      <c r="ATW12" s="826"/>
      <c r="ATX12" s="826"/>
      <c r="ATY12" s="826"/>
      <c r="ATZ12" s="826"/>
      <c r="AUA12" s="826"/>
      <c r="AUB12" s="826"/>
      <c r="AUC12" s="826"/>
      <c r="AUD12" s="826"/>
      <c r="AUE12" s="826"/>
      <c r="AUF12" s="826"/>
      <c r="AUG12" s="826"/>
      <c r="AUH12" s="826"/>
      <c r="AUI12" s="826"/>
      <c r="AUJ12" s="826"/>
      <c r="AUK12" s="826"/>
      <c r="AUL12" s="826"/>
      <c r="AUM12" s="826"/>
      <c r="AUN12" s="826"/>
      <c r="AUO12" s="826"/>
      <c r="AUP12" s="826"/>
      <c r="AUQ12" s="826"/>
      <c r="AUR12" s="826"/>
      <c r="AUS12" s="826"/>
      <c r="AUT12" s="826"/>
      <c r="AUU12" s="826"/>
      <c r="AUV12" s="826"/>
      <c r="AUW12" s="826"/>
      <c r="AUX12" s="826"/>
      <c r="AUY12" s="826"/>
      <c r="AUZ12" s="826"/>
      <c r="AVA12" s="826"/>
      <c r="AVB12" s="826"/>
      <c r="AVC12" s="826"/>
      <c r="AVD12" s="826"/>
      <c r="AVE12" s="826"/>
      <c r="AVF12" s="826"/>
      <c r="AVG12" s="826"/>
      <c r="AVH12" s="826"/>
      <c r="AVI12" s="826"/>
      <c r="AVJ12" s="826"/>
      <c r="AVK12" s="826"/>
      <c r="AVL12" s="826"/>
      <c r="AVM12" s="826"/>
      <c r="AVN12" s="826"/>
      <c r="AVO12" s="826"/>
      <c r="AVP12" s="826"/>
      <c r="AVQ12" s="826"/>
      <c r="AVR12" s="826"/>
      <c r="AVS12" s="826"/>
      <c r="AVT12" s="826"/>
      <c r="AVU12" s="826"/>
      <c r="AVV12" s="826"/>
      <c r="AVW12" s="826"/>
      <c r="AVX12" s="826"/>
      <c r="AVY12" s="826"/>
      <c r="AVZ12" s="826"/>
      <c r="AWA12" s="826"/>
      <c r="AWB12" s="826"/>
      <c r="AWC12" s="826"/>
      <c r="AWD12" s="826"/>
      <c r="AWE12" s="826"/>
      <c r="AWF12" s="826"/>
      <c r="AWG12" s="826"/>
      <c r="AWH12" s="826"/>
      <c r="AWI12" s="826"/>
      <c r="AWJ12" s="826"/>
      <c r="AWK12" s="826"/>
      <c r="AWL12" s="826"/>
      <c r="AWM12" s="826"/>
      <c r="AWN12" s="826"/>
      <c r="AWO12" s="826"/>
      <c r="AWP12" s="826"/>
      <c r="AWQ12" s="826"/>
      <c r="AWR12" s="826"/>
      <c r="AWS12" s="826"/>
      <c r="AWT12" s="826"/>
      <c r="AWU12" s="826"/>
      <c r="AWV12" s="826"/>
      <c r="AWW12" s="826"/>
      <c r="AWX12" s="826"/>
      <c r="AWY12" s="826"/>
      <c r="AWZ12" s="826"/>
      <c r="AXA12" s="826"/>
      <c r="AXB12" s="826"/>
      <c r="AXC12" s="826"/>
      <c r="AXD12" s="826"/>
      <c r="AXE12" s="826"/>
      <c r="AXF12" s="826"/>
      <c r="AXG12" s="826"/>
      <c r="AXH12" s="826"/>
      <c r="AXI12" s="826"/>
      <c r="AXJ12" s="826"/>
      <c r="AXK12" s="826"/>
      <c r="AXL12" s="826"/>
      <c r="AXM12" s="826"/>
      <c r="AXN12" s="826"/>
      <c r="AXO12" s="826"/>
      <c r="AXP12" s="826"/>
      <c r="AXQ12" s="826"/>
      <c r="AXR12" s="826"/>
      <c r="AXS12" s="826"/>
      <c r="AXT12" s="826"/>
      <c r="AXU12" s="826"/>
      <c r="AXV12" s="826"/>
      <c r="AXW12" s="826"/>
      <c r="AXX12" s="826"/>
      <c r="AXY12" s="826"/>
      <c r="AXZ12" s="826"/>
      <c r="AYA12" s="826"/>
      <c r="AYB12" s="826"/>
      <c r="AYC12" s="826"/>
      <c r="AYD12" s="826"/>
      <c r="AYE12" s="826"/>
      <c r="AYF12" s="826"/>
      <c r="AYG12" s="826"/>
      <c r="AYH12" s="826"/>
      <c r="AYI12" s="826"/>
      <c r="AYJ12" s="826"/>
      <c r="AYK12" s="826"/>
      <c r="AYL12" s="826"/>
      <c r="AYM12" s="826"/>
      <c r="AYN12" s="826"/>
      <c r="AYO12" s="826"/>
      <c r="AYP12" s="826"/>
      <c r="AYQ12" s="826"/>
      <c r="AYR12" s="826"/>
      <c r="AYS12" s="826"/>
      <c r="AYT12" s="826"/>
      <c r="AYU12" s="826"/>
      <c r="AYV12" s="826"/>
      <c r="AYW12" s="826"/>
      <c r="AYX12" s="826"/>
      <c r="AYY12" s="826"/>
      <c r="AYZ12" s="826"/>
      <c r="AZA12" s="826"/>
      <c r="AZB12" s="826"/>
      <c r="AZC12" s="826"/>
      <c r="AZD12" s="826"/>
      <c r="AZE12" s="826"/>
      <c r="AZF12" s="826"/>
      <c r="AZG12" s="826"/>
      <c r="AZH12" s="826"/>
      <c r="AZI12" s="826"/>
      <c r="AZJ12" s="826"/>
      <c r="AZK12" s="826"/>
      <c r="AZL12" s="826"/>
      <c r="AZM12" s="826"/>
      <c r="AZN12" s="826"/>
      <c r="AZO12" s="826"/>
      <c r="AZP12" s="826"/>
      <c r="AZQ12" s="826"/>
      <c r="AZR12" s="826"/>
      <c r="AZS12" s="826"/>
      <c r="AZT12" s="826"/>
      <c r="AZU12" s="826"/>
      <c r="AZV12" s="826"/>
      <c r="AZW12" s="826"/>
      <c r="AZX12" s="826"/>
      <c r="AZY12" s="826"/>
      <c r="AZZ12" s="826"/>
      <c r="BAA12" s="826"/>
      <c r="BAB12" s="826"/>
      <c r="BAC12" s="826"/>
      <c r="BAD12" s="826"/>
      <c r="BAE12" s="826"/>
      <c r="BAF12" s="826"/>
      <c r="BAG12" s="826"/>
      <c r="BAH12" s="826"/>
      <c r="BAI12" s="826"/>
      <c r="BAJ12" s="826"/>
      <c r="BAK12" s="826"/>
      <c r="BAL12" s="826"/>
      <c r="BAM12" s="826"/>
      <c r="BAN12" s="826"/>
      <c r="BAO12" s="826"/>
      <c r="BAP12" s="826"/>
      <c r="BAQ12" s="826"/>
      <c r="BAR12" s="826"/>
      <c r="BAS12" s="826"/>
      <c r="BAT12" s="826"/>
      <c r="BAU12" s="826"/>
      <c r="BAV12" s="826"/>
      <c r="BAW12" s="826"/>
      <c r="BAX12" s="826"/>
      <c r="BAY12" s="826"/>
      <c r="BAZ12" s="826"/>
      <c r="BBA12" s="826"/>
      <c r="BBB12" s="826"/>
      <c r="BBC12" s="826"/>
      <c r="BBD12" s="826"/>
      <c r="BBE12" s="826"/>
      <c r="BBF12" s="826"/>
      <c r="BBG12" s="826"/>
      <c r="BBH12" s="826"/>
      <c r="BBI12" s="826"/>
      <c r="BBJ12" s="826"/>
      <c r="BBK12" s="826"/>
      <c r="BBL12" s="826"/>
      <c r="BBM12" s="826"/>
      <c r="BBN12" s="826"/>
      <c r="BBO12" s="826"/>
      <c r="BBP12" s="826"/>
      <c r="BBQ12" s="826"/>
      <c r="BBR12" s="826"/>
      <c r="BBS12" s="826"/>
      <c r="BBT12" s="826"/>
      <c r="BBU12" s="826"/>
      <c r="BBV12" s="826"/>
      <c r="BBW12" s="826"/>
      <c r="BBX12" s="826"/>
      <c r="BBY12" s="826"/>
      <c r="BBZ12" s="826"/>
      <c r="BCA12" s="826"/>
      <c r="BCB12" s="826"/>
      <c r="BCC12" s="826"/>
      <c r="BCD12" s="826"/>
      <c r="BCE12" s="826"/>
      <c r="BCF12" s="826"/>
      <c r="BCG12" s="826"/>
      <c r="BCH12" s="826"/>
      <c r="BCI12" s="826"/>
      <c r="BCJ12" s="826"/>
      <c r="BCK12" s="826"/>
      <c r="BCL12" s="826"/>
      <c r="BCM12" s="826"/>
      <c r="BCN12" s="826"/>
      <c r="BCO12" s="826"/>
      <c r="BCP12" s="826"/>
      <c r="BCQ12" s="826"/>
      <c r="BCR12" s="826"/>
      <c r="BCS12" s="826"/>
      <c r="BCT12" s="826"/>
      <c r="BCU12" s="826"/>
      <c r="BCV12" s="826"/>
      <c r="BCW12" s="826"/>
      <c r="BCX12" s="826"/>
      <c r="BCY12" s="826"/>
      <c r="BCZ12" s="826"/>
      <c r="BDA12" s="826"/>
      <c r="BDB12" s="826"/>
      <c r="BDC12" s="826"/>
      <c r="BDD12" s="826"/>
      <c r="BDE12" s="826"/>
      <c r="BDF12" s="826"/>
      <c r="BDG12" s="826"/>
      <c r="BDH12" s="826"/>
      <c r="BDI12" s="826"/>
      <c r="BDJ12" s="826"/>
      <c r="BDK12" s="826"/>
      <c r="BDL12" s="826"/>
      <c r="BDM12" s="826"/>
      <c r="BDN12" s="826"/>
      <c r="BDO12" s="826"/>
      <c r="BDP12" s="826"/>
      <c r="BDQ12" s="826"/>
      <c r="BDR12" s="826"/>
      <c r="BDS12" s="826"/>
      <c r="BDT12" s="826"/>
      <c r="BDU12" s="826"/>
      <c r="BDV12" s="826"/>
      <c r="BDW12" s="826"/>
      <c r="BDX12" s="826"/>
      <c r="BDY12" s="826"/>
      <c r="BDZ12" s="826"/>
      <c r="BEA12" s="826"/>
      <c r="BEB12" s="826"/>
      <c r="BEC12" s="826"/>
      <c r="BED12" s="826"/>
      <c r="BEE12" s="826"/>
      <c r="BEF12" s="826"/>
      <c r="BEG12" s="826"/>
      <c r="BEH12" s="826"/>
      <c r="BEI12" s="826"/>
      <c r="BEJ12" s="826"/>
      <c r="BEK12" s="826"/>
      <c r="BEL12" s="826"/>
      <c r="BEM12" s="826"/>
      <c r="BEN12" s="826"/>
      <c r="BEO12" s="826"/>
      <c r="BEP12" s="826"/>
      <c r="BEQ12" s="826"/>
      <c r="BER12" s="826"/>
      <c r="BES12" s="826"/>
      <c r="BET12" s="826"/>
      <c r="BEU12" s="826"/>
      <c r="BEV12" s="826"/>
      <c r="BEW12" s="826"/>
      <c r="BEX12" s="826"/>
      <c r="BEY12" s="826"/>
      <c r="BEZ12" s="826"/>
      <c r="BFA12" s="826"/>
      <c r="BFB12" s="826"/>
      <c r="BFC12" s="826"/>
      <c r="BFD12" s="826"/>
      <c r="BFE12" s="826"/>
      <c r="BFF12" s="826"/>
      <c r="BFG12" s="826"/>
      <c r="BFH12" s="826"/>
      <c r="BFI12" s="826"/>
      <c r="BFJ12" s="826"/>
      <c r="BFK12" s="826"/>
      <c r="BFL12" s="826"/>
      <c r="BFM12" s="826"/>
      <c r="BFN12" s="826"/>
      <c r="BFO12" s="826"/>
      <c r="BFP12" s="826"/>
      <c r="BFQ12" s="826"/>
      <c r="BFR12" s="826"/>
      <c r="BFS12" s="826"/>
      <c r="BFT12" s="826"/>
      <c r="BFU12" s="826"/>
      <c r="BFV12" s="826"/>
      <c r="BFW12" s="826"/>
      <c r="BFX12" s="826"/>
      <c r="BFY12" s="826"/>
      <c r="BFZ12" s="826"/>
      <c r="BGA12" s="826"/>
      <c r="BGB12" s="826"/>
      <c r="BGC12" s="826"/>
      <c r="BGD12" s="826"/>
      <c r="BGE12" s="826"/>
      <c r="BGF12" s="826"/>
      <c r="BGG12" s="826"/>
      <c r="BGH12" s="826"/>
      <c r="BGI12" s="826"/>
      <c r="BGJ12" s="826"/>
      <c r="BGK12" s="826"/>
      <c r="BGL12" s="826"/>
      <c r="BGM12" s="826"/>
      <c r="BGN12" s="826"/>
      <c r="BGO12" s="826"/>
      <c r="BGP12" s="826"/>
      <c r="BGQ12" s="826"/>
      <c r="BGR12" s="826"/>
      <c r="BGS12" s="826"/>
      <c r="BGT12" s="826"/>
      <c r="BGU12" s="826"/>
      <c r="BGV12" s="826"/>
      <c r="BGW12" s="826"/>
      <c r="BGX12" s="826"/>
      <c r="BGY12" s="826"/>
      <c r="BGZ12" s="826"/>
      <c r="BHA12" s="826"/>
      <c r="BHB12" s="826"/>
      <c r="BHC12" s="826"/>
      <c r="BHD12" s="826"/>
      <c r="BHE12" s="826"/>
      <c r="BHF12" s="826"/>
      <c r="BHG12" s="826"/>
      <c r="BHH12" s="826"/>
      <c r="BHI12" s="826"/>
      <c r="BHJ12" s="826"/>
      <c r="BHK12" s="826"/>
      <c r="BHL12" s="826"/>
      <c r="BHM12" s="826"/>
      <c r="BHN12" s="826"/>
      <c r="BHO12" s="826"/>
      <c r="BHP12" s="826"/>
      <c r="BHQ12" s="826"/>
      <c r="BHR12" s="826"/>
      <c r="BHS12" s="826"/>
      <c r="BHT12" s="826"/>
      <c r="BHU12" s="826"/>
      <c r="BHV12" s="826"/>
      <c r="BHW12" s="826"/>
      <c r="BHX12" s="826"/>
      <c r="BHY12" s="826"/>
      <c r="BHZ12" s="826"/>
      <c r="BIA12" s="826"/>
      <c r="BIB12" s="826"/>
      <c r="BIC12" s="826"/>
      <c r="BID12" s="826"/>
      <c r="BIE12" s="826"/>
      <c r="BIF12" s="826"/>
      <c r="BIG12" s="826"/>
      <c r="BIH12" s="826"/>
      <c r="BII12" s="826"/>
      <c r="BIJ12" s="826"/>
      <c r="BIK12" s="826"/>
      <c r="BIL12" s="826"/>
      <c r="BIM12" s="826"/>
      <c r="BIN12" s="826"/>
      <c r="BIO12" s="826"/>
      <c r="BIP12" s="826"/>
      <c r="BIQ12" s="826"/>
      <c r="BIR12" s="826"/>
      <c r="BIS12" s="826"/>
      <c r="BIT12" s="826"/>
      <c r="BIU12" s="826"/>
      <c r="BIV12" s="826"/>
      <c r="BIW12" s="826"/>
      <c r="BIX12" s="826"/>
      <c r="BIY12" s="826"/>
      <c r="BIZ12" s="826"/>
      <c r="BJA12" s="826"/>
      <c r="BJB12" s="826"/>
      <c r="BJC12" s="826"/>
      <c r="BJD12" s="826"/>
      <c r="BJE12" s="826"/>
      <c r="BJF12" s="826"/>
      <c r="BJG12" s="826"/>
      <c r="BJH12" s="826"/>
      <c r="BJI12" s="826"/>
      <c r="BJJ12" s="826"/>
      <c r="BJK12" s="826"/>
      <c r="BJL12" s="826"/>
      <c r="BJM12" s="826"/>
      <c r="BJN12" s="826"/>
      <c r="BJO12" s="826"/>
      <c r="BJP12" s="826"/>
      <c r="BJQ12" s="826"/>
      <c r="BJR12" s="826"/>
      <c r="BJS12" s="826"/>
      <c r="BJT12" s="826"/>
      <c r="BJU12" s="826"/>
      <c r="BJV12" s="826"/>
      <c r="BJW12" s="826"/>
      <c r="BJX12" s="826"/>
      <c r="BJY12" s="826"/>
      <c r="BJZ12" s="826"/>
      <c r="BKA12" s="826"/>
      <c r="BKB12" s="826"/>
      <c r="BKC12" s="826"/>
      <c r="BKD12" s="826"/>
      <c r="BKE12" s="826"/>
      <c r="BKF12" s="826"/>
      <c r="BKG12" s="826"/>
      <c r="BKH12" s="826"/>
      <c r="BKI12" s="826"/>
      <c r="BKJ12" s="826"/>
      <c r="BKK12" s="826"/>
      <c r="BKL12" s="826"/>
      <c r="BKM12" s="826"/>
      <c r="BKN12" s="826"/>
      <c r="BKO12" s="826"/>
      <c r="BKP12" s="826"/>
      <c r="BKQ12" s="826"/>
      <c r="BKR12" s="826"/>
      <c r="BKS12" s="826"/>
      <c r="BKT12" s="826"/>
      <c r="BKU12" s="826"/>
      <c r="BKV12" s="826"/>
      <c r="BKW12" s="826"/>
      <c r="BKX12" s="826"/>
      <c r="BKY12" s="826"/>
      <c r="BKZ12" s="826"/>
      <c r="BLA12" s="826"/>
      <c r="BLB12" s="826"/>
      <c r="BLC12" s="826"/>
      <c r="BLD12" s="826"/>
      <c r="BLE12" s="826"/>
      <c r="BLF12" s="826"/>
      <c r="BLG12" s="826"/>
      <c r="BLH12" s="826"/>
      <c r="BLI12" s="826"/>
      <c r="BLJ12" s="826"/>
      <c r="BLK12" s="826"/>
      <c r="BLL12" s="826"/>
      <c r="BLM12" s="826"/>
      <c r="BLN12" s="826"/>
      <c r="BLO12" s="826"/>
      <c r="BLP12" s="826"/>
      <c r="BLQ12" s="826"/>
      <c r="BLR12" s="826"/>
      <c r="BLS12" s="826"/>
      <c r="BLT12" s="826"/>
      <c r="BLU12" s="826"/>
      <c r="BLV12" s="826"/>
      <c r="BLW12" s="826"/>
      <c r="BLX12" s="826"/>
      <c r="BLY12" s="826"/>
      <c r="BLZ12" s="826"/>
      <c r="BMA12" s="826"/>
      <c r="BMB12" s="826"/>
      <c r="BMC12" s="826"/>
      <c r="BMD12" s="826"/>
      <c r="BME12" s="826"/>
      <c r="BMF12" s="826"/>
      <c r="BMG12" s="826"/>
      <c r="BMH12" s="826"/>
      <c r="BMI12" s="826"/>
      <c r="BMJ12" s="826"/>
      <c r="BMK12" s="826"/>
      <c r="BML12" s="826"/>
      <c r="BMM12" s="826"/>
      <c r="BMN12" s="826"/>
      <c r="BMO12" s="826"/>
      <c r="BMP12" s="826"/>
      <c r="BMQ12" s="826"/>
      <c r="BMR12" s="826"/>
      <c r="BMS12" s="826"/>
      <c r="BMT12" s="826"/>
      <c r="BMU12" s="826"/>
      <c r="BMV12" s="826"/>
      <c r="BMW12" s="826"/>
      <c r="BMX12" s="826"/>
      <c r="BMY12" s="826"/>
      <c r="BMZ12" s="826"/>
      <c r="BNA12" s="826"/>
      <c r="BNB12" s="826"/>
      <c r="BNC12" s="826"/>
      <c r="BND12" s="826"/>
      <c r="BNE12" s="826"/>
      <c r="BNF12" s="826"/>
      <c r="BNG12" s="826"/>
      <c r="BNH12" s="826"/>
      <c r="BNI12" s="826"/>
      <c r="BNJ12" s="826"/>
      <c r="BNK12" s="826"/>
      <c r="BNL12" s="826"/>
      <c r="BNM12" s="826"/>
      <c r="BNN12" s="826"/>
      <c r="BNO12" s="826"/>
      <c r="BNP12" s="826"/>
      <c r="BNQ12" s="826"/>
      <c r="BNR12" s="826"/>
      <c r="BNS12" s="826"/>
      <c r="BNT12" s="826"/>
      <c r="BNU12" s="826"/>
      <c r="BNV12" s="826"/>
      <c r="BNW12" s="826"/>
      <c r="BNX12" s="826"/>
      <c r="BNY12" s="826"/>
      <c r="BNZ12" s="826"/>
      <c r="BOA12" s="826"/>
      <c r="BOB12" s="826"/>
      <c r="BOC12" s="826"/>
      <c r="BOD12" s="826"/>
      <c r="BOE12" s="826"/>
      <c r="BOF12" s="826"/>
      <c r="BOG12" s="826"/>
      <c r="BOH12" s="826"/>
      <c r="BOI12" s="826"/>
      <c r="BOJ12" s="826"/>
      <c r="BOK12" s="826"/>
      <c r="BOL12" s="826"/>
      <c r="BOM12" s="826"/>
      <c r="BON12" s="826"/>
      <c r="BOO12" s="826"/>
      <c r="BOP12" s="826"/>
      <c r="BOQ12" s="826"/>
      <c r="BOR12" s="826"/>
      <c r="BOS12" s="826"/>
      <c r="BOT12" s="826"/>
      <c r="BOU12" s="826"/>
      <c r="BOV12" s="826"/>
      <c r="BOW12" s="826"/>
      <c r="BOX12" s="826"/>
      <c r="BOY12" s="826"/>
      <c r="BOZ12" s="826"/>
      <c r="BPA12" s="826"/>
      <c r="BPB12" s="826"/>
      <c r="BPC12" s="826"/>
      <c r="BPD12" s="826"/>
      <c r="BPE12" s="826"/>
      <c r="BPF12" s="826"/>
      <c r="BPG12" s="826"/>
      <c r="BPH12" s="826"/>
      <c r="BPI12" s="826"/>
      <c r="BPJ12" s="826"/>
      <c r="BPK12" s="826"/>
      <c r="BPL12" s="826"/>
      <c r="BPM12" s="826"/>
      <c r="BPN12" s="826"/>
      <c r="BPO12" s="826"/>
      <c r="BPP12" s="826"/>
      <c r="BPQ12" s="826"/>
      <c r="BPR12" s="826"/>
      <c r="BPS12" s="826"/>
      <c r="BPT12" s="826"/>
      <c r="BPU12" s="826"/>
      <c r="BPV12" s="826"/>
      <c r="BPW12" s="826"/>
      <c r="BPX12" s="826"/>
      <c r="BPY12" s="826"/>
      <c r="BPZ12" s="826"/>
      <c r="BQA12" s="826"/>
      <c r="BQB12" s="826"/>
      <c r="BQC12" s="826"/>
      <c r="BQD12" s="826"/>
      <c r="BQE12" s="826"/>
      <c r="BQF12" s="826"/>
      <c r="BQG12" s="826"/>
      <c r="BQH12" s="826"/>
      <c r="BQI12" s="826"/>
      <c r="BQJ12" s="826"/>
      <c r="BQK12" s="826"/>
      <c r="BQL12" s="826"/>
      <c r="BQM12" s="826"/>
      <c r="BQN12" s="826"/>
      <c r="BQO12" s="826"/>
      <c r="BQP12" s="826"/>
      <c r="BQQ12" s="826"/>
      <c r="BQR12" s="826"/>
      <c r="BQS12" s="826"/>
      <c r="BQT12" s="826"/>
      <c r="BQU12" s="826"/>
      <c r="BQV12" s="826"/>
      <c r="BQW12" s="826"/>
      <c r="BQX12" s="826"/>
      <c r="BQY12" s="826"/>
      <c r="BQZ12" s="826"/>
      <c r="BRA12" s="826"/>
      <c r="BRB12" s="826"/>
      <c r="BRC12" s="826"/>
      <c r="BRD12" s="826"/>
      <c r="BRE12" s="826"/>
      <c r="BRF12" s="826"/>
      <c r="BRG12" s="826"/>
      <c r="BRH12" s="826"/>
      <c r="BRI12" s="826"/>
      <c r="BRJ12" s="826"/>
      <c r="BRK12" s="826"/>
      <c r="BRL12" s="826"/>
      <c r="BRM12" s="826"/>
      <c r="BRN12" s="826"/>
      <c r="BRO12" s="826"/>
      <c r="BRP12" s="826"/>
      <c r="BRQ12" s="826"/>
      <c r="BRR12" s="826"/>
      <c r="BRS12" s="826"/>
      <c r="BRT12" s="826"/>
      <c r="BRU12" s="826"/>
      <c r="BRV12" s="826"/>
      <c r="BRW12" s="826"/>
      <c r="BRX12" s="826"/>
      <c r="BRY12" s="826"/>
      <c r="BRZ12" s="826"/>
      <c r="BSA12" s="826"/>
      <c r="BSB12" s="826"/>
      <c r="BSC12" s="826"/>
      <c r="BSD12" s="826"/>
      <c r="BSE12" s="826"/>
      <c r="BSF12" s="826"/>
      <c r="BSG12" s="826"/>
      <c r="BSH12" s="826"/>
      <c r="BSI12" s="826"/>
      <c r="BSJ12" s="826"/>
      <c r="BSK12" s="826"/>
      <c r="BSL12" s="826"/>
      <c r="BSM12" s="826"/>
      <c r="BSN12" s="826"/>
      <c r="BSO12" s="826"/>
      <c r="BSP12" s="826"/>
      <c r="BSQ12" s="826"/>
      <c r="BSR12" s="826"/>
      <c r="BSS12" s="826"/>
      <c r="BST12" s="826"/>
    </row>
    <row r="13" spans="1:1866" s="825" customFormat="1" ht="20.100000000000001" customHeight="1" x14ac:dyDescent="0.25">
      <c r="A13" s="826"/>
      <c r="B13" s="3173"/>
      <c r="C13" s="1490"/>
      <c r="D13" s="1491"/>
      <c r="E13" s="1492"/>
      <c r="F13" s="1492"/>
      <c r="G13" s="1492"/>
      <c r="H13" s="1492"/>
      <c r="I13" s="1492"/>
      <c r="J13" s="1492"/>
      <c r="K13" s="1492"/>
      <c r="L13" s="1492"/>
      <c r="M13" s="1492"/>
      <c r="N13" s="1492"/>
      <c r="O13" s="1492"/>
      <c r="P13" s="1492"/>
      <c r="Q13" s="1492"/>
      <c r="R13" s="1492"/>
      <c r="S13" s="1492"/>
      <c r="T13" s="1492"/>
      <c r="U13" s="1492"/>
      <c r="V13" s="1493"/>
      <c r="W13" s="826"/>
      <c r="X13" s="873"/>
      <c r="Y13" s="873"/>
      <c r="Z13" s="873"/>
      <c r="AA13" s="866"/>
      <c r="AB13" s="826"/>
      <c r="AC13" s="826"/>
      <c r="AD13" s="826"/>
      <c r="AE13" s="826"/>
      <c r="AF13" s="826"/>
      <c r="AG13" s="826"/>
      <c r="AH13" s="826"/>
      <c r="AI13" s="826"/>
      <c r="AJ13" s="826"/>
      <c r="AK13" s="826"/>
      <c r="AL13" s="826"/>
      <c r="AM13" s="826"/>
      <c r="AN13" s="826"/>
      <c r="AO13" s="826"/>
      <c r="AP13" s="826"/>
      <c r="AQ13" s="826"/>
      <c r="AR13" s="826"/>
      <c r="AS13" s="826"/>
      <c r="AT13" s="826"/>
      <c r="AU13" s="826"/>
      <c r="AV13" s="826"/>
      <c r="AW13" s="826"/>
      <c r="AX13" s="826"/>
      <c r="AY13" s="826"/>
      <c r="AZ13" s="826"/>
      <c r="BA13" s="826"/>
      <c r="BB13" s="826"/>
      <c r="BC13" s="826"/>
      <c r="BD13" s="826"/>
      <c r="BE13" s="826"/>
      <c r="BF13" s="826"/>
      <c r="BG13" s="826"/>
      <c r="BH13" s="826"/>
      <c r="BI13" s="826"/>
      <c r="BJ13" s="826"/>
      <c r="BK13" s="826"/>
      <c r="BL13" s="826"/>
      <c r="BM13" s="826"/>
      <c r="BN13" s="826"/>
      <c r="BO13" s="826"/>
      <c r="BP13" s="826"/>
      <c r="BQ13" s="826"/>
      <c r="BR13" s="826"/>
      <c r="BS13" s="826"/>
      <c r="BT13" s="826"/>
      <c r="BU13" s="826"/>
      <c r="BV13" s="826"/>
      <c r="BW13" s="826"/>
      <c r="BX13" s="826"/>
      <c r="BY13" s="826"/>
      <c r="BZ13" s="826"/>
      <c r="CA13" s="826"/>
      <c r="CB13" s="826"/>
      <c r="CC13" s="826"/>
      <c r="CD13" s="826"/>
      <c r="CE13" s="826"/>
      <c r="CF13" s="826"/>
      <c r="CG13" s="826"/>
      <c r="CH13" s="826"/>
      <c r="CI13" s="826"/>
      <c r="CJ13" s="826"/>
      <c r="CK13" s="826"/>
      <c r="CL13" s="826"/>
      <c r="CM13" s="826"/>
      <c r="CN13" s="826"/>
      <c r="CO13" s="826"/>
      <c r="CP13" s="826"/>
      <c r="CQ13" s="826"/>
      <c r="CR13" s="826"/>
      <c r="CS13" s="826"/>
      <c r="CT13" s="826"/>
      <c r="CU13" s="826"/>
      <c r="CV13" s="826"/>
      <c r="CW13" s="826"/>
      <c r="CX13" s="826"/>
      <c r="CY13" s="826"/>
      <c r="CZ13" s="826"/>
      <c r="DA13" s="826"/>
      <c r="DB13" s="826"/>
      <c r="DC13" s="826"/>
      <c r="DD13" s="826"/>
      <c r="DE13" s="826"/>
      <c r="DF13" s="826"/>
      <c r="DG13" s="826"/>
      <c r="DH13" s="826"/>
      <c r="DI13" s="826"/>
      <c r="DJ13" s="826"/>
      <c r="DK13" s="826"/>
      <c r="DL13" s="826"/>
      <c r="DM13" s="826"/>
      <c r="DN13" s="826"/>
      <c r="DO13" s="826"/>
      <c r="DP13" s="826"/>
      <c r="DQ13" s="826"/>
      <c r="DR13" s="826"/>
      <c r="DS13" s="826"/>
      <c r="DT13" s="826"/>
      <c r="DU13" s="826"/>
      <c r="DV13" s="826"/>
      <c r="DW13" s="826"/>
      <c r="DX13" s="826"/>
      <c r="DY13" s="826"/>
      <c r="DZ13" s="826"/>
      <c r="EA13" s="826"/>
      <c r="EB13" s="826"/>
      <c r="EC13" s="826"/>
      <c r="ED13" s="826"/>
      <c r="EE13" s="826"/>
      <c r="EF13" s="826"/>
      <c r="EG13" s="826"/>
      <c r="EH13" s="826"/>
      <c r="EI13" s="826"/>
      <c r="EJ13" s="826"/>
      <c r="EK13" s="826"/>
      <c r="EL13" s="826"/>
      <c r="EM13" s="826"/>
      <c r="EN13" s="826"/>
      <c r="EO13" s="826"/>
      <c r="EP13" s="826"/>
      <c r="EQ13" s="826"/>
      <c r="ER13" s="826"/>
      <c r="ES13" s="826"/>
      <c r="ET13" s="826"/>
      <c r="EU13" s="826"/>
      <c r="EV13" s="826"/>
      <c r="EW13" s="826"/>
      <c r="EX13" s="826"/>
      <c r="EY13" s="826"/>
      <c r="EZ13" s="826"/>
      <c r="FA13" s="826"/>
      <c r="FB13" s="826"/>
      <c r="FC13" s="826"/>
      <c r="FD13" s="826"/>
      <c r="FE13" s="826"/>
      <c r="FF13" s="826"/>
      <c r="FG13" s="826"/>
      <c r="FH13" s="826"/>
      <c r="FI13" s="826"/>
      <c r="FJ13" s="826"/>
      <c r="FK13" s="826"/>
      <c r="FL13" s="826"/>
      <c r="FM13" s="826"/>
      <c r="FN13" s="826"/>
      <c r="FO13" s="826"/>
      <c r="FP13" s="826"/>
      <c r="FQ13" s="826"/>
      <c r="FR13" s="826"/>
      <c r="FS13" s="826"/>
      <c r="FT13" s="826"/>
      <c r="FU13" s="826"/>
      <c r="FV13" s="826"/>
      <c r="FW13" s="826"/>
      <c r="FX13" s="826"/>
      <c r="FY13" s="826"/>
      <c r="FZ13" s="826"/>
      <c r="GA13" s="826"/>
      <c r="GB13" s="826"/>
      <c r="GC13" s="826"/>
      <c r="GD13" s="826"/>
      <c r="GE13" s="826"/>
      <c r="GF13" s="826"/>
      <c r="GG13" s="826"/>
      <c r="GH13" s="826"/>
      <c r="GI13" s="826"/>
      <c r="GJ13" s="826"/>
      <c r="GK13" s="826"/>
      <c r="GL13" s="826"/>
      <c r="GM13" s="826"/>
      <c r="GN13" s="826"/>
      <c r="GO13" s="826"/>
      <c r="GP13" s="826"/>
      <c r="GQ13" s="826"/>
      <c r="GR13" s="826"/>
      <c r="GS13" s="826"/>
      <c r="GT13" s="826"/>
      <c r="GU13" s="826"/>
      <c r="GV13" s="826"/>
      <c r="GW13" s="826"/>
      <c r="GX13" s="826"/>
      <c r="GY13" s="826"/>
      <c r="GZ13" s="826"/>
      <c r="HA13" s="826"/>
      <c r="HB13" s="826"/>
      <c r="HC13" s="826"/>
      <c r="HD13" s="826"/>
      <c r="HE13" s="826"/>
      <c r="HF13" s="826"/>
      <c r="HG13" s="826"/>
      <c r="HH13" s="826"/>
      <c r="HI13" s="826"/>
      <c r="HJ13" s="826"/>
      <c r="HK13" s="826"/>
      <c r="HL13" s="826"/>
      <c r="HM13" s="826"/>
      <c r="HN13" s="826"/>
      <c r="HO13" s="826"/>
      <c r="HP13" s="826"/>
      <c r="HQ13" s="826"/>
      <c r="HR13" s="826"/>
      <c r="HS13" s="826"/>
      <c r="HT13" s="826"/>
      <c r="HU13" s="826"/>
      <c r="HV13" s="826"/>
      <c r="HW13" s="826"/>
      <c r="HX13" s="826"/>
      <c r="HY13" s="826"/>
      <c r="HZ13" s="826"/>
      <c r="IA13" s="826"/>
      <c r="IB13" s="826"/>
      <c r="IC13" s="826"/>
      <c r="ID13" s="826"/>
      <c r="IE13" s="826"/>
      <c r="IF13" s="826"/>
      <c r="IG13" s="826"/>
      <c r="IH13" s="826"/>
      <c r="II13" s="826"/>
      <c r="IJ13" s="826"/>
      <c r="IK13" s="826"/>
      <c r="IL13" s="826"/>
      <c r="IM13" s="826"/>
      <c r="IN13" s="826"/>
      <c r="IO13" s="826"/>
      <c r="IP13" s="826"/>
      <c r="IQ13" s="826"/>
      <c r="IR13" s="826"/>
      <c r="IS13" s="826"/>
      <c r="IT13" s="826"/>
      <c r="IU13" s="826"/>
      <c r="IV13" s="826"/>
      <c r="IW13" s="826"/>
      <c r="IX13" s="826"/>
      <c r="IY13" s="826"/>
      <c r="IZ13" s="826"/>
      <c r="JA13" s="826"/>
      <c r="JB13" s="826"/>
      <c r="JC13" s="826"/>
      <c r="JD13" s="826"/>
      <c r="JE13" s="826"/>
      <c r="JF13" s="826"/>
      <c r="JG13" s="826"/>
      <c r="JH13" s="826"/>
      <c r="JI13" s="826"/>
      <c r="JJ13" s="826"/>
      <c r="JK13" s="826"/>
      <c r="JL13" s="826"/>
      <c r="JM13" s="826"/>
      <c r="JN13" s="826"/>
      <c r="JO13" s="826"/>
      <c r="JP13" s="826"/>
      <c r="JQ13" s="826"/>
      <c r="JR13" s="826"/>
      <c r="JS13" s="826"/>
      <c r="JT13" s="826"/>
      <c r="JU13" s="826"/>
      <c r="JV13" s="826"/>
      <c r="JW13" s="826"/>
      <c r="JX13" s="826"/>
      <c r="JY13" s="826"/>
      <c r="JZ13" s="826"/>
      <c r="KA13" s="826"/>
      <c r="KB13" s="826"/>
      <c r="KC13" s="826"/>
      <c r="KD13" s="826"/>
      <c r="KE13" s="826"/>
      <c r="KF13" s="826"/>
      <c r="KG13" s="826"/>
      <c r="KH13" s="826"/>
      <c r="KI13" s="826"/>
      <c r="KJ13" s="826"/>
      <c r="KK13" s="826"/>
      <c r="KL13" s="826"/>
      <c r="KM13" s="826"/>
      <c r="KN13" s="826"/>
      <c r="KO13" s="826"/>
      <c r="KP13" s="826"/>
      <c r="KQ13" s="826"/>
      <c r="KR13" s="826"/>
      <c r="KS13" s="826"/>
      <c r="KT13" s="826"/>
      <c r="KU13" s="826"/>
      <c r="KV13" s="826"/>
      <c r="KW13" s="826"/>
      <c r="KX13" s="826"/>
      <c r="KY13" s="826"/>
      <c r="KZ13" s="826"/>
      <c r="LA13" s="826"/>
      <c r="LB13" s="826"/>
      <c r="LC13" s="826"/>
      <c r="LD13" s="826"/>
      <c r="LE13" s="826"/>
      <c r="LF13" s="826"/>
      <c r="LG13" s="826"/>
      <c r="LH13" s="826"/>
      <c r="LI13" s="826"/>
      <c r="LJ13" s="826"/>
      <c r="LK13" s="826"/>
      <c r="LL13" s="826"/>
      <c r="LM13" s="826"/>
      <c r="LN13" s="826"/>
      <c r="LO13" s="826"/>
      <c r="LP13" s="826"/>
      <c r="LQ13" s="826"/>
      <c r="LR13" s="826"/>
      <c r="LS13" s="826"/>
      <c r="LT13" s="826"/>
      <c r="LU13" s="826"/>
      <c r="LV13" s="826"/>
      <c r="LW13" s="826"/>
      <c r="LX13" s="826"/>
      <c r="LY13" s="826"/>
      <c r="LZ13" s="826"/>
      <c r="MA13" s="826"/>
      <c r="MB13" s="826"/>
      <c r="MC13" s="826"/>
      <c r="MD13" s="826"/>
      <c r="ME13" s="826"/>
      <c r="MF13" s="826"/>
      <c r="MG13" s="826"/>
      <c r="MH13" s="826"/>
      <c r="MI13" s="826"/>
      <c r="MJ13" s="826"/>
      <c r="MK13" s="826"/>
      <c r="ML13" s="826"/>
      <c r="MM13" s="826"/>
      <c r="MN13" s="826"/>
      <c r="MO13" s="826"/>
      <c r="MP13" s="826"/>
      <c r="MQ13" s="826"/>
      <c r="MR13" s="826"/>
      <c r="MS13" s="826"/>
      <c r="MT13" s="826"/>
      <c r="MU13" s="826"/>
      <c r="MV13" s="826"/>
      <c r="MW13" s="826"/>
      <c r="MX13" s="826"/>
      <c r="MY13" s="826"/>
      <c r="MZ13" s="826"/>
      <c r="NA13" s="826"/>
      <c r="NB13" s="826"/>
      <c r="NC13" s="826"/>
      <c r="ND13" s="826"/>
      <c r="NE13" s="826"/>
      <c r="NF13" s="826"/>
      <c r="NG13" s="826"/>
      <c r="NH13" s="826"/>
      <c r="NI13" s="826"/>
      <c r="NJ13" s="826"/>
      <c r="NK13" s="826"/>
      <c r="NL13" s="826"/>
      <c r="NM13" s="826"/>
      <c r="NN13" s="826"/>
      <c r="NO13" s="826"/>
      <c r="NP13" s="826"/>
      <c r="NQ13" s="826"/>
      <c r="NR13" s="826"/>
      <c r="NS13" s="826"/>
      <c r="NT13" s="826"/>
      <c r="NU13" s="826"/>
      <c r="NV13" s="826"/>
      <c r="NW13" s="826"/>
      <c r="NX13" s="826"/>
      <c r="NY13" s="826"/>
      <c r="NZ13" s="826"/>
      <c r="OA13" s="826"/>
      <c r="OB13" s="826"/>
      <c r="OC13" s="826"/>
      <c r="OD13" s="826"/>
      <c r="OE13" s="826"/>
      <c r="OF13" s="826"/>
      <c r="OG13" s="826"/>
      <c r="OH13" s="826"/>
      <c r="OI13" s="826"/>
      <c r="OJ13" s="826"/>
      <c r="OK13" s="826"/>
      <c r="OL13" s="826"/>
      <c r="OM13" s="826"/>
      <c r="ON13" s="826"/>
      <c r="OO13" s="826"/>
      <c r="OP13" s="826"/>
      <c r="OQ13" s="826"/>
      <c r="OR13" s="826"/>
      <c r="OS13" s="826"/>
      <c r="OT13" s="826"/>
      <c r="OU13" s="826"/>
      <c r="OV13" s="826"/>
      <c r="OW13" s="826"/>
      <c r="OX13" s="826"/>
      <c r="OY13" s="826"/>
      <c r="OZ13" s="826"/>
      <c r="PA13" s="826"/>
      <c r="PB13" s="826"/>
      <c r="PC13" s="826"/>
      <c r="PD13" s="826"/>
      <c r="PE13" s="826"/>
      <c r="PF13" s="826"/>
      <c r="PG13" s="826"/>
      <c r="PH13" s="826"/>
      <c r="PI13" s="826"/>
      <c r="PJ13" s="826"/>
      <c r="PK13" s="826"/>
      <c r="PL13" s="826"/>
      <c r="PM13" s="826"/>
      <c r="PN13" s="826"/>
      <c r="PO13" s="826"/>
      <c r="PP13" s="826"/>
      <c r="PQ13" s="826"/>
      <c r="PR13" s="826"/>
      <c r="PS13" s="826"/>
      <c r="PT13" s="826"/>
      <c r="PU13" s="826"/>
      <c r="PV13" s="826"/>
      <c r="PW13" s="826"/>
      <c r="PX13" s="826"/>
      <c r="PY13" s="826"/>
      <c r="PZ13" s="826"/>
      <c r="QA13" s="826"/>
      <c r="QB13" s="826"/>
      <c r="QC13" s="826"/>
      <c r="QD13" s="826"/>
      <c r="QE13" s="826"/>
      <c r="QF13" s="826"/>
      <c r="QG13" s="826"/>
      <c r="QH13" s="826"/>
      <c r="QI13" s="826"/>
      <c r="QJ13" s="826"/>
      <c r="QK13" s="826"/>
      <c r="QL13" s="826"/>
      <c r="QM13" s="826"/>
      <c r="QN13" s="826"/>
      <c r="QO13" s="826"/>
      <c r="QP13" s="826"/>
      <c r="QQ13" s="826"/>
      <c r="QR13" s="826"/>
      <c r="QS13" s="826"/>
      <c r="QT13" s="826"/>
      <c r="QU13" s="826"/>
      <c r="QV13" s="826"/>
      <c r="QW13" s="826"/>
      <c r="QX13" s="826"/>
      <c r="QY13" s="826"/>
      <c r="QZ13" s="826"/>
      <c r="RA13" s="826"/>
      <c r="RB13" s="826"/>
      <c r="RC13" s="826"/>
      <c r="RD13" s="826"/>
      <c r="RE13" s="826"/>
      <c r="RF13" s="826"/>
      <c r="RG13" s="826"/>
      <c r="RH13" s="826"/>
      <c r="RI13" s="826"/>
      <c r="RJ13" s="826"/>
      <c r="RK13" s="826"/>
      <c r="RL13" s="826"/>
      <c r="RM13" s="826"/>
      <c r="RN13" s="826"/>
      <c r="RO13" s="826"/>
      <c r="RP13" s="826"/>
      <c r="RQ13" s="826"/>
      <c r="RR13" s="826"/>
      <c r="RS13" s="826"/>
      <c r="RT13" s="826"/>
      <c r="RU13" s="826"/>
      <c r="RV13" s="826"/>
      <c r="RW13" s="826"/>
      <c r="RX13" s="826"/>
      <c r="RY13" s="826"/>
      <c r="RZ13" s="826"/>
      <c r="SA13" s="826"/>
      <c r="SB13" s="826"/>
      <c r="SC13" s="826"/>
      <c r="SD13" s="826"/>
      <c r="SE13" s="826"/>
      <c r="SF13" s="826"/>
      <c r="SG13" s="826"/>
      <c r="SH13" s="826"/>
      <c r="SI13" s="826"/>
      <c r="SJ13" s="826"/>
      <c r="SK13" s="826"/>
      <c r="SL13" s="826"/>
      <c r="SM13" s="826"/>
      <c r="SN13" s="826"/>
      <c r="SO13" s="826"/>
      <c r="SP13" s="826"/>
      <c r="SQ13" s="826"/>
      <c r="SR13" s="826"/>
      <c r="SS13" s="826"/>
      <c r="ST13" s="826"/>
      <c r="SU13" s="826"/>
      <c r="SV13" s="826"/>
      <c r="SW13" s="826"/>
      <c r="SX13" s="826"/>
      <c r="SY13" s="826"/>
      <c r="SZ13" s="826"/>
      <c r="TA13" s="826"/>
      <c r="TB13" s="826"/>
      <c r="TC13" s="826"/>
      <c r="TD13" s="826"/>
      <c r="TE13" s="826"/>
      <c r="TF13" s="826"/>
      <c r="TG13" s="826"/>
      <c r="TH13" s="826"/>
      <c r="TI13" s="826"/>
      <c r="TJ13" s="826"/>
      <c r="TK13" s="826"/>
      <c r="TL13" s="826"/>
      <c r="TM13" s="826"/>
      <c r="TN13" s="826"/>
      <c r="TO13" s="826"/>
      <c r="TP13" s="826"/>
      <c r="TQ13" s="826"/>
      <c r="TR13" s="826"/>
      <c r="TS13" s="826"/>
      <c r="TT13" s="826"/>
      <c r="TU13" s="826"/>
      <c r="TV13" s="826"/>
      <c r="TW13" s="826"/>
      <c r="TX13" s="826"/>
      <c r="TY13" s="826"/>
      <c r="TZ13" s="826"/>
      <c r="UA13" s="826"/>
      <c r="UB13" s="826"/>
      <c r="UC13" s="826"/>
      <c r="UD13" s="826"/>
      <c r="UE13" s="826"/>
      <c r="UF13" s="826"/>
      <c r="UG13" s="826"/>
      <c r="UH13" s="826"/>
      <c r="UI13" s="826"/>
      <c r="UJ13" s="826"/>
      <c r="UK13" s="826"/>
      <c r="UL13" s="826"/>
      <c r="UM13" s="826"/>
      <c r="UN13" s="826"/>
      <c r="UO13" s="826"/>
      <c r="UP13" s="826"/>
      <c r="UQ13" s="826"/>
      <c r="UR13" s="826"/>
      <c r="US13" s="826"/>
      <c r="UT13" s="826"/>
      <c r="UU13" s="826"/>
      <c r="UV13" s="826"/>
      <c r="UW13" s="826"/>
      <c r="UX13" s="826"/>
      <c r="UY13" s="826"/>
      <c r="UZ13" s="826"/>
      <c r="VA13" s="826"/>
      <c r="VB13" s="826"/>
      <c r="VC13" s="826"/>
      <c r="VD13" s="826"/>
      <c r="VE13" s="826"/>
      <c r="VF13" s="826"/>
      <c r="VG13" s="826"/>
      <c r="VH13" s="826"/>
      <c r="VI13" s="826"/>
      <c r="VJ13" s="826"/>
      <c r="VK13" s="826"/>
      <c r="VL13" s="826"/>
      <c r="VM13" s="826"/>
      <c r="VN13" s="826"/>
      <c r="VO13" s="826"/>
      <c r="VP13" s="826"/>
      <c r="VQ13" s="826"/>
      <c r="VR13" s="826"/>
      <c r="VS13" s="826"/>
      <c r="VT13" s="826"/>
      <c r="VU13" s="826"/>
      <c r="VV13" s="826"/>
      <c r="VW13" s="826"/>
      <c r="VX13" s="826"/>
      <c r="VY13" s="826"/>
      <c r="VZ13" s="826"/>
      <c r="WA13" s="826"/>
      <c r="WB13" s="826"/>
      <c r="WC13" s="826"/>
      <c r="WD13" s="826"/>
      <c r="WE13" s="826"/>
      <c r="WF13" s="826"/>
      <c r="WG13" s="826"/>
      <c r="WH13" s="826"/>
      <c r="WI13" s="826"/>
      <c r="WJ13" s="826"/>
      <c r="WK13" s="826"/>
      <c r="WL13" s="826"/>
      <c r="WM13" s="826"/>
      <c r="WN13" s="826"/>
      <c r="WO13" s="826"/>
      <c r="WP13" s="826"/>
      <c r="WQ13" s="826"/>
      <c r="WR13" s="826"/>
      <c r="WS13" s="826"/>
      <c r="WT13" s="826"/>
      <c r="WU13" s="826"/>
      <c r="WV13" s="826"/>
      <c r="WW13" s="826"/>
      <c r="WX13" s="826"/>
      <c r="WY13" s="826"/>
      <c r="WZ13" s="826"/>
      <c r="XA13" s="826"/>
      <c r="XB13" s="826"/>
      <c r="XC13" s="826"/>
      <c r="XD13" s="826"/>
      <c r="XE13" s="826"/>
      <c r="XF13" s="826"/>
      <c r="XG13" s="826"/>
      <c r="XH13" s="826"/>
      <c r="XI13" s="826"/>
      <c r="XJ13" s="826"/>
      <c r="XK13" s="826"/>
      <c r="XL13" s="826"/>
      <c r="XM13" s="826"/>
      <c r="XN13" s="826"/>
      <c r="XO13" s="826"/>
      <c r="XP13" s="826"/>
      <c r="XQ13" s="826"/>
      <c r="XR13" s="826"/>
      <c r="XS13" s="826"/>
      <c r="XT13" s="826"/>
      <c r="XU13" s="826"/>
      <c r="XV13" s="826"/>
      <c r="XW13" s="826"/>
      <c r="XX13" s="826"/>
      <c r="XY13" s="826"/>
      <c r="XZ13" s="826"/>
      <c r="YA13" s="826"/>
      <c r="YB13" s="826"/>
      <c r="YC13" s="826"/>
      <c r="YD13" s="826"/>
      <c r="YE13" s="826"/>
      <c r="YF13" s="826"/>
      <c r="YG13" s="826"/>
      <c r="YH13" s="826"/>
      <c r="YI13" s="826"/>
      <c r="YJ13" s="826"/>
      <c r="YK13" s="826"/>
      <c r="YL13" s="826"/>
      <c r="YM13" s="826"/>
      <c r="YN13" s="826"/>
      <c r="YO13" s="826"/>
      <c r="YP13" s="826"/>
      <c r="YQ13" s="826"/>
      <c r="YR13" s="826"/>
      <c r="YS13" s="826"/>
      <c r="YT13" s="826"/>
      <c r="YU13" s="826"/>
      <c r="YV13" s="826"/>
      <c r="YW13" s="826"/>
      <c r="YX13" s="826"/>
      <c r="YY13" s="826"/>
      <c r="YZ13" s="826"/>
      <c r="ZA13" s="826"/>
      <c r="ZB13" s="826"/>
      <c r="ZC13" s="826"/>
      <c r="ZD13" s="826"/>
      <c r="ZE13" s="826"/>
      <c r="ZF13" s="826"/>
      <c r="ZG13" s="826"/>
      <c r="ZH13" s="826"/>
      <c r="ZI13" s="826"/>
      <c r="ZJ13" s="826"/>
      <c r="ZK13" s="826"/>
      <c r="ZL13" s="826"/>
      <c r="ZM13" s="826"/>
      <c r="ZN13" s="826"/>
      <c r="ZO13" s="826"/>
      <c r="ZP13" s="826"/>
      <c r="ZQ13" s="826"/>
      <c r="ZR13" s="826"/>
      <c r="ZS13" s="826"/>
      <c r="ZT13" s="826"/>
      <c r="ZU13" s="826"/>
      <c r="ZV13" s="826"/>
      <c r="ZW13" s="826"/>
      <c r="ZX13" s="826"/>
      <c r="ZY13" s="826"/>
      <c r="ZZ13" s="826"/>
      <c r="AAA13" s="826"/>
      <c r="AAB13" s="826"/>
      <c r="AAC13" s="826"/>
      <c r="AAD13" s="826"/>
      <c r="AAE13" s="826"/>
      <c r="AAF13" s="826"/>
      <c r="AAG13" s="826"/>
      <c r="AAH13" s="826"/>
      <c r="AAI13" s="826"/>
      <c r="AAJ13" s="826"/>
      <c r="AAK13" s="826"/>
      <c r="AAL13" s="826"/>
      <c r="AAM13" s="826"/>
      <c r="AAN13" s="826"/>
      <c r="AAO13" s="826"/>
      <c r="AAP13" s="826"/>
      <c r="AAQ13" s="826"/>
      <c r="AAR13" s="826"/>
      <c r="AAS13" s="826"/>
      <c r="AAT13" s="826"/>
      <c r="AAU13" s="826"/>
      <c r="AAV13" s="826"/>
      <c r="AAW13" s="826"/>
      <c r="AAX13" s="826"/>
      <c r="AAY13" s="826"/>
      <c r="AAZ13" s="826"/>
      <c r="ABA13" s="826"/>
      <c r="ABB13" s="826"/>
      <c r="ABC13" s="826"/>
      <c r="ABD13" s="826"/>
      <c r="ABE13" s="826"/>
      <c r="ABF13" s="826"/>
      <c r="ABG13" s="826"/>
      <c r="ABH13" s="826"/>
      <c r="ABI13" s="826"/>
      <c r="ABJ13" s="826"/>
      <c r="ABK13" s="826"/>
      <c r="ABL13" s="826"/>
      <c r="ABM13" s="826"/>
      <c r="ABN13" s="826"/>
      <c r="ABO13" s="826"/>
      <c r="ABP13" s="826"/>
      <c r="ABQ13" s="826"/>
      <c r="ABR13" s="826"/>
      <c r="ABS13" s="826"/>
      <c r="ABT13" s="826"/>
      <c r="ABU13" s="826"/>
      <c r="ABV13" s="826"/>
      <c r="ABW13" s="826"/>
      <c r="ABX13" s="826"/>
      <c r="ABY13" s="826"/>
      <c r="ABZ13" s="826"/>
      <c r="ACA13" s="826"/>
      <c r="ACB13" s="826"/>
      <c r="ACC13" s="826"/>
      <c r="ACD13" s="826"/>
      <c r="ACE13" s="826"/>
      <c r="ACF13" s="826"/>
      <c r="ACG13" s="826"/>
      <c r="ACH13" s="826"/>
      <c r="ACI13" s="826"/>
      <c r="ACJ13" s="826"/>
      <c r="ACK13" s="826"/>
      <c r="ACL13" s="826"/>
      <c r="ACM13" s="826"/>
      <c r="ACN13" s="826"/>
      <c r="ACO13" s="826"/>
      <c r="ACP13" s="826"/>
      <c r="ACQ13" s="826"/>
      <c r="ACR13" s="826"/>
      <c r="ACS13" s="826"/>
      <c r="ACT13" s="826"/>
      <c r="ACU13" s="826"/>
      <c r="ACV13" s="826"/>
      <c r="ACW13" s="826"/>
      <c r="ACX13" s="826"/>
      <c r="ACY13" s="826"/>
      <c r="ACZ13" s="826"/>
      <c r="ADA13" s="826"/>
      <c r="ADB13" s="826"/>
      <c r="ADC13" s="826"/>
      <c r="ADD13" s="826"/>
      <c r="ADE13" s="826"/>
      <c r="ADF13" s="826"/>
      <c r="ADG13" s="826"/>
      <c r="ADH13" s="826"/>
      <c r="ADI13" s="826"/>
      <c r="ADJ13" s="826"/>
      <c r="ADK13" s="826"/>
      <c r="ADL13" s="826"/>
      <c r="ADM13" s="826"/>
      <c r="ADN13" s="826"/>
      <c r="ADO13" s="826"/>
      <c r="ADP13" s="826"/>
      <c r="ADQ13" s="826"/>
      <c r="ADR13" s="826"/>
      <c r="ADS13" s="826"/>
      <c r="ADT13" s="826"/>
      <c r="ADU13" s="826"/>
      <c r="ADV13" s="826"/>
      <c r="ADW13" s="826"/>
      <c r="ADX13" s="826"/>
      <c r="ADY13" s="826"/>
      <c r="ADZ13" s="826"/>
      <c r="AEA13" s="826"/>
      <c r="AEB13" s="826"/>
      <c r="AEC13" s="826"/>
      <c r="AED13" s="826"/>
      <c r="AEE13" s="826"/>
      <c r="AEF13" s="826"/>
      <c r="AEG13" s="826"/>
      <c r="AEH13" s="826"/>
      <c r="AEI13" s="826"/>
      <c r="AEJ13" s="826"/>
      <c r="AEK13" s="826"/>
      <c r="AEL13" s="826"/>
      <c r="AEM13" s="826"/>
      <c r="AEN13" s="826"/>
      <c r="AEO13" s="826"/>
      <c r="AEP13" s="826"/>
      <c r="AEQ13" s="826"/>
      <c r="AER13" s="826"/>
      <c r="AES13" s="826"/>
      <c r="AET13" s="826"/>
      <c r="AEU13" s="826"/>
      <c r="AEV13" s="826"/>
      <c r="AEW13" s="826"/>
      <c r="AEX13" s="826"/>
      <c r="AEY13" s="826"/>
      <c r="AEZ13" s="826"/>
      <c r="AFA13" s="826"/>
      <c r="AFB13" s="826"/>
      <c r="AFC13" s="826"/>
      <c r="AFD13" s="826"/>
      <c r="AFE13" s="826"/>
      <c r="AFF13" s="826"/>
      <c r="AFG13" s="826"/>
      <c r="AFH13" s="826"/>
      <c r="AFI13" s="826"/>
      <c r="AFJ13" s="826"/>
      <c r="AFK13" s="826"/>
      <c r="AFL13" s="826"/>
      <c r="AFM13" s="826"/>
      <c r="AFN13" s="826"/>
      <c r="AFO13" s="826"/>
      <c r="AFP13" s="826"/>
      <c r="AFQ13" s="826"/>
      <c r="AFR13" s="826"/>
      <c r="AFS13" s="826"/>
      <c r="AFT13" s="826"/>
      <c r="AFU13" s="826"/>
      <c r="AFV13" s="826"/>
      <c r="AFW13" s="826"/>
      <c r="AFX13" s="826"/>
      <c r="AFY13" s="826"/>
      <c r="AFZ13" s="826"/>
      <c r="AGA13" s="826"/>
      <c r="AGB13" s="826"/>
      <c r="AGC13" s="826"/>
      <c r="AGD13" s="826"/>
      <c r="AGE13" s="826"/>
      <c r="AGF13" s="826"/>
      <c r="AGG13" s="826"/>
      <c r="AGH13" s="826"/>
      <c r="AGI13" s="826"/>
      <c r="AGJ13" s="826"/>
      <c r="AGK13" s="826"/>
      <c r="AGL13" s="826"/>
      <c r="AGM13" s="826"/>
      <c r="AGN13" s="826"/>
      <c r="AGO13" s="826"/>
      <c r="AGP13" s="826"/>
      <c r="AGQ13" s="826"/>
      <c r="AGR13" s="826"/>
      <c r="AGS13" s="826"/>
      <c r="AGT13" s="826"/>
      <c r="AGU13" s="826"/>
      <c r="AGV13" s="826"/>
      <c r="AGW13" s="826"/>
      <c r="AGX13" s="826"/>
      <c r="AGY13" s="826"/>
      <c r="AGZ13" s="826"/>
      <c r="AHA13" s="826"/>
      <c r="AHB13" s="826"/>
      <c r="AHC13" s="826"/>
      <c r="AHD13" s="826"/>
      <c r="AHE13" s="826"/>
      <c r="AHF13" s="826"/>
      <c r="AHG13" s="826"/>
      <c r="AHH13" s="826"/>
      <c r="AHI13" s="826"/>
      <c r="AHJ13" s="826"/>
      <c r="AHK13" s="826"/>
      <c r="AHL13" s="826"/>
      <c r="AHM13" s="826"/>
      <c r="AHN13" s="826"/>
      <c r="AHO13" s="826"/>
      <c r="AHP13" s="826"/>
      <c r="AHQ13" s="826"/>
      <c r="AHR13" s="826"/>
      <c r="AHS13" s="826"/>
      <c r="AHT13" s="826"/>
      <c r="AHU13" s="826"/>
      <c r="AHV13" s="826"/>
      <c r="AHW13" s="826"/>
      <c r="AHX13" s="826"/>
      <c r="AHY13" s="826"/>
      <c r="AHZ13" s="826"/>
      <c r="AIA13" s="826"/>
      <c r="AIB13" s="826"/>
      <c r="AIC13" s="826"/>
      <c r="AID13" s="826"/>
      <c r="AIE13" s="826"/>
      <c r="AIF13" s="826"/>
      <c r="AIG13" s="826"/>
      <c r="AIH13" s="826"/>
      <c r="AII13" s="826"/>
      <c r="AIJ13" s="826"/>
      <c r="AIK13" s="826"/>
      <c r="AIL13" s="826"/>
      <c r="AIM13" s="826"/>
      <c r="AIN13" s="826"/>
      <c r="AIO13" s="826"/>
      <c r="AIP13" s="826"/>
      <c r="AIQ13" s="826"/>
      <c r="AIR13" s="826"/>
      <c r="AIS13" s="826"/>
      <c r="AIT13" s="826"/>
      <c r="AIU13" s="826"/>
      <c r="AIV13" s="826"/>
      <c r="AIW13" s="826"/>
      <c r="AIX13" s="826"/>
      <c r="AIY13" s="826"/>
      <c r="AIZ13" s="826"/>
      <c r="AJA13" s="826"/>
      <c r="AJB13" s="826"/>
      <c r="AJC13" s="826"/>
      <c r="AJD13" s="826"/>
      <c r="AJE13" s="826"/>
      <c r="AJF13" s="826"/>
      <c r="AJG13" s="826"/>
      <c r="AJH13" s="826"/>
      <c r="AJI13" s="826"/>
      <c r="AJJ13" s="826"/>
      <c r="AJK13" s="826"/>
      <c r="AJL13" s="826"/>
      <c r="AJM13" s="826"/>
      <c r="AJN13" s="826"/>
      <c r="AJO13" s="826"/>
      <c r="AJP13" s="826"/>
      <c r="AJQ13" s="826"/>
      <c r="AJR13" s="826"/>
      <c r="AJS13" s="826"/>
      <c r="AJT13" s="826"/>
      <c r="AJU13" s="826"/>
      <c r="AJV13" s="826"/>
      <c r="AJW13" s="826"/>
      <c r="AJX13" s="826"/>
      <c r="AJY13" s="826"/>
      <c r="AJZ13" s="826"/>
      <c r="AKA13" s="826"/>
      <c r="AKB13" s="826"/>
      <c r="AKC13" s="826"/>
      <c r="AKD13" s="826"/>
      <c r="AKE13" s="826"/>
      <c r="AKF13" s="826"/>
      <c r="AKG13" s="826"/>
      <c r="AKH13" s="826"/>
      <c r="AKI13" s="826"/>
      <c r="AKJ13" s="826"/>
      <c r="AKK13" s="826"/>
      <c r="AKL13" s="826"/>
      <c r="AKM13" s="826"/>
      <c r="AKN13" s="826"/>
      <c r="AKO13" s="826"/>
      <c r="AKP13" s="826"/>
      <c r="AKQ13" s="826"/>
      <c r="AKR13" s="826"/>
      <c r="AKS13" s="826"/>
      <c r="AKT13" s="826"/>
      <c r="AKU13" s="826"/>
      <c r="AKV13" s="826"/>
      <c r="AKW13" s="826"/>
      <c r="AKX13" s="826"/>
      <c r="AKY13" s="826"/>
      <c r="AKZ13" s="826"/>
      <c r="ALA13" s="826"/>
      <c r="ALB13" s="826"/>
      <c r="ALC13" s="826"/>
      <c r="ALD13" s="826"/>
      <c r="ALE13" s="826"/>
      <c r="ALF13" s="826"/>
      <c r="ALG13" s="826"/>
      <c r="ALH13" s="826"/>
      <c r="ALI13" s="826"/>
      <c r="ALJ13" s="826"/>
      <c r="ALK13" s="826"/>
      <c r="ALL13" s="826"/>
      <c r="ALM13" s="826"/>
      <c r="ALN13" s="826"/>
      <c r="ALO13" s="826"/>
      <c r="ALP13" s="826"/>
      <c r="ALQ13" s="826"/>
      <c r="ALR13" s="826"/>
      <c r="ALS13" s="826"/>
      <c r="ALT13" s="826"/>
      <c r="ALU13" s="826"/>
      <c r="ALV13" s="826"/>
      <c r="ALW13" s="826"/>
      <c r="ALX13" s="826"/>
      <c r="ALY13" s="826"/>
      <c r="ALZ13" s="826"/>
      <c r="AMA13" s="826"/>
      <c r="AMB13" s="826"/>
      <c r="AMC13" s="826"/>
      <c r="AMD13" s="826"/>
      <c r="AME13" s="826"/>
      <c r="AMF13" s="826"/>
      <c r="AMG13" s="826"/>
      <c r="AMH13" s="826"/>
      <c r="AMI13" s="826"/>
      <c r="AMJ13" s="826"/>
      <c r="AMK13" s="826"/>
      <c r="AML13" s="826"/>
      <c r="AMM13" s="826"/>
      <c r="AMN13" s="826"/>
      <c r="AMO13" s="826"/>
      <c r="AMP13" s="826"/>
      <c r="AMQ13" s="826"/>
      <c r="AMR13" s="826"/>
      <c r="AMS13" s="826"/>
      <c r="AMT13" s="826"/>
      <c r="AMU13" s="826"/>
      <c r="AMV13" s="826"/>
      <c r="AMW13" s="826"/>
      <c r="AMX13" s="826"/>
      <c r="AMY13" s="826"/>
      <c r="AMZ13" s="826"/>
      <c r="ANA13" s="826"/>
      <c r="ANB13" s="826"/>
      <c r="ANC13" s="826"/>
      <c r="AND13" s="826"/>
      <c r="ANE13" s="826"/>
      <c r="ANF13" s="826"/>
      <c r="ANG13" s="826"/>
      <c r="ANH13" s="826"/>
      <c r="ANI13" s="826"/>
      <c r="ANJ13" s="826"/>
      <c r="ANK13" s="826"/>
      <c r="ANL13" s="826"/>
      <c r="ANM13" s="826"/>
      <c r="ANN13" s="826"/>
      <c r="ANO13" s="826"/>
      <c r="ANP13" s="826"/>
      <c r="ANQ13" s="826"/>
      <c r="ANR13" s="826"/>
      <c r="ANS13" s="826"/>
      <c r="ANT13" s="826"/>
      <c r="ANU13" s="826"/>
      <c r="ANV13" s="826"/>
      <c r="ANW13" s="826"/>
      <c r="ANX13" s="826"/>
      <c r="ANY13" s="826"/>
      <c r="ANZ13" s="826"/>
      <c r="AOA13" s="826"/>
      <c r="AOB13" s="826"/>
      <c r="AOC13" s="826"/>
      <c r="AOD13" s="826"/>
      <c r="AOE13" s="826"/>
      <c r="AOF13" s="826"/>
      <c r="AOG13" s="826"/>
      <c r="AOH13" s="826"/>
      <c r="AOI13" s="826"/>
      <c r="AOJ13" s="826"/>
      <c r="AOK13" s="826"/>
      <c r="AOL13" s="826"/>
      <c r="AOM13" s="826"/>
      <c r="AON13" s="826"/>
      <c r="AOO13" s="826"/>
      <c r="AOP13" s="826"/>
      <c r="AOQ13" s="826"/>
      <c r="AOR13" s="826"/>
      <c r="AOS13" s="826"/>
      <c r="AOT13" s="826"/>
      <c r="AOU13" s="826"/>
      <c r="AOV13" s="826"/>
      <c r="AOW13" s="826"/>
      <c r="AOX13" s="826"/>
      <c r="AOY13" s="826"/>
      <c r="AOZ13" s="826"/>
      <c r="APA13" s="826"/>
      <c r="APB13" s="826"/>
      <c r="APC13" s="826"/>
      <c r="APD13" s="826"/>
      <c r="APE13" s="826"/>
      <c r="APF13" s="826"/>
      <c r="APG13" s="826"/>
      <c r="APH13" s="826"/>
      <c r="API13" s="826"/>
      <c r="APJ13" s="826"/>
      <c r="APK13" s="826"/>
      <c r="APL13" s="826"/>
      <c r="APM13" s="826"/>
      <c r="APN13" s="826"/>
      <c r="APO13" s="826"/>
      <c r="APP13" s="826"/>
      <c r="APQ13" s="826"/>
      <c r="APR13" s="826"/>
      <c r="APS13" s="826"/>
      <c r="APT13" s="826"/>
      <c r="APU13" s="826"/>
      <c r="APV13" s="826"/>
      <c r="APW13" s="826"/>
      <c r="APX13" s="826"/>
      <c r="APY13" s="826"/>
      <c r="APZ13" s="826"/>
      <c r="AQA13" s="826"/>
      <c r="AQB13" s="826"/>
      <c r="AQC13" s="826"/>
      <c r="AQD13" s="826"/>
      <c r="AQE13" s="826"/>
      <c r="AQF13" s="826"/>
      <c r="AQG13" s="826"/>
      <c r="AQH13" s="826"/>
      <c r="AQI13" s="826"/>
      <c r="AQJ13" s="826"/>
      <c r="AQK13" s="826"/>
      <c r="AQL13" s="826"/>
      <c r="AQM13" s="826"/>
      <c r="AQN13" s="826"/>
      <c r="AQO13" s="826"/>
      <c r="AQP13" s="826"/>
      <c r="AQQ13" s="826"/>
      <c r="AQR13" s="826"/>
      <c r="AQS13" s="826"/>
      <c r="AQT13" s="826"/>
      <c r="AQU13" s="826"/>
      <c r="AQV13" s="826"/>
      <c r="AQW13" s="826"/>
      <c r="AQX13" s="826"/>
      <c r="AQY13" s="826"/>
      <c r="AQZ13" s="826"/>
      <c r="ARA13" s="826"/>
      <c r="ARB13" s="826"/>
      <c r="ARC13" s="826"/>
      <c r="ARD13" s="826"/>
      <c r="ARE13" s="826"/>
      <c r="ARF13" s="826"/>
      <c r="ARG13" s="826"/>
      <c r="ARH13" s="826"/>
      <c r="ARI13" s="826"/>
      <c r="ARJ13" s="826"/>
      <c r="ARK13" s="826"/>
      <c r="ARL13" s="826"/>
      <c r="ARM13" s="826"/>
      <c r="ARN13" s="826"/>
      <c r="ARO13" s="826"/>
      <c r="ARP13" s="826"/>
      <c r="ARQ13" s="826"/>
      <c r="ARR13" s="826"/>
      <c r="ARS13" s="826"/>
      <c r="ART13" s="826"/>
      <c r="ARU13" s="826"/>
      <c r="ARV13" s="826"/>
      <c r="ARW13" s="826"/>
      <c r="ARX13" s="826"/>
      <c r="ARY13" s="826"/>
      <c r="ARZ13" s="826"/>
      <c r="ASA13" s="826"/>
      <c r="ASB13" s="826"/>
      <c r="ASC13" s="826"/>
      <c r="ASD13" s="826"/>
      <c r="ASE13" s="826"/>
      <c r="ASF13" s="826"/>
      <c r="ASG13" s="826"/>
      <c r="ASH13" s="826"/>
      <c r="ASI13" s="826"/>
      <c r="ASJ13" s="826"/>
      <c r="ASK13" s="826"/>
      <c r="ASL13" s="826"/>
      <c r="ASM13" s="826"/>
      <c r="ASN13" s="826"/>
      <c r="ASO13" s="826"/>
      <c r="ASP13" s="826"/>
      <c r="ASQ13" s="826"/>
      <c r="ASR13" s="826"/>
      <c r="ASS13" s="826"/>
      <c r="AST13" s="826"/>
      <c r="ASU13" s="826"/>
      <c r="ASV13" s="826"/>
      <c r="ASW13" s="826"/>
      <c r="ASX13" s="826"/>
      <c r="ASY13" s="826"/>
      <c r="ASZ13" s="826"/>
      <c r="ATA13" s="826"/>
      <c r="ATB13" s="826"/>
      <c r="ATC13" s="826"/>
      <c r="ATD13" s="826"/>
      <c r="ATE13" s="826"/>
      <c r="ATF13" s="826"/>
      <c r="ATG13" s="826"/>
      <c r="ATH13" s="826"/>
      <c r="ATI13" s="826"/>
      <c r="ATJ13" s="826"/>
      <c r="ATK13" s="826"/>
      <c r="ATL13" s="826"/>
      <c r="ATM13" s="826"/>
      <c r="ATN13" s="826"/>
      <c r="ATO13" s="826"/>
      <c r="ATP13" s="826"/>
      <c r="ATQ13" s="826"/>
      <c r="ATR13" s="826"/>
      <c r="ATS13" s="826"/>
      <c r="ATT13" s="826"/>
      <c r="ATU13" s="826"/>
      <c r="ATV13" s="826"/>
      <c r="ATW13" s="826"/>
      <c r="ATX13" s="826"/>
      <c r="ATY13" s="826"/>
      <c r="ATZ13" s="826"/>
      <c r="AUA13" s="826"/>
      <c r="AUB13" s="826"/>
      <c r="AUC13" s="826"/>
      <c r="AUD13" s="826"/>
      <c r="AUE13" s="826"/>
      <c r="AUF13" s="826"/>
      <c r="AUG13" s="826"/>
      <c r="AUH13" s="826"/>
      <c r="AUI13" s="826"/>
      <c r="AUJ13" s="826"/>
      <c r="AUK13" s="826"/>
      <c r="AUL13" s="826"/>
      <c r="AUM13" s="826"/>
      <c r="AUN13" s="826"/>
      <c r="AUO13" s="826"/>
      <c r="AUP13" s="826"/>
      <c r="AUQ13" s="826"/>
      <c r="AUR13" s="826"/>
      <c r="AUS13" s="826"/>
      <c r="AUT13" s="826"/>
      <c r="AUU13" s="826"/>
      <c r="AUV13" s="826"/>
      <c r="AUW13" s="826"/>
      <c r="AUX13" s="826"/>
      <c r="AUY13" s="826"/>
      <c r="AUZ13" s="826"/>
      <c r="AVA13" s="826"/>
      <c r="AVB13" s="826"/>
      <c r="AVC13" s="826"/>
      <c r="AVD13" s="826"/>
      <c r="AVE13" s="826"/>
      <c r="AVF13" s="826"/>
      <c r="AVG13" s="826"/>
      <c r="AVH13" s="826"/>
      <c r="AVI13" s="826"/>
      <c r="AVJ13" s="826"/>
      <c r="AVK13" s="826"/>
      <c r="AVL13" s="826"/>
      <c r="AVM13" s="826"/>
      <c r="AVN13" s="826"/>
      <c r="AVO13" s="826"/>
      <c r="AVP13" s="826"/>
      <c r="AVQ13" s="826"/>
      <c r="AVR13" s="826"/>
      <c r="AVS13" s="826"/>
      <c r="AVT13" s="826"/>
      <c r="AVU13" s="826"/>
      <c r="AVV13" s="826"/>
      <c r="AVW13" s="826"/>
      <c r="AVX13" s="826"/>
      <c r="AVY13" s="826"/>
      <c r="AVZ13" s="826"/>
      <c r="AWA13" s="826"/>
      <c r="AWB13" s="826"/>
      <c r="AWC13" s="826"/>
      <c r="AWD13" s="826"/>
      <c r="AWE13" s="826"/>
      <c r="AWF13" s="826"/>
      <c r="AWG13" s="826"/>
      <c r="AWH13" s="826"/>
      <c r="AWI13" s="826"/>
      <c r="AWJ13" s="826"/>
      <c r="AWK13" s="826"/>
      <c r="AWL13" s="826"/>
      <c r="AWM13" s="826"/>
      <c r="AWN13" s="826"/>
      <c r="AWO13" s="826"/>
      <c r="AWP13" s="826"/>
      <c r="AWQ13" s="826"/>
      <c r="AWR13" s="826"/>
      <c r="AWS13" s="826"/>
      <c r="AWT13" s="826"/>
      <c r="AWU13" s="826"/>
      <c r="AWV13" s="826"/>
      <c r="AWW13" s="826"/>
      <c r="AWX13" s="826"/>
      <c r="AWY13" s="826"/>
      <c r="AWZ13" s="826"/>
      <c r="AXA13" s="826"/>
      <c r="AXB13" s="826"/>
      <c r="AXC13" s="826"/>
      <c r="AXD13" s="826"/>
      <c r="AXE13" s="826"/>
      <c r="AXF13" s="826"/>
      <c r="AXG13" s="826"/>
      <c r="AXH13" s="826"/>
      <c r="AXI13" s="826"/>
      <c r="AXJ13" s="826"/>
      <c r="AXK13" s="826"/>
      <c r="AXL13" s="826"/>
      <c r="AXM13" s="826"/>
      <c r="AXN13" s="826"/>
      <c r="AXO13" s="826"/>
      <c r="AXP13" s="826"/>
      <c r="AXQ13" s="826"/>
      <c r="AXR13" s="826"/>
      <c r="AXS13" s="826"/>
      <c r="AXT13" s="826"/>
      <c r="AXU13" s="826"/>
      <c r="AXV13" s="826"/>
      <c r="AXW13" s="826"/>
      <c r="AXX13" s="826"/>
      <c r="AXY13" s="826"/>
      <c r="AXZ13" s="826"/>
      <c r="AYA13" s="826"/>
      <c r="AYB13" s="826"/>
      <c r="AYC13" s="826"/>
      <c r="AYD13" s="826"/>
      <c r="AYE13" s="826"/>
      <c r="AYF13" s="826"/>
      <c r="AYG13" s="826"/>
      <c r="AYH13" s="826"/>
      <c r="AYI13" s="826"/>
      <c r="AYJ13" s="826"/>
      <c r="AYK13" s="826"/>
      <c r="AYL13" s="826"/>
      <c r="AYM13" s="826"/>
      <c r="AYN13" s="826"/>
      <c r="AYO13" s="826"/>
      <c r="AYP13" s="826"/>
      <c r="AYQ13" s="826"/>
      <c r="AYR13" s="826"/>
      <c r="AYS13" s="826"/>
      <c r="AYT13" s="826"/>
      <c r="AYU13" s="826"/>
      <c r="AYV13" s="826"/>
      <c r="AYW13" s="826"/>
      <c r="AYX13" s="826"/>
      <c r="AYY13" s="826"/>
      <c r="AYZ13" s="826"/>
      <c r="AZA13" s="826"/>
      <c r="AZB13" s="826"/>
      <c r="AZC13" s="826"/>
      <c r="AZD13" s="826"/>
      <c r="AZE13" s="826"/>
      <c r="AZF13" s="826"/>
      <c r="AZG13" s="826"/>
      <c r="AZH13" s="826"/>
      <c r="AZI13" s="826"/>
      <c r="AZJ13" s="826"/>
      <c r="AZK13" s="826"/>
      <c r="AZL13" s="826"/>
      <c r="AZM13" s="826"/>
      <c r="AZN13" s="826"/>
      <c r="AZO13" s="826"/>
      <c r="AZP13" s="826"/>
      <c r="AZQ13" s="826"/>
      <c r="AZR13" s="826"/>
      <c r="AZS13" s="826"/>
      <c r="AZT13" s="826"/>
      <c r="AZU13" s="826"/>
      <c r="AZV13" s="826"/>
      <c r="AZW13" s="826"/>
      <c r="AZX13" s="826"/>
      <c r="AZY13" s="826"/>
      <c r="AZZ13" s="826"/>
      <c r="BAA13" s="826"/>
      <c r="BAB13" s="826"/>
      <c r="BAC13" s="826"/>
      <c r="BAD13" s="826"/>
      <c r="BAE13" s="826"/>
      <c r="BAF13" s="826"/>
      <c r="BAG13" s="826"/>
      <c r="BAH13" s="826"/>
      <c r="BAI13" s="826"/>
      <c r="BAJ13" s="826"/>
      <c r="BAK13" s="826"/>
      <c r="BAL13" s="826"/>
      <c r="BAM13" s="826"/>
      <c r="BAN13" s="826"/>
      <c r="BAO13" s="826"/>
      <c r="BAP13" s="826"/>
      <c r="BAQ13" s="826"/>
      <c r="BAR13" s="826"/>
      <c r="BAS13" s="826"/>
      <c r="BAT13" s="826"/>
      <c r="BAU13" s="826"/>
      <c r="BAV13" s="826"/>
      <c r="BAW13" s="826"/>
      <c r="BAX13" s="826"/>
      <c r="BAY13" s="826"/>
      <c r="BAZ13" s="826"/>
      <c r="BBA13" s="826"/>
      <c r="BBB13" s="826"/>
      <c r="BBC13" s="826"/>
      <c r="BBD13" s="826"/>
      <c r="BBE13" s="826"/>
      <c r="BBF13" s="826"/>
      <c r="BBG13" s="826"/>
      <c r="BBH13" s="826"/>
      <c r="BBI13" s="826"/>
      <c r="BBJ13" s="826"/>
      <c r="BBK13" s="826"/>
      <c r="BBL13" s="826"/>
      <c r="BBM13" s="826"/>
      <c r="BBN13" s="826"/>
      <c r="BBO13" s="826"/>
      <c r="BBP13" s="826"/>
      <c r="BBQ13" s="826"/>
      <c r="BBR13" s="826"/>
      <c r="BBS13" s="826"/>
      <c r="BBT13" s="826"/>
      <c r="BBU13" s="826"/>
      <c r="BBV13" s="826"/>
      <c r="BBW13" s="826"/>
      <c r="BBX13" s="826"/>
      <c r="BBY13" s="826"/>
      <c r="BBZ13" s="826"/>
      <c r="BCA13" s="826"/>
      <c r="BCB13" s="826"/>
      <c r="BCC13" s="826"/>
      <c r="BCD13" s="826"/>
      <c r="BCE13" s="826"/>
      <c r="BCF13" s="826"/>
      <c r="BCG13" s="826"/>
      <c r="BCH13" s="826"/>
      <c r="BCI13" s="826"/>
      <c r="BCJ13" s="826"/>
      <c r="BCK13" s="826"/>
      <c r="BCL13" s="826"/>
      <c r="BCM13" s="826"/>
      <c r="BCN13" s="826"/>
      <c r="BCO13" s="826"/>
      <c r="BCP13" s="826"/>
      <c r="BCQ13" s="826"/>
      <c r="BCR13" s="826"/>
      <c r="BCS13" s="826"/>
      <c r="BCT13" s="826"/>
      <c r="BCU13" s="826"/>
      <c r="BCV13" s="826"/>
      <c r="BCW13" s="826"/>
      <c r="BCX13" s="826"/>
      <c r="BCY13" s="826"/>
      <c r="BCZ13" s="826"/>
      <c r="BDA13" s="826"/>
      <c r="BDB13" s="826"/>
      <c r="BDC13" s="826"/>
      <c r="BDD13" s="826"/>
      <c r="BDE13" s="826"/>
      <c r="BDF13" s="826"/>
      <c r="BDG13" s="826"/>
      <c r="BDH13" s="826"/>
      <c r="BDI13" s="826"/>
      <c r="BDJ13" s="826"/>
      <c r="BDK13" s="826"/>
      <c r="BDL13" s="826"/>
      <c r="BDM13" s="826"/>
      <c r="BDN13" s="826"/>
      <c r="BDO13" s="826"/>
      <c r="BDP13" s="826"/>
      <c r="BDQ13" s="826"/>
      <c r="BDR13" s="826"/>
      <c r="BDS13" s="826"/>
      <c r="BDT13" s="826"/>
      <c r="BDU13" s="826"/>
      <c r="BDV13" s="826"/>
      <c r="BDW13" s="826"/>
      <c r="BDX13" s="826"/>
      <c r="BDY13" s="826"/>
      <c r="BDZ13" s="826"/>
      <c r="BEA13" s="826"/>
      <c r="BEB13" s="826"/>
      <c r="BEC13" s="826"/>
      <c r="BED13" s="826"/>
      <c r="BEE13" s="826"/>
      <c r="BEF13" s="826"/>
      <c r="BEG13" s="826"/>
      <c r="BEH13" s="826"/>
      <c r="BEI13" s="826"/>
      <c r="BEJ13" s="826"/>
      <c r="BEK13" s="826"/>
      <c r="BEL13" s="826"/>
      <c r="BEM13" s="826"/>
      <c r="BEN13" s="826"/>
      <c r="BEO13" s="826"/>
      <c r="BEP13" s="826"/>
      <c r="BEQ13" s="826"/>
      <c r="BER13" s="826"/>
      <c r="BES13" s="826"/>
      <c r="BET13" s="826"/>
      <c r="BEU13" s="826"/>
      <c r="BEV13" s="826"/>
      <c r="BEW13" s="826"/>
      <c r="BEX13" s="826"/>
      <c r="BEY13" s="826"/>
      <c r="BEZ13" s="826"/>
      <c r="BFA13" s="826"/>
      <c r="BFB13" s="826"/>
      <c r="BFC13" s="826"/>
      <c r="BFD13" s="826"/>
      <c r="BFE13" s="826"/>
      <c r="BFF13" s="826"/>
      <c r="BFG13" s="826"/>
      <c r="BFH13" s="826"/>
      <c r="BFI13" s="826"/>
      <c r="BFJ13" s="826"/>
      <c r="BFK13" s="826"/>
      <c r="BFL13" s="826"/>
      <c r="BFM13" s="826"/>
      <c r="BFN13" s="826"/>
      <c r="BFO13" s="826"/>
      <c r="BFP13" s="826"/>
      <c r="BFQ13" s="826"/>
      <c r="BFR13" s="826"/>
      <c r="BFS13" s="826"/>
      <c r="BFT13" s="826"/>
      <c r="BFU13" s="826"/>
      <c r="BFV13" s="826"/>
      <c r="BFW13" s="826"/>
      <c r="BFX13" s="826"/>
      <c r="BFY13" s="826"/>
      <c r="BFZ13" s="826"/>
      <c r="BGA13" s="826"/>
      <c r="BGB13" s="826"/>
      <c r="BGC13" s="826"/>
      <c r="BGD13" s="826"/>
      <c r="BGE13" s="826"/>
      <c r="BGF13" s="826"/>
      <c r="BGG13" s="826"/>
      <c r="BGH13" s="826"/>
      <c r="BGI13" s="826"/>
      <c r="BGJ13" s="826"/>
      <c r="BGK13" s="826"/>
      <c r="BGL13" s="826"/>
      <c r="BGM13" s="826"/>
      <c r="BGN13" s="826"/>
      <c r="BGO13" s="826"/>
      <c r="BGP13" s="826"/>
      <c r="BGQ13" s="826"/>
      <c r="BGR13" s="826"/>
      <c r="BGS13" s="826"/>
      <c r="BGT13" s="826"/>
      <c r="BGU13" s="826"/>
      <c r="BGV13" s="826"/>
      <c r="BGW13" s="826"/>
      <c r="BGX13" s="826"/>
      <c r="BGY13" s="826"/>
      <c r="BGZ13" s="826"/>
      <c r="BHA13" s="826"/>
      <c r="BHB13" s="826"/>
      <c r="BHC13" s="826"/>
      <c r="BHD13" s="826"/>
      <c r="BHE13" s="826"/>
      <c r="BHF13" s="826"/>
      <c r="BHG13" s="826"/>
      <c r="BHH13" s="826"/>
      <c r="BHI13" s="826"/>
      <c r="BHJ13" s="826"/>
      <c r="BHK13" s="826"/>
      <c r="BHL13" s="826"/>
      <c r="BHM13" s="826"/>
      <c r="BHN13" s="826"/>
      <c r="BHO13" s="826"/>
      <c r="BHP13" s="826"/>
      <c r="BHQ13" s="826"/>
      <c r="BHR13" s="826"/>
      <c r="BHS13" s="826"/>
      <c r="BHT13" s="826"/>
      <c r="BHU13" s="826"/>
      <c r="BHV13" s="826"/>
      <c r="BHW13" s="826"/>
      <c r="BHX13" s="826"/>
      <c r="BHY13" s="826"/>
      <c r="BHZ13" s="826"/>
      <c r="BIA13" s="826"/>
      <c r="BIB13" s="826"/>
      <c r="BIC13" s="826"/>
      <c r="BID13" s="826"/>
      <c r="BIE13" s="826"/>
      <c r="BIF13" s="826"/>
      <c r="BIG13" s="826"/>
      <c r="BIH13" s="826"/>
      <c r="BII13" s="826"/>
      <c r="BIJ13" s="826"/>
      <c r="BIK13" s="826"/>
      <c r="BIL13" s="826"/>
      <c r="BIM13" s="826"/>
      <c r="BIN13" s="826"/>
      <c r="BIO13" s="826"/>
      <c r="BIP13" s="826"/>
      <c r="BIQ13" s="826"/>
      <c r="BIR13" s="826"/>
      <c r="BIS13" s="826"/>
      <c r="BIT13" s="826"/>
      <c r="BIU13" s="826"/>
      <c r="BIV13" s="826"/>
      <c r="BIW13" s="826"/>
      <c r="BIX13" s="826"/>
      <c r="BIY13" s="826"/>
      <c r="BIZ13" s="826"/>
      <c r="BJA13" s="826"/>
      <c r="BJB13" s="826"/>
      <c r="BJC13" s="826"/>
      <c r="BJD13" s="826"/>
      <c r="BJE13" s="826"/>
      <c r="BJF13" s="826"/>
      <c r="BJG13" s="826"/>
      <c r="BJH13" s="826"/>
      <c r="BJI13" s="826"/>
      <c r="BJJ13" s="826"/>
      <c r="BJK13" s="826"/>
      <c r="BJL13" s="826"/>
      <c r="BJM13" s="826"/>
      <c r="BJN13" s="826"/>
      <c r="BJO13" s="826"/>
      <c r="BJP13" s="826"/>
      <c r="BJQ13" s="826"/>
      <c r="BJR13" s="826"/>
      <c r="BJS13" s="826"/>
      <c r="BJT13" s="826"/>
      <c r="BJU13" s="826"/>
      <c r="BJV13" s="826"/>
      <c r="BJW13" s="826"/>
      <c r="BJX13" s="826"/>
      <c r="BJY13" s="826"/>
      <c r="BJZ13" s="826"/>
      <c r="BKA13" s="826"/>
      <c r="BKB13" s="826"/>
      <c r="BKC13" s="826"/>
      <c r="BKD13" s="826"/>
      <c r="BKE13" s="826"/>
      <c r="BKF13" s="826"/>
      <c r="BKG13" s="826"/>
      <c r="BKH13" s="826"/>
      <c r="BKI13" s="826"/>
      <c r="BKJ13" s="826"/>
      <c r="BKK13" s="826"/>
      <c r="BKL13" s="826"/>
      <c r="BKM13" s="826"/>
      <c r="BKN13" s="826"/>
      <c r="BKO13" s="826"/>
      <c r="BKP13" s="826"/>
      <c r="BKQ13" s="826"/>
      <c r="BKR13" s="826"/>
      <c r="BKS13" s="826"/>
      <c r="BKT13" s="826"/>
      <c r="BKU13" s="826"/>
      <c r="BKV13" s="826"/>
      <c r="BKW13" s="826"/>
      <c r="BKX13" s="826"/>
      <c r="BKY13" s="826"/>
      <c r="BKZ13" s="826"/>
      <c r="BLA13" s="826"/>
      <c r="BLB13" s="826"/>
      <c r="BLC13" s="826"/>
      <c r="BLD13" s="826"/>
      <c r="BLE13" s="826"/>
      <c r="BLF13" s="826"/>
      <c r="BLG13" s="826"/>
      <c r="BLH13" s="826"/>
      <c r="BLI13" s="826"/>
      <c r="BLJ13" s="826"/>
      <c r="BLK13" s="826"/>
      <c r="BLL13" s="826"/>
      <c r="BLM13" s="826"/>
      <c r="BLN13" s="826"/>
      <c r="BLO13" s="826"/>
      <c r="BLP13" s="826"/>
      <c r="BLQ13" s="826"/>
      <c r="BLR13" s="826"/>
      <c r="BLS13" s="826"/>
      <c r="BLT13" s="826"/>
      <c r="BLU13" s="826"/>
      <c r="BLV13" s="826"/>
      <c r="BLW13" s="826"/>
      <c r="BLX13" s="826"/>
      <c r="BLY13" s="826"/>
      <c r="BLZ13" s="826"/>
      <c r="BMA13" s="826"/>
      <c r="BMB13" s="826"/>
      <c r="BMC13" s="826"/>
      <c r="BMD13" s="826"/>
      <c r="BME13" s="826"/>
      <c r="BMF13" s="826"/>
      <c r="BMG13" s="826"/>
      <c r="BMH13" s="826"/>
      <c r="BMI13" s="826"/>
      <c r="BMJ13" s="826"/>
      <c r="BMK13" s="826"/>
      <c r="BML13" s="826"/>
      <c r="BMM13" s="826"/>
      <c r="BMN13" s="826"/>
      <c r="BMO13" s="826"/>
      <c r="BMP13" s="826"/>
      <c r="BMQ13" s="826"/>
      <c r="BMR13" s="826"/>
      <c r="BMS13" s="826"/>
      <c r="BMT13" s="826"/>
      <c r="BMU13" s="826"/>
      <c r="BMV13" s="826"/>
      <c r="BMW13" s="826"/>
      <c r="BMX13" s="826"/>
      <c r="BMY13" s="826"/>
      <c r="BMZ13" s="826"/>
      <c r="BNA13" s="826"/>
      <c r="BNB13" s="826"/>
      <c r="BNC13" s="826"/>
      <c r="BND13" s="826"/>
      <c r="BNE13" s="826"/>
      <c r="BNF13" s="826"/>
      <c r="BNG13" s="826"/>
      <c r="BNH13" s="826"/>
      <c r="BNI13" s="826"/>
      <c r="BNJ13" s="826"/>
      <c r="BNK13" s="826"/>
      <c r="BNL13" s="826"/>
      <c r="BNM13" s="826"/>
      <c r="BNN13" s="826"/>
      <c r="BNO13" s="826"/>
      <c r="BNP13" s="826"/>
      <c r="BNQ13" s="826"/>
      <c r="BNR13" s="826"/>
      <c r="BNS13" s="826"/>
      <c r="BNT13" s="826"/>
      <c r="BNU13" s="826"/>
      <c r="BNV13" s="826"/>
      <c r="BNW13" s="826"/>
      <c r="BNX13" s="826"/>
      <c r="BNY13" s="826"/>
      <c r="BNZ13" s="826"/>
      <c r="BOA13" s="826"/>
      <c r="BOB13" s="826"/>
      <c r="BOC13" s="826"/>
      <c r="BOD13" s="826"/>
      <c r="BOE13" s="826"/>
      <c r="BOF13" s="826"/>
      <c r="BOG13" s="826"/>
      <c r="BOH13" s="826"/>
      <c r="BOI13" s="826"/>
      <c r="BOJ13" s="826"/>
      <c r="BOK13" s="826"/>
      <c r="BOL13" s="826"/>
      <c r="BOM13" s="826"/>
      <c r="BON13" s="826"/>
      <c r="BOO13" s="826"/>
      <c r="BOP13" s="826"/>
      <c r="BOQ13" s="826"/>
      <c r="BOR13" s="826"/>
      <c r="BOS13" s="826"/>
      <c r="BOT13" s="826"/>
      <c r="BOU13" s="826"/>
      <c r="BOV13" s="826"/>
      <c r="BOW13" s="826"/>
      <c r="BOX13" s="826"/>
      <c r="BOY13" s="826"/>
      <c r="BOZ13" s="826"/>
      <c r="BPA13" s="826"/>
      <c r="BPB13" s="826"/>
      <c r="BPC13" s="826"/>
      <c r="BPD13" s="826"/>
      <c r="BPE13" s="826"/>
      <c r="BPF13" s="826"/>
      <c r="BPG13" s="826"/>
      <c r="BPH13" s="826"/>
      <c r="BPI13" s="826"/>
      <c r="BPJ13" s="826"/>
      <c r="BPK13" s="826"/>
      <c r="BPL13" s="826"/>
      <c r="BPM13" s="826"/>
      <c r="BPN13" s="826"/>
      <c r="BPO13" s="826"/>
      <c r="BPP13" s="826"/>
      <c r="BPQ13" s="826"/>
      <c r="BPR13" s="826"/>
      <c r="BPS13" s="826"/>
      <c r="BPT13" s="826"/>
      <c r="BPU13" s="826"/>
      <c r="BPV13" s="826"/>
      <c r="BPW13" s="826"/>
      <c r="BPX13" s="826"/>
      <c r="BPY13" s="826"/>
      <c r="BPZ13" s="826"/>
      <c r="BQA13" s="826"/>
      <c r="BQB13" s="826"/>
      <c r="BQC13" s="826"/>
      <c r="BQD13" s="826"/>
      <c r="BQE13" s="826"/>
      <c r="BQF13" s="826"/>
      <c r="BQG13" s="826"/>
      <c r="BQH13" s="826"/>
      <c r="BQI13" s="826"/>
      <c r="BQJ13" s="826"/>
      <c r="BQK13" s="826"/>
      <c r="BQL13" s="826"/>
      <c r="BQM13" s="826"/>
      <c r="BQN13" s="826"/>
      <c r="BQO13" s="826"/>
      <c r="BQP13" s="826"/>
      <c r="BQQ13" s="826"/>
      <c r="BQR13" s="826"/>
      <c r="BQS13" s="826"/>
      <c r="BQT13" s="826"/>
      <c r="BQU13" s="826"/>
      <c r="BQV13" s="826"/>
      <c r="BQW13" s="826"/>
      <c r="BQX13" s="826"/>
      <c r="BQY13" s="826"/>
      <c r="BQZ13" s="826"/>
      <c r="BRA13" s="826"/>
      <c r="BRB13" s="826"/>
      <c r="BRC13" s="826"/>
      <c r="BRD13" s="826"/>
      <c r="BRE13" s="826"/>
      <c r="BRF13" s="826"/>
      <c r="BRG13" s="826"/>
      <c r="BRH13" s="826"/>
      <c r="BRI13" s="826"/>
      <c r="BRJ13" s="826"/>
      <c r="BRK13" s="826"/>
      <c r="BRL13" s="826"/>
      <c r="BRM13" s="826"/>
      <c r="BRN13" s="826"/>
      <c r="BRO13" s="826"/>
      <c r="BRP13" s="826"/>
      <c r="BRQ13" s="826"/>
      <c r="BRR13" s="826"/>
      <c r="BRS13" s="826"/>
      <c r="BRT13" s="826"/>
      <c r="BRU13" s="826"/>
      <c r="BRV13" s="826"/>
      <c r="BRW13" s="826"/>
      <c r="BRX13" s="826"/>
      <c r="BRY13" s="826"/>
      <c r="BRZ13" s="826"/>
      <c r="BSA13" s="826"/>
      <c r="BSB13" s="826"/>
      <c r="BSC13" s="826"/>
      <c r="BSD13" s="826"/>
      <c r="BSE13" s="826"/>
      <c r="BSF13" s="826"/>
      <c r="BSG13" s="826"/>
      <c r="BSH13" s="826"/>
      <c r="BSI13" s="826"/>
      <c r="BSJ13" s="826"/>
      <c r="BSK13" s="826"/>
      <c r="BSL13" s="826"/>
      <c r="BSM13" s="826"/>
      <c r="BSN13" s="826"/>
      <c r="BSO13" s="826"/>
      <c r="BSP13" s="826"/>
      <c r="BSQ13" s="826"/>
      <c r="BSR13" s="826"/>
      <c r="BSS13" s="826"/>
      <c r="BST13" s="826"/>
    </row>
    <row r="14" spans="1:1866" s="828" customFormat="1" ht="21.9" customHeight="1" x14ac:dyDescent="0.25">
      <c r="A14" s="834"/>
      <c r="B14" s="3164" t="s">
        <v>838</v>
      </c>
      <c r="C14" s="3165"/>
      <c r="D14" s="1474">
        <f>SUM(D7:D13)</f>
        <v>0</v>
      </c>
      <c r="E14" s="1475">
        <f t="shared" ref="E14:V14" si="26">SUM(E7:E12)</f>
        <v>0</v>
      </c>
      <c r="F14" s="1475">
        <f t="shared" si="26"/>
        <v>0</v>
      </c>
      <c r="G14" s="1475">
        <f t="shared" si="26"/>
        <v>0</v>
      </c>
      <c r="H14" s="1475">
        <f t="shared" si="26"/>
        <v>0</v>
      </c>
      <c r="I14" s="1475">
        <f t="shared" si="26"/>
        <v>0</v>
      </c>
      <c r="J14" s="1475">
        <f t="shared" si="26"/>
        <v>0</v>
      </c>
      <c r="K14" s="1475">
        <f t="shared" si="26"/>
        <v>0</v>
      </c>
      <c r="L14" s="1475">
        <f t="shared" si="26"/>
        <v>0</v>
      </c>
      <c r="M14" s="1475">
        <f t="shared" si="26"/>
        <v>0</v>
      </c>
      <c r="N14" s="1475">
        <f t="shared" si="26"/>
        <v>0</v>
      </c>
      <c r="O14" s="1475">
        <f t="shared" si="26"/>
        <v>0</v>
      </c>
      <c r="P14" s="1475">
        <f t="shared" si="26"/>
        <v>0</v>
      </c>
      <c r="Q14" s="1475">
        <f t="shared" si="26"/>
        <v>0</v>
      </c>
      <c r="R14" s="1475">
        <f t="shared" si="26"/>
        <v>0</v>
      </c>
      <c r="S14" s="1475">
        <f t="shared" si="26"/>
        <v>0</v>
      </c>
      <c r="T14" s="1475">
        <f t="shared" si="26"/>
        <v>0</v>
      </c>
      <c r="U14" s="1475">
        <f t="shared" si="26"/>
        <v>0</v>
      </c>
      <c r="V14" s="1476">
        <f t="shared" si="26"/>
        <v>0</v>
      </c>
      <c r="W14" s="834"/>
      <c r="X14" s="874">
        <f>SUM(X7:X13)</f>
        <v>0</v>
      </c>
      <c r="Y14" s="874">
        <f>SUM(Y7:Y13)</f>
        <v>0</v>
      </c>
      <c r="Z14" s="874">
        <f>SUM(Z7:Z13)</f>
        <v>0</v>
      </c>
      <c r="AA14" s="1455">
        <f>SUM(X14:Z14)</f>
        <v>0</v>
      </c>
      <c r="AB14" s="1443" t="str">
        <f>IF(AC14=0," ","Ecart :")</f>
        <v xml:space="preserve"> </v>
      </c>
      <c r="AC14" s="1444">
        <f>AA14-X6</f>
        <v>0</v>
      </c>
      <c r="AD14" s="834"/>
      <c r="AE14" s="834"/>
      <c r="AF14" s="834"/>
      <c r="AG14" s="834"/>
      <c r="AH14" s="834"/>
      <c r="AI14" s="834"/>
      <c r="AJ14" s="834"/>
      <c r="AK14" s="834"/>
      <c r="AL14" s="834"/>
      <c r="AM14" s="834"/>
      <c r="AN14" s="834"/>
      <c r="AO14" s="834"/>
      <c r="AP14" s="834"/>
      <c r="AQ14" s="834"/>
      <c r="AR14" s="834"/>
      <c r="AS14" s="834"/>
      <c r="AT14" s="834"/>
      <c r="AU14" s="834"/>
      <c r="AV14" s="834"/>
      <c r="AW14" s="834"/>
      <c r="AX14" s="834"/>
      <c r="AY14" s="834"/>
      <c r="AZ14" s="834"/>
      <c r="BA14" s="834"/>
      <c r="BB14" s="834"/>
      <c r="BC14" s="834"/>
      <c r="BD14" s="834"/>
      <c r="BE14" s="834"/>
      <c r="BF14" s="834"/>
      <c r="BG14" s="834"/>
      <c r="BH14" s="834"/>
      <c r="BI14" s="834"/>
      <c r="BJ14" s="834"/>
      <c r="BK14" s="834"/>
      <c r="BL14" s="834"/>
      <c r="BM14" s="834"/>
      <c r="BN14" s="834"/>
      <c r="BO14" s="834"/>
      <c r="BP14" s="834"/>
      <c r="BQ14" s="834"/>
      <c r="BR14" s="834"/>
      <c r="BS14" s="834"/>
      <c r="BT14" s="834"/>
      <c r="BU14" s="834"/>
      <c r="BV14" s="834"/>
      <c r="BW14" s="834"/>
      <c r="BX14" s="834"/>
      <c r="BY14" s="834"/>
      <c r="BZ14" s="834"/>
      <c r="CA14" s="834"/>
      <c r="CB14" s="834"/>
      <c r="CC14" s="834"/>
      <c r="CD14" s="834"/>
      <c r="CE14" s="834"/>
      <c r="CF14" s="834"/>
      <c r="CG14" s="834"/>
      <c r="CH14" s="834"/>
      <c r="CI14" s="834"/>
      <c r="CJ14" s="834"/>
      <c r="CK14" s="834"/>
      <c r="CL14" s="834"/>
      <c r="CM14" s="834"/>
      <c r="CN14" s="834"/>
      <c r="CO14" s="834"/>
      <c r="CP14" s="834"/>
      <c r="CQ14" s="834"/>
      <c r="CR14" s="834"/>
      <c r="CS14" s="834"/>
      <c r="CT14" s="834"/>
      <c r="CU14" s="834"/>
      <c r="CV14" s="834"/>
      <c r="CW14" s="834"/>
      <c r="CX14" s="834"/>
      <c r="CY14" s="834"/>
      <c r="CZ14" s="834"/>
      <c r="DA14" s="834"/>
      <c r="DB14" s="834"/>
      <c r="DC14" s="834"/>
      <c r="DD14" s="834"/>
      <c r="DE14" s="834"/>
      <c r="DF14" s="834"/>
      <c r="DG14" s="834"/>
      <c r="DH14" s="834"/>
      <c r="DI14" s="834"/>
      <c r="DJ14" s="834"/>
      <c r="DK14" s="834"/>
      <c r="DL14" s="834"/>
      <c r="DM14" s="834"/>
      <c r="DN14" s="834"/>
      <c r="DO14" s="834"/>
      <c r="DP14" s="834"/>
      <c r="DQ14" s="834"/>
      <c r="DR14" s="834"/>
      <c r="DS14" s="834"/>
      <c r="DT14" s="834"/>
      <c r="DU14" s="834"/>
      <c r="DV14" s="834"/>
      <c r="DW14" s="834"/>
      <c r="DX14" s="834"/>
      <c r="DY14" s="834"/>
      <c r="DZ14" s="834"/>
      <c r="EA14" s="834"/>
      <c r="EB14" s="834"/>
      <c r="EC14" s="834"/>
      <c r="ED14" s="834"/>
      <c r="EE14" s="834"/>
      <c r="EF14" s="834"/>
      <c r="EG14" s="834"/>
      <c r="EH14" s="834"/>
      <c r="EI14" s="834"/>
      <c r="EJ14" s="834"/>
      <c r="EK14" s="834"/>
      <c r="EL14" s="834"/>
      <c r="EM14" s="834"/>
      <c r="EN14" s="834"/>
      <c r="EO14" s="834"/>
      <c r="EP14" s="834"/>
      <c r="EQ14" s="834"/>
      <c r="ER14" s="834"/>
      <c r="ES14" s="834"/>
      <c r="ET14" s="834"/>
      <c r="EU14" s="834"/>
      <c r="EV14" s="834"/>
      <c r="EW14" s="834"/>
      <c r="EX14" s="834"/>
      <c r="EY14" s="834"/>
      <c r="EZ14" s="834"/>
      <c r="FA14" s="834"/>
      <c r="FB14" s="834"/>
      <c r="FC14" s="834"/>
      <c r="FD14" s="834"/>
      <c r="FE14" s="834"/>
      <c r="FF14" s="834"/>
      <c r="FG14" s="834"/>
      <c r="FH14" s="834"/>
      <c r="FI14" s="834"/>
      <c r="FJ14" s="834"/>
      <c r="FK14" s="834"/>
      <c r="FL14" s="834"/>
      <c r="FM14" s="834"/>
      <c r="FN14" s="834"/>
      <c r="FO14" s="834"/>
      <c r="FP14" s="834"/>
      <c r="FQ14" s="834"/>
      <c r="FR14" s="834"/>
      <c r="FS14" s="834"/>
      <c r="FT14" s="834"/>
      <c r="FU14" s="834"/>
      <c r="FV14" s="834"/>
      <c r="FW14" s="834"/>
      <c r="FX14" s="834"/>
      <c r="FY14" s="834"/>
      <c r="FZ14" s="834"/>
      <c r="GA14" s="834"/>
      <c r="GB14" s="834"/>
      <c r="GC14" s="834"/>
      <c r="GD14" s="834"/>
      <c r="GE14" s="834"/>
      <c r="GF14" s="834"/>
      <c r="GG14" s="834"/>
      <c r="GH14" s="834"/>
      <c r="GI14" s="834"/>
      <c r="GJ14" s="834"/>
      <c r="GK14" s="834"/>
      <c r="GL14" s="834"/>
      <c r="GM14" s="834"/>
      <c r="GN14" s="834"/>
      <c r="GO14" s="834"/>
      <c r="GP14" s="834"/>
      <c r="GQ14" s="834"/>
      <c r="GR14" s="834"/>
      <c r="GS14" s="834"/>
      <c r="GT14" s="834"/>
      <c r="GU14" s="834"/>
      <c r="GV14" s="834"/>
      <c r="GW14" s="834"/>
      <c r="GX14" s="834"/>
      <c r="GY14" s="834"/>
      <c r="GZ14" s="834"/>
      <c r="HA14" s="834"/>
      <c r="HB14" s="834"/>
      <c r="HC14" s="834"/>
      <c r="HD14" s="834"/>
      <c r="HE14" s="834"/>
      <c r="HF14" s="834"/>
      <c r="HG14" s="834"/>
      <c r="HH14" s="834"/>
      <c r="HI14" s="834"/>
      <c r="HJ14" s="834"/>
      <c r="HK14" s="834"/>
      <c r="HL14" s="834"/>
      <c r="HM14" s="834"/>
      <c r="HN14" s="834"/>
      <c r="HO14" s="834"/>
      <c r="HP14" s="834"/>
      <c r="HQ14" s="834"/>
      <c r="HR14" s="834"/>
      <c r="HS14" s="834"/>
      <c r="HT14" s="834"/>
      <c r="HU14" s="834"/>
      <c r="HV14" s="834"/>
      <c r="HW14" s="834"/>
      <c r="HX14" s="834"/>
      <c r="HY14" s="834"/>
      <c r="HZ14" s="834"/>
      <c r="IA14" s="834"/>
      <c r="IB14" s="834"/>
      <c r="IC14" s="834"/>
      <c r="ID14" s="834"/>
      <c r="IE14" s="834"/>
      <c r="IF14" s="834"/>
      <c r="IG14" s="834"/>
      <c r="IH14" s="834"/>
      <c r="II14" s="834"/>
      <c r="IJ14" s="834"/>
      <c r="IK14" s="834"/>
      <c r="IL14" s="834"/>
      <c r="IM14" s="834"/>
      <c r="IN14" s="834"/>
      <c r="IO14" s="834"/>
      <c r="IP14" s="834"/>
      <c r="IQ14" s="834"/>
      <c r="IR14" s="834"/>
      <c r="IS14" s="834"/>
      <c r="IT14" s="834"/>
      <c r="IU14" s="834"/>
      <c r="IV14" s="834"/>
      <c r="IW14" s="834"/>
      <c r="IX14" s="834"/>
      <c r="IY14" s="834"/>
      <c r="IZ14" s="834"/>
      <c r="JA14" s="834"/>
      <c r="JB14" s="834"/>
      <c r="JC14" s="834"/>
      <c r="JD14" s="834"/>
      <c r="JE14" s="834"/>
      <c r="JF14" s="834"/>
      <c r="JG14" s="834"/>
      <c r="JH14" s="834"/>
      <c r="JI14" s="834"/>
      <c r="JJ14" s="834"/>
      <c r="JK14" s="834"/>
      <c r="JL14" s="834"/>
      <c r="JM14" s="834"/>
      <c r="JN14" s="834"/>
      <c r="JO14" s="834"/>
      <c r="JP14" s="834"/>
      <c r="JQ14" s="834"/>
      <c r="JR14" s="834"/>
      <c r="JS14" s="834"/>
      <c r="JT14" s="834"/>
      <c r="JU14" s="834"/>
      <c r="JV14" s="834"/>
      <c r="JW14" s="834"/>
      <c r="JX14" s="834"/>
      <c r="JY14" s="834"/>
      <c r="JZ14" s="834"/>
      <c r="KA14" s="834"/>
      <c r="KB14" s="834"/>
      <c r="KC14" s="834"/>
      <c r="KD14" s="834"/>
      <c r="KE14" s="834"/>
      <c r="KF14" s="834"/>
      <c r="KG14" s="834"/>
      <c r="KH14" s="834"/>
      <c r="KI14" s="834"/>
      <c r="KJ14" s="834"/>
      <c r="KK14" s="834"/>
      <c r="KL14" s="834"/>
      <c r="KM14" s="834"/>
      <c r="KN14" s="834"/>
      <c r="KO14" s="834"/>
      <c r="KP14" s="834"/>
      <c r="KQ14" s="834"/>
      <c r="KR14" s="834"/>
      <c r="KS14" s="834"/>
      <c r="KT14" s="834"/>
      <c r="KU14" s="834"/>
      <c r="KV14" s="834"/>
      <c r="KW14" s="834"/>
      <c r="KX14" s="834"/>
      <c r="KY14" s="834"/>
      <c r="KZ14" s="834"/>
      <c r="LA14" s="834"/>
      <c r="LB14" s="834"/>
      <c r="LC14" s="834"/>
      <c r="LD14" s="834"/>
      <c r="LE14" s="834"/>
      <c r="LF14" s="834"/>
      <c r="LG14" s="834"/>
      <c r="LH14" s="834"/>
      <c r="LI14" s="834"/>
      <c r="LJ14" s="834"/>
      <c r="LK14" s="834"/>
      <c r="LL14" s="834"/>
      <c r="LM14" s="834"/>
      <c r="LN14" s="834"/>
      <c r="LO14" s="834"/>
      <c r="LP14" s="834"/>
      <c r="LQ14" s="834"/>
      <c r="LR14" s="834"/>
      <c r="LS14" s="834"/>
      <c r="LT14" s="834"/>
      <c r="LU14" s="834"/>
      <c r="LV14" s="834"/>
      <c r="LW14" s="834"/>
      <c r="LX14" s="834"/>
      <c r="LY14" s="834"/>
      <c r="LZ14" s="834"/>
      <c r="MA14" s="834"/>
      <c r="MB14" s="834"/>
      <c r="MC14" s="834"/>
      <c r="MD14" s="834"/>
      <c r="ME14" s="834"/>
      <c r="MF14" s="834"/>
      <c r="MG14" s="834"/>
      <c r="MH14" s="834"/>
      <c r="MI14" s="834"/>
      <c r="MJ14" s="834"/>
      <c r="MK14" s="834"/>
      <c r="ML14" s="834"/>
      <c r="MM14" s="834"/>
      <c r="MN14" s="834"/>
      <c r="MO14" s="834"/>
      <c r="MP14" s="834"/>
      <c r="MQ14" s="834"/>
      <c r="MR14" s="834"/>
      <c r="MS14" s="834"/>
      <c r="MT14" s="834"/>
      <c r="MU14" s="834"/>
      <c r="MV14" s="834"/>
      <c r="MW14" s="834"/>
      <c r="MX14" s="834"/>
      <c r="MY14" s="834"/>
      <c r="MZ14" s="834"/>
      <c r="NA14" s="834"/>
      <c r="NB14" s="834"/>
      <c r="NC14" s="834"/>
      <c r="ND14" s="834"/>
      <c r="NE14" s="834"/>
      <c r="NF14" s="834"/>
      <c r="NG14" s="834"/>
      <c r="NH14" s="834"/>
      <c r="NI14" s="834"/>
      <c r="NJ14" s="834"/>
      <c r="NK14" s="834"/>
      <c r="NL14" s="834"/>
      <c r="NM14" s="834"/>
      <c r="NN14" s="834"/>
      <c r="NO14" s="834"/>
      <c r="NP14" s="834"/>
      <c r="NQ14" s="834"/>
      <c r="NR14" s="834"/>
      <c r="NS14" s="834"/>
      <c r="NT14" s="834"/>
      <c r="NU14" s="834"/>
      <c r="NV14" s="834"/>
      <c r="NW14" s="834"/>
      <c r="NX14" s="834"/>
      <c r="NY14" s="834"/>
      <c r="NZ14" s="834"/>
      <c r="OA14" s="834"/>
      <c r="OB14" s="834"/>
      <c r="OC14" s="834"/>
      <c r="OD14" s="834"/>
      <c r="OE14" s="834"/>
      <c r="OF14" s="834"/>
      <c r="OG14" s="834"/>
      <c r="OH14" s="834"/>
      <c r="OI14" s="834"/>
      <c r="OJ14" s="834"/>
      <c r="OK14" s="834"/>
      <c r="OL14" s="834"/>
      <c r="OM14" s="834"/>
      <c r="ON14" s="834"/>
      <c r="OO14" s="834"/>
      <c r="OP14" s="834"/>
      <c r="OQ14" s="834"/>
      <c r="OR14" s="834"/>
      <c r="OS14" s="834"/>
      <c r="OT14" s="834"/>
      <c r="OU14" s="834"/>
      <c r="OV14" s="834"/>
      <c r="OW14" s="834"/>
      <c r="OX14" s="834"/>
      <c r="OY14" s="834"/>
      <c r="OZ14" s="834"/>
      <c r="PA14" s="834"/>
      <c r="PB14" s="834"/>
      <c r="PC14" s="834"/>
      <c r="PD14" s="834"/>
      <c r="PE14" s="834"/>
      <c r="PF14" s="834"/>
      <c r="PG14" s="834"/>
      <c r="PH14" s="834"/>
      <c r="PI14" s="834"/>
      <c r="PJ14" s="834"/>
      <c r="PK14" s="834"/>
      <c r="PL14" s="834"/>
      <c r="PM14" s="834"/>
      <c r="PN14" s="834"/>
      <c r="PO14" s="834"/>
      <c r="PP14" s="834"/>
      <c r="PQ14" s="834"/>
      <c r="PR14" s="834"/>
      <c r="PS14" s="834"/>
      <c r="PT14" s="834"/>
      <c r="PU14" s="834"/>
      <c r="PV14" s="834"/>
      <c r="PW14" s="834"/>
      <c r="PX14" s="834"/>
      <c r="PY14" s="834"/>
      <c r="PZ14" s="834"/>
      <c r="QA14" s="834"/>
      <c r="QB14" s="834"/>
      <c r="QC14" s="834"/>
      <c r="QD14" s="834"/>
      <c r="QE14" s="834"/>
      <c r="QF14" s="834"/>
      <c r="QG14" s="834"/>
      <c r="QH14" s="834"/>
      <c r="QI14" s="834"/>
      <c r="QJ14" s="834"/>
      <c r="QK14" s="834"/>
      <c r="QL14" s="834"/>
      <c r="QM14" s="834"/>
      <c r="QN14" s="834"/>
      <c r="QO14" s="834"/>
      <c r="QP14" s="834"/>
      <c r="QQ14" s="834"/>
      <c r="QR14" s="834"/>
      <c r="QS14" s="834"/>
      <c r="QT14" s="834"/>
      <c r="QU14" s="834"/>
      <c r="QV14" s="834"/>
      <c r="QW14" s="834"/>
      <c r="QX14" s="834"/>
      <c r="QY14" s="834"/>
      <c r="QZ14" s="834"/>
      <c r="RA14" s="834"/>
      <c r="RB14" s="834"/>
      <c r="RC14" s="834"/>
      <c r="RD14" s="834"/>
      <c r="RE14" s="834"/>
      <c r="RF14" s="834"/>
      <c r="RG14" s="834"/>
      <c r="RH14" s="834"/>
      <c r="RI14" s="834"/>
      <c r="RJ14" s="834"/>
      <c r="RK14" s="834"/>
      <c r="RL14" s="834"/>
      <c r="RM14" s="834"/>
      <c r="RN14" s="834"/>
      <c r="RO14" s="834"/>
      <c r="RP14" s="834"/>
      <c r="RQ14" s="834"/>
      <c r="RR14" s="834"/>
      <c r="RS14" s="834"/>
      <c r="RT14" s="834"/>
      <c r="RU14" s="834"/>
      <c r="RV14" s="834"/>
      <c r="RW14" s="834"/>
      <c r="RX14" s="834"/>
      <c r="RY14" s="834"/>
      <c r="RZ14" s="834"/>
      <c r="SA14" s="834"/>
      <c r="SB14" s="834"/>
      <c r="SC14" s="834"/>
      <c r="SD14" s="834"/>
      <c r="SE14" s="834"/>
      <c r="SF14" s="834"/>
      <c r="SG14" s="834"/>
      <c r="SH14" s="834"/>
      <c r="SI14" s="834"/>
      <c r="SJ14" s="834"/>
      <c r="SK14" s="834"/>
      <c r="SL14" s="834"/>
      <c r="SM14" s="834"/>
      <c r="SN14" s="834"/>
      <c r="SO14" s="834"/>
      <c r="SP14" s="834"/>
      <c r="SQ14" s="834"/>
      <c r="SR14" s="834"/>
      <c r="SS14" s="834"/>
      <c r="ST14" s="834"/>
      <c r="SU14" s="834"/>
      <c r="SV14" s="834"/>
      <c r="SW14" s="834"/>
      <c r="SX14" s="834"/>
      <c r="SY14" s="834"/>
      <c r="SZ14" s="834"/>
      <c r="TA14" s="834"/>
      <c r="TB14" s="834"/>
      <c r="TC14" s="834"/>
      <c r="TD14" s="834"/>
      <c r="TE14" s="834"/>
      <c r="TF14" s="834"/>
      <c r="TG14" s="834"/>
      <c r="TH14" s="834"/>
      <c r="TI14" s="834"/>
      <c r="TJ14" s="834"/>
      <c r="TK14" s="834"/>
      <c r="TL14" s="834"/>
      <c r="TM14" s="834"/>
      <c r="TN14" s="834"/>
      <c r="TO14" s="834"/>
      <c r="TP14" s="834"/>
      <c r="TQ14" s="834"/>
      <c r="TR14" s="834"/>
      <c r="TS14" s="834"/>
      <c r="TT14" s="834"/>
      <c r="TU14" s="834"/>
      <c r="TV14" s="834"/>
      <c r="TW14" s="834"/>
      <c r="TX14" s="834"/>
      <c r="TY14" s="834"/>
      <c r="TZ14" s="834"/>
      <c r="UA14" s="834"/>
      <c r="UB14" s="834"/>
      <c r="UC14" s="834"/>
      <c r="UD14" s="834"/>
      <c r="UE14" s="834"/>
      <c r="UF14" s="834"/>
      <c r="UG14" s="834"/>
      <c r="UH14" s="834"/>
      <c r="UI14" s="834"/>
      <c r="UJ14" s="834"/>
      <c r="UK14" s="834"/>
      <c r="UL14" s="834"/>
      <c r="UM14" s="834"/>
      <c r="UN14" s="834"/>
      <c r="UO14" s="834"/>
      <c r="UP14" s="834"/>
      <c r="UQ14" s="834"/>
      <c r="UR14" s="834"/>
      <c r="US14" s="834"/>
      <c r="UT14" s="834"/>
      <c r="UU14" s="834"/>
      <c r="UV14" s="834"/>
      <c r="UW14" s="834"/>
      <c r="UX14" s="834"/>
      <c r="UY14" s="834"/>
      <c r="UZ14" s="834"/>
      <c r="VA14" s="834"/>
      <c r="VB14" s="834"/>
      <c r="VC14" s="834"/>
      <c r="VD14" s="834"/>
      <c r="VE14" s="834"/>
      <c r="VF14" s="834"/>
      <c r="VG14" s="834"/>
      <c r="VH14" s="834"/>
      <c r="VI14" s="834"/>
      <c r="VJ14" s="834"/>
      <c r="VK14" s="834"/>
      <c r="VL14" s="834"/>
      <c r="VM14" s="834"/>
      <c r="VN14" s="834"/>
      <c r="VO14" s="834"/>
      <c r="VP14" s="834"/>
      <c r="VQ14" s="834"/>
      <c r="VR14" s="834"/>
      <c r="VS14" s="834"/>
      <c r="VT14" s="834"/>
      <c r="VU14" s="834"/>
      <c r="VV14" s="834"/>
      <c r="VW14" s="834"/>
      <c r="VX14" s="834"/>
      <c r="VY14" s="834"/>
      <c r="VZ14" s="834"/>
      <c r="WA14" s="834"/>
      <c r="WB14" s="834"/>
      <c r="WC14" s="834"/>
      <c r="WD14" s="834"/>
      <c r="WE14" s="834"/>
      <c r="WF14" s="834"/>
      <c r="WG14" s="834"/>
      <c r="WH14" s="834"/>
      <c r="WI14" s="834"/>
      <c r="WJ14" s="834"/>
      <c r="WK14" s="834"/>
      <c r="WL14" s="834"/>
      <c r="WM14" s="834"/>
      <c r="WN14" s="834"/>
      <c r="WO14" s="834"/>
      <c r="WP14" s="834"/>
      <c r="WQ14" s="834"/>
      <c r="WR14" s="834"/>
      <c r="WS14" s="834"/>
      <c r="WT14" s="834"/>
      <c r="WU14" s="834"/>
      <c r="WV14" s="834"/>
      <c r="WW14" s="834"/>
      <c r="WX14" s="834"/>
      <c r="WY14" s="834"/>
      <c r="WZ14" s="834"/>
      <c r="XA14" s="834"/>
      <c r="XB14" s="834"/>
      <c r="XC14" s="834"/>
      <c r="XD14" s="834"/>
      <c r="XE14" s="834"/>
      <c r="XF14" s="834"/>
      <c r="XG14" s="834"/>
      <c r="XH14" s="834"/>
      <c r="XI14" s="834"/>
      <c r="XJ14" s="834"/>
      <c r="XK14" s="834"/>
      <c r="XL14" s="834"/>
      <c r="XM14" s="834"/>
      <c r="XN14" s="834"/>
      <c r="XO14" s="834"/>
      <c r="XP14" s="834"/>
      <c r="XQ14" s="834"/>
      <c r="XR14" s="834"/>
      <c r="XS14" s="834"/>
      <c r="XT14" s="834"/>
      <c r="XU14" s="834"/>
      <c r="XV14" s="834"/>
      <c r="XW14" s="834"/>
      <c r="XX14" s="834"/>
      <c r="XY14" s="834"/>
      <c r="XZ14" s="834"/>
      <c r="YA14" s="834"/>
      <c r="YB14" s="834"/>
      <c r="YC14" s="834"/>
      <c r="YD14" s="834"/>
      <c r="YE14" s="834"/>
      <c r="YF14" s="834"/>
      <c r="YG14" s="834"/>
      <c r="YH14" s="834"/>
      <c r="YI14" s="834"/>
      <c r="YJ14" s="834"/>
      <c r="YK14" s="834"/>
      <c r="YL14" s="834"/>
      <c r="YM14" s="834"/>
      <c r="YN14" s="834"/>
      <c r="YO14" s="834"/>
      <c r="YP14" s="834"/>
      <c r="YQ14" s="834"/>
      <c r="YR14" s="834"/>
      <c r="YS14" s="834"/>
      <c r="YT14" s="834"/>
      <c r="YU14" s="834"/>
      <c r="YV14" s="834"/>
      <c r="YW14" s="834"/>
      <c r="YX14" s="834"/>
      <c r="YY14" s="834"/>
      <c r="YZ14" s="834"/>
      <c r="ZA14" s="834"/>
      <c r="ZB14" s="834"/>
      <c r="ZC14" s="834"/>
      <c r="ZD14" s="834"/>
      <c r="ZE14" s="834"/>
      <c r="ZF14" s="834"/>
      <c r="ZG14" s="834"/>
      <c r="ZH14" s="834"/>
      <c r="ZI14" s="834"/>
      <c r="ZJ14" s="834"/>
      <c r="ZK14" s="834"/>
      <c r="ZL14" s="834"/>
      <c r="ZM14" s="834"/>
      <c r="ZN14" s="834"/>
      <c r="ZO14" s="834"/>
      <c r="ZP14" s="834"/>
      <c r="ZQ14" s="834"/>
      <c r="ZR14" s="834"/>
      <c r="ZS14" s="834"/>
      <c r="ZT14" s="834"/>
      <c r="ZU14" s="834"/>
      <c r="ZV14" s="834"/>
      <c r="ZW14" s="834"/>
      <c r="ZX14" s="834"/>
      <c r="ZY14" s="834"/>
      <c r="ZZ14" s="834"/>
      <c r="AAA14" s="834"/>
      <c r="AAB14" s="834"/>
      <c r="AAC14" s="834"/>
      <c r="AAD14" s="834"/>
      <c r="AAE14" s="834"/>
      <c r="AAF14" s="834"/>
      <c r="AAG14" s="834"/>
      <c r="AAH14" s="834"/>
      <c r="AAI14" s="834"/>
      <c r="AAJ14" s="834"/>
      <c r="AAK14" s="834"/>
      <c r="AAL14" s="834"/>
      <c r="AAM14" s="834"/>
      <c r="AAN14" s="834"/>
      <c r="AAO14" s="834"/>
      <c r="AAP14" s="834"/>
      <c r="AAQ14" s="834"/>
      <c r="AAR14" s="834"/>
      <c r="AAS14" s="834"/>
      <c r="AAT14" s="834"/>
      <c r="AAU14" s="834"/>
      <c r="AAV14" s="834"/>
      <c r="AAW14" s="834"/>
      <c r="AAX14" s="834"/>
      <c r="AAY14" s="834"/>
      <c r="AAZ14" s="834"/>
      <c r="ABA14" s="834"/>
      <c r="ABB14" s="834"/>
      <c r="ABC14" s="834"/>
      <c r="ABD14" s="834"/>
      <c r="ABE14" s="834"/>
      <c r="ABF14" s="834"/>
      <c r="ABG14" s="834"/>
      <c r="ABH14" s="834"/>
      <c r="ABI14" s="834"/>
      <c r="ABJ14" s="834"/>
      <c r="ABK14" s="834"/>
      <c r="ABL14" s="834"/>
      <c r="ABM14" s="834"/>
      <c r="ABN14" s="834"/>
      <c r="ABO14" s="834"/>
      <c r="ABP14" s="834"/>
      <c r="ABQ14" s="834"/>
      <c r="ABR14" s="834"/>
      <c r="ABS14" s="834"/>
      <c r="ABT14" s="834"/>
      <c r="ABU14" s="834"/>
      <c r="ABV14" s="834"/>
      <c r="ABW14" s="834"/>
      <c r="ABX14" s="834"/>
      <c r="ABY14" s="834"/>
      <c r="ABZ14" s="834"/>
      <c r="ACA14" s="834"/>
      <c r="ACB14" s="834"/>
      <c r="ACC14" s="834"/>
      <c r="ACD14" s="834"/>
      <c r="ACE14" s="834"/>
      <c r="ACF14" s="834"/>
      <c r="ACG14" s="834"/>
      <c r="ACH14" s="834"/>
      <c r="ACI14" s="834"/>
      <c r="ACJ14" s="834"/>
      <c r="ACK14" s="834"/>
      <c r="ACL14" s="834"/>
      <c r="ACM14" s="834"/>
      <c r="ACN14" s="834"/>
      <c r="ACO14" s="834"/>
      <c r="ACP14" s="834"/>
      <c r="ACQ14" s="834"/>
      <c r="ACR14" s="834"/>
      <c r="ACS14" s="834"/>
      <c r="ACT14" s="834"/>
      <c r="ACU14" s="834"/>
      <c r="ACV14" s="834"/>
      <c r="ACW14" s="834"/>
      <c r="ACX14" s="834"/>
      <c r="ACY14" s="834"/>
      <c r="ACZ14" s="834"/>
      <c r="ADA14" s="834"/>
      <c r="ADB14" s="834"/>
      <c r="ADC14" s="834"/>
      <c r="ADD14" s="834"/>
      <c r="ADE14" s="834"/>
      <c r="ADF14" s="834"/>
      <c r="ADG14" s="834"/>
      <c r="ADH14" s="834"/>
      <c r="ADI14" s="834"/>
      <c r="ADJ14" s="834"/>
      <c r="ADK14" s="834"/>
      <c r="ADL14" s="834"/>
      <c r="ADM14" s="834"/>
      <c r="ADN14" s="834"/>
      <c r="ADO14" s="834"/>
      <c r="ADP14" s="834"/>
      <c r="ADQ14" s="834"/>
      <c r="ADR14" s="834"/>
      <c r="ADS14" s="834"/>
      <c r="ADT14" s="834"/>
      <c r="ADU14" s="834"/>
      <c r="ADV14" s="834"/>
      <c r="ADW14" s="834"/>
      <c r="ADX14" s="834"/>
      <c r="ADY14" s="834"/>
      <c r="ADZ14" s="834"/>
      <c r="AEA14" s="834"/>
      <c r="AEB14" s="834"/>
      <c r="AEC14" s="834"/>
      <c r="AED14" s="834"/>
      <c r="AEE14" s="834"/>
      <c r="AEF14" s="834"/>
      <c r="AEG14" s="834"/>
      <c r="AEH14" s="834"/>
      <c r="AEI14" s="834"/>
      <c r="AEJ14" s="834"/>
      <c r="AEK14" s="834"/>
      <c r="AEL14" s="834"/>
      <c r="AEM14" s="834"/>
      <c r="AEN14" s="834"/>
      <c r="AEO14" s="834"/>
      <c r="AEP14" s="834"/>
      <c r="AEQ14" s="834"/>
      <c r="AER14" s="834"/>
      <c r="AES14" s="834"/>
      <c r="AET14" s="834"/>
      <c r="AEU14" s="834"/>
      <c r="AEV14" s="834"/>
      <c r="AEW14" s="834"/>
      <c r="AEX14" s="834"/>
      <c r="AEY14" s="834"/>
      <c r="AEZ14" s="834"/>
      <c r="AFA14" s="834"/>
      <c r="AFB14" s="834"/>
      <c r="AFC14" s="834"/>
      <c r="AFD14" s="834"/>
      <c r="AFE14" s="834"/>
      <c r="AFF14" s="834"/>
      <c r="AFG14" s="834"/>
      <c r="AFH14" s="834"/>
      <c r="AFI14" s="834"/>
      <c r="AFJ14" s="834"/>
      <c r="AFK14" s="834"/>
      <c r="AFL14" s="834"/>
      <c r="AFM14" s="834"/>
      <c r="AFN14" s="834"/>
      <c r="AFO14" s="834"/>
      <c r="AFP14" s="834"/>
      <c r="AFQ14" s="834"/>
      <c r="AFR14" s="834"/>
      <c r="AFS14" s="834"/>
      <c r="AFT14" s="834"/>
      <c r="AFU14" s="834"/>
      <c r="AFV14" s="834"/>
      <c r="AFW14" s="834"/>
      <c r="AFX14" s="834"/>
      <c r="AFY14" s="834"/>
      <c r="AFZ14" s="834"/>
      <c r="AGA14" s="834"/>
      <c r="AGB14" s="834"/>
      <c r="AGC14" s="834"/>
      <c r="AGD14" s="834"/>
      <c r="AGE14" s="834"/>
      <c r="AGF14" s="834"/>
      <c r="AGG14" s="834"/>
      <c r="AGH14" s="834"/>
      <c r="AGI14" s="834"/>
      <c r="AGJ14" s="834"/>
      <c r="AGK14" s="834"/>
      <c r="AGL14" s="834"/>
      <c r="AGM14" s="834"/>
      <c r="AGN14" s="834"/>
      <c r="AGO14" s="834"/>
      <c r="AGP14" s="834"/>
      <c r="AGQ14" s="834"/>
      <c r="AGR14" s="834"/>
      <c r="AGS14" s="834"/>
      <c r="AGT14" s="834"/>
      <c r="AGU14" s="834"/>
      <c r="AGV14" s="834"/>
      <c r="AGW14" s="834"/>
      <c r="AGX14" s="834"/>
      <c r="AGY14" s="834"/>
      <c r="AGZ14" s="834"/>
      <c r="AHA14" s="834"/>
      <c r="AHB14" s="834"/>
      <c r="AHC14" s="834"/>
      <c r="AHD14" s="834"/>
      <c r="AHE14" s="834"/>
      <c r="AHF14" s="834"/>
      <c r="AHG14" s="834"/>
      <c r="AHH14" s="834"/>
      <c r="AHI14" s="834"/>
      <c r="AHJ14" s="834"/>
      <c r="AHK14" s="834"/>
      <c r="AHL14" s="834"/>
      <c r="AHM14" s="834"/>
      <c r="AHN14" s="834"/>
      <c r="AHO14" s="834"/>
      <c r="AHP14" s="834"/>
      <c r="AHQ14" s="834"/>
      <c r="AHR14" s="834"/>
      <c r="AHS14" s="834"/>
      <c r="AHT14" s="834"/>
      <c r="AHU14" s="834"/>
      <c r="AHV14" s="834"/>
      <c r="AHW14" s="834"/>
      <c r="AHX14" s="834"/>
      <c r="AHY14" s="834"/>
      <c r="AHZ14" s="834"/>
      <c r="AIA14" s="834"/>
      <c r="AIB14" s="834"/>
      <c r="AIC14" s="834"/>
      <c r="AID14" s="834"/>
      <c r="AIE14" s="834"/>
      <c r="AIF14" s="834"/>
      <c r="AIG14" s="834"/>
      <c r="AIH14" s="834"/>
      <c r="AII14" s="834"/>
      <c r="AIJ14" s="834"/>
      <c r="AIK14" s="834"/>
      <c r="AIL14" s="834"/>
      <c r="AIM14" s="834"/>
      <c r="AIN14" s="834"/>
      <c r="AIO14" s="834"/>
      <c r="AIP14" s="834"/>
      <c r="AIQ14" s="834"/>
      <c r="AIR14" s="834"/>
      <c r="AIS14" s="834"/>
      <c r="AIT14" s="834"/>
      <c r="AIU14" s="834"/>
      <c r="AIV14" s="834"/>
      <c r="AIW14" s="834"/>
      <c r="AIX14" s="834"/>
      <c r="AIY14" s="834"/>
      <c r="AIZ14" s="834"/>
      <c r="AJA14" s="834"/>
      <c r="AJB14" s="834"/>
      <c r="AJC14" s="834"/>
      <c r="AJD14" s="834"/>
      <c r="AJE14" s="834"/>
      <c r="AJF14" s="834"/>
      <c r="AJG14" s="834"/>
      <c r="AJH14" s="834"/>
      <c r="AJI14" s="834"/>
      <c r="AJJ14" s="834"/>
      <c r="AJK14" s="834"/>
      <c r="AJL14" s="834"/>
      <c r="AJM14" s="834"/>
      <c r="AJN14" s="834"/>
      <c r="AJO14" s="834"/>
      <c r="AJP14" s="834"/>
      <c r="AJQ14" s="834"/>
      <c r="AJR14" s="834"/>
      <c r="AJS14" s="834"/>
      <c r="AJT14" s="834"/>
      <c r="AJU14" s="834"/>
      <c r="AJV14" s="834"/>
      <c r="AJW14" s="834"/>
      <c r="AJX14" s="834"/>
      <c r="AJY14" s="834"/>
      <c r="AJZ14" s="834"/>
      <c r="AKA14" s="834"/>
      <c r="AKB14" s="834"/>
      <c r="AKC14" s="834"/>
      <c r="AKD14" s="834"/>
      <c r="AKE14" s="834"/>
      <c r="AKF14" s="834"/>
      <c r="AKG14" s="834"/>
      <c r="AKH14" s="834"/>
      <c r="AKI14" s="834"/>
      <c r="AKJ14" s="834"/>
      <c r="AKK14" s="834"/>
      <c r="AKL14" s="834"/>
      <c r="AKM14" s="834"/>
      <c r="AKN14" s="834"/>
      <c r="AKO14" s="834"/>
      <c r="AKP14" s="834"/>
      <c r="AKQ14" s="834"/>
      <c r="AKR14" s="834"/>
      <c r="AKS14" s="834"/>
      <c r="AKT14" s="834"/>
      <c r="AKU14" s="834"/>
      <c r="AKV14" s="834"/>
      <c r="AKW14" s="834"/>
      <c r="AKX14" s="834"/>
      <c r="AKY14" s="834"/>
      <c r="AKZ14" s="834"/>
      <c r="ALA14" s="834"/>
      <c r="ALB14" s="834"/>
      <c r="ALC14" s="834"/>
      <c r="ALD14" s="834"/>
      <c r="ALE14" s="834"/>
      <c r="ALF14" s="834"/>
      <c r="ALG14" s="834"/>
      <c r="ALH14" s="834"/>
      <c r="ALI14" s="834"/>
      <c r="ALJ14" s="834"/>
      <c r="ALK14" s="834"/>
      <c r="ALL14" s="834"/>
      <c r="ALM14" s="834"/>
      <c r="ALN14" s="834"/>
      <c r="ALO14" s="834"/>
      <c r="ALP14" s="834"/>
      <c r="ALQ14" s="834"/>
      <c r="ALR14" s="834"/>
      <c r="ALS14" s="834"/>
      <c r="ALT14" s="834"/>
      <c r="ALU14" s="834"/>
      <c r="ALV14" s="834"/>
      <c r="ALW14" s="834"/>
      <c r="ALX14" s="834"/>
      <c r="ALY14" s="834"/>
      <c r="ALZ14" s="834"/>
      <c r="AMA14" s="834"/>
      <c r="AMB14" s="834"/>
      <c r="AMC14" s="834"/>
      <c r="AMD14" s="834"/>
      <c r="AME14" s="834"/>
      <c r="AMF14" s="834"/>
      <c r="AMG14" s="834"/>
      <c r="AMH14" s="834"/>
      <c r="AMI14" s="834"/>
      <c r="AMJ14" s="834"/>
      <c r="AMK14" s="834"/>
      <c r="AML14" s="834"/>
      <c r="AMM14" s="834"/>
      <c r="AMN14" s="834"/>
      <c r="AMO14" s="834"/>
      <c r="AMP14" s="834"/>
      <c r="AMQ14" s="834"/>
      <c r="AMR14" s="834"/>
      <c r="AMS14" s="834"/>
      <c r="AMT14" s="834"/>
      <c r="AMU14" s="834"/>
      <c r="AMV14" s="834"/>
      <c r="AMW14" s="834"/>
      <c r="AMX14" s="834"/>
      <c r="AMY14" s="834"/>
      <c r="AMZ14" s="834"/>
      <c r="ANA14" s="834"/>
      <c r="ANB14" s="834"/>
      <c r="ANC14" s="834"/>
      <c r="AND14" s="834"/>
      <c r="ANE14" s="834"/>
      <c r="ANF14" s="834"/>
      <c r="ANG14" s="834"/>
      <c r="ANH14" s="834"/>
      <c r="ANI14" s="834"/>
      <c r="ANJ14" s="834"/>
      <c r="ANK14" s="834"/>
      <c r="ANL14" s="834"/>
      <c r="ANM14" s="834"/>
      <c r="ANN14" s="834"/>
      <c r="ANO14" s="834"/>
      <c r="ANP14" s="834"/>
      <c r="ANQ14" s="834"/>
      <c r="ANR14" s="834"/>
      <c r="ANS14" s="834"/>
      <c r="ANT14" s="834"/>
      <c r="ANU14" s="834"/>
      <c r="ANV14" s="834"/>
      <c r="ANW14" s="834"/>
      <c r="ANX14" s="834"/>
      <c r="ANY14" s="834"/>
      <c r="ANZ14" s="834"/>
      <c r="AOA14" s="834"/>
      <c r="AOB14" s="834"/>
      <c r="AOC14" s="834"/>
      <c r="AOD14" s="834"/>
      <c r="AOE14" s="834"/>
      <c r="AOF14" s="834"/>
      <c r="AOG14" s="834"/>
      <c r="AOH14" s="834"/>
      <c r="AOI14" s="834"/>
      <c r="AOJ14" s="834"/>
      <c r="AOK14" s="834"/>
      <c r="AOL14" s="834"/>
      <c r="AOM14" s="834"/>
      <c r="AON14" s="834"/>
      <c r="AOO14" s="834"/>
      <c r="AOP14" s="834"/>
      <c r="AOQ14" s="834"/>
      <c r="AOR14" s="834"/>
      <c r="AOS14" s="834"/>
      <c r="AOT14" s="834"/>
      <c r="AOU14" s="834"/>
      <c r="AOV14" s="834"/>
      <c r="AOW14" s="834"/>
      <c r="AOX14" s="834"/>
      <c r="AOY14" s="834"/>
      <c r="AOZ14" s="834"/>
      <c r="APA14" s="834"/>
      <c r="APB14" s="834"/>
      <c r="APC14" s="834"/>
      <c r="APD14" s="834"/>
      <c r="APE14" s="834"/>
      <c r="APF14" s="834"/>
      <c r="APG14" s="834"/>
      <c r="APH14" s="834"/>
      <c r="API14" s="834"/>
      <c r="APJ14" s="834"/>
      <c r="APK14" s="834"/>
      <c r="APL14" s="834"/>
      <c r="APM14" s="834"/>
      <c r="APN14" s="834"/>
      <c r="APO14" s="834"/>
      <c r="APP14" s="834"/>
      <c r="APQ14" s="834"/>
      <c r="APR14" s="834"/>
      <c r="APS14" s="834"/>
      <c r="APT14" s="834"/>
      <c r="APU14" s="834"/>
      <c r="APV14" s="834"/>
      <c r="APW14" s="834"/>
      <c r="APX14" s="834"/>
      <c r="APY14" s="834"/>
      <c r="APZ14" s="834"/>
      <c r="AQA14" s="834"/>
      <c r="AQB14" s="834"/>
      <c r="AQC14" s="834"/>
      <c r="AQD14" s="834"/>
      <c r="AQE14" s="834"/>
      <c r="AQF14" s="834"/>
      <c r="AQG14" s="834"/>
      <c r="AQH14" s="834"/>
      <c r="AQI14" s="834"/>
      <c r="AQJ14" s="834"/>
      <c r="AQK14" s="834"/>
      <c r="AQL14" s="834"/>
      <c r="AQM14" s="834"/>
      <c r="AQN14" s="834"/>
      <c r="AQO14" s="834"/>
      <c r="AQP14" s="834"/>
      <c r="AQQ14" s="834"/>
      <c r="AQR14" s="834"/>
      <c r="AQS14" s="834"/>
      <c r="AQT14" s="834"/>
      <c r="AQU14" s="834"/>
      <c r="AQV14" s="834"/>
      <c r="AQW14" s="834"/>
      <c r="AQX14" s="834"/>
      <c r="AQY14" s="834"/>
      <c r="AQZ14" s="834"/>
      <c r="ARA14" s="834"/>
      <c r="ARB14" s="834"/>
      <c r="ARC14" s="834"/>
      <c r="ARD14" s="834"/>
      <c r="ARE14" s="834"/>
      <c r="ARF14" s="834"/>
      <c r="ARG14" s="834"/>
      <c r="ARH14" s="834"/>
      <c r="ARI14" s="834"/>
      <c r="ARJ14" s="834"/>
      <c r="ARK14" s="834"/>
      <c r="ARL14" s="834"/>
      <c r="ARM14" s="834"/>
      <c r="ARN14" s="834"/>
      <c r="ARO14" s="834"/>
      <c r="ARP14" s="834"/>
      <c r="ARQ14" s="834"/>
      <c r="ARR14" s="834"/>
      <c r="ARS14" s="834"/>
      <c r="ART14" s="834"/>
      <c r="ARU14" s="834"/>
      <c r="ARV14" s="834"/>
      <c r="ARW14" s="834"/>
      <c r="ARX14" s="834"/>
      <c r="ARY14" s="834"/>
      <c r="ARZ14" s="834"/>
      <c r="ASA14" s="834"/>
      <c r="ASB14" s="834"/>
      <c r="ASC14" s="834"/>
      <c r="ASD14" s="834"/>
      <c r="ASE14" s="834"/>
      <c r="ASF14" s="834"/>
      <c r="ASG14" s="834"/>
      <c r="ASH14" s="834"/>
      <c r="ASI14" s="834"/>
      <c r="ASJ14" s="834"/>
      <c r="ASK14" s="834"/>
      <c r="ASL14" s="834"/>
      <c r="ASM14" s="834"/>
      <c r="ASN14" s="834"/>
      <c r="ASO14" s="834"/>
      <c r="ASP14" s="834"/>
      <c r="ASQ14" s="834"/>
      <c r="ASR14" s="834"/>
      <c r="ASS14" s="834"/>
      <c r="AST14" s="834"/>
      <c r="ASU14" s="834"/>
      <c r="ASV14" s="834"/>
      <c r="ASW14" s="834"/>
      <c r="ASX14" s="834"/>
      <c r="ASY14" s="834"/>
      <c r="ASZ14" s="834"/>
      <c r="ATA14" s="834"/>
      <c r="ATB14" s="834"/>
      <c r="ATC14" s="834"/>
      <c r="ATD14" s="834"/>
      <c r="ATE14" s="834"/>
      <c r="ATF14" s="834"/>
      <c r="ATG14" s="834"/>
      <c r="ATH14" s="834"/>
      <c r="ATI14" s="834"/>
      <c r="ATJ14" s="834"/>
      <c r="ATK14" s="834"/>
      <c r="ATL14" s="834"/>
      <c r="ATM14" s="834"/>
      <c r="ATN14" s="834"/>
      <c r="ATO14" s="834"/>
      <c r="ATP14" s="834"/>
      <c r="ATQ14" s="834"/>
      <c r="ATR14" s="834"/>
      <c r="ATS14" s="834"/>
      <c r="ATT14" s="834"/>
      <c r="ATU14" s="834"/>
      <c r="ATV14" s="834"/>
      <c r="ATW14" s="834"/>
      <c r="ATX14" s="834"/>
      <c r="ATY14" s="834"/>
      <c r="ATZ14" s="834"/>
      <c r="AUA14" s="834"/>
      <c r="AUB14" s="834"/>
      <c r="AUC14" s="834"/>
      <c r="AUD14" s="834"/>
      <c r="AUE14" s="834"/>
      <c r="AUF14" s="834"/>
      <c r="AUG14" s="834"/>
      <c r="AUH14" s="834"/>
      <c r="AUI14" s="834"/>
      <c r="AUJ14" s="834"/>
      <c r="AUK14" s="834"/>
      <c r="AUL14" s="834"/>
      <c r="AUM14" s="834"/>
      <c r="AUN14" s="834"/>
      <c r="AUO14" s="834"/>
      <c r="AUP14" s="834"/>
      <c r="AUQ14" s="834"/>
      <c r="AUR14" s="834"/>
      <c r="AUS14" s="834"/>
      <c r="AUT14" s="834"/>
      <c r="AUU14" s="834"/>
      <c r="AUV14" s="834"/>
      <c r="AUW14" s="834"/>
      <c r="AUX14" s="834"/>
      <c r="AUY14" s="834"/>
      <c r="AUZ14" s="834"/>
      <c r="AVA14" s="834"/>
      <c r="AVB14" s="834"/>
      <c r="AVC14" s="834"/>
      <c r="AVD14" s="834"/>
      <c r="AVE14" s="834"/>
      <c r="AVF14" s="834"/>
      <c r="AVG14" s="834"/>
      <c r="AVH14" s="834"/>
      <c r="AVI14" s="834"/>
      <c r="AVJ14" s="834"/>
      <c r="AVK14" s="834"/>
      <c r="AVL14" s="834"/>
      <c r="AVM14" s="834"/>
      <c r="AVN14" s="834"/>
      <c r="AVO14" s="834"/>
      <c r="AVP14" s="834"/>
      <c r="AVQ14" s="834"/>
      <c r="AVR14" s="834"/>
      <c r="AVS14" s="834"/>
      <c r="AVT14" s="834"/>
      <c r="AVU14" s="834"/>
      <c r="AVV14" s="834"/>
      <c r="AVW14" s="834"/>
      <c r="AVX14" s="834"/>
      <c r="AVY14" s="834"/>
      <c r="AVZ14" s="834"/>
      <c r="AWA14" s="834"/>
      <c r="AWB14" s="834"/>
      <c r="AWC14" s="834"/>
      <c r="AWD14" s="834"/>
      <c r="AWE14" s="834"/>
      <c r="AWF14" s="834"/>
      <c r="AWG14" s="834"/>
      <c r="AWH14" s="834"/>
      <c r="AWI14" s="834"/>
      <c r="AWJ14" s="834"/>
      <c r="AWK14" s="834"/>
      <c r="AWL14" s="834"/>
      <c r="AWM14" s="834"/>
      <c r="AWN14" s="834"/>
      <c r="AWO14" s="834"/>
      <c r="AWP14" s="834"/>
      <c r="AWQ14" s="834"/>
      <c r="AWR14" s="834"/>
      <c r="AWS14" s="834"/>
      <c r="AWT14" s="834"/>
      <c r="AWU14" s="834"/>
      <c r="AWV14" s="834"/>
      <c r="AWW14" s="834"/>
      <c r="AWX14" s="834"/>
      <c r="AWY14" s="834"/>
      <c r="AWZ14" s="834"/>
      <c r="AXA14" s="834"/>
      <c r="AXB14" s="834"/>
      <c r="AXC14" s="834"/>
      <c r="AXD14" s="834"/>
      <c r="AXE14" s="834"/>
      <c r="AXF14" s="834"/>
      <c r="AXG14" s="834"/>
      <c r="AXH14" s="834"/>
      <c r="AXI14" s="834"/>
      <c r="AXJ14" s="834"/>
      <c r="AXK14" s="834"/>
      <c r="AXL14" s="834"/>
      <c r="AXM14" s="834"/>
      <c r="AXN14" s="834"/>
      <c r="AXO14" s="834"/>
      <c r="AXP14" s="834"/>
      <c r="AXQ14" s="834"/>
      <c r="AXR14" s="834"/>
      <c r="AXS14" s="834"/>
      <c r="AXT14" s="834"/>
      <c r="AXU14" s="834"/>
      <c r="AXV14" s="834"/>
      <c r="AXW14" s="834"/>
      <c r="AXX14" s="834"/>
      <c r="AXY14" s="834"/>
      <c r="AXZ14" s="834"/>
      <c r="AYA14" s="834"/>
      <c r="AYB14" s="834"/>
      <c r="AYC14" s="834"/>
      <c r="AYD14" s="834"/>
      <c r="AYE14" s="834"/>
      <c r="AYF14" s="834"/>
      <c r="AYG14" s="834"/>
      <c r="AYH14" s="834"/>
      <c r="AYI14" s="834"/>
      <c r="AYJ14" s="834"/>
      <c r="AYK14" s="834"/>
      <c r="AYL14" s="834"/>
      <c r="AYM14" s="834"/>
      <c r="AYN14" s="834"/>
      <c r="AYO14" s="834"/>
      <c r="AYP14" s="834"/>
      <c r="AYQ14" s="834"/>
      <c r="AYR14" s="834"/>
      <c r="AYS14" s="834"/>
      <c r="AYT14" s="834"/>
      <c r="AYU14" s="834"/>
      <c r="AYV14" s="834"/>
      <c r="AYW14" s="834"/>
      <c r="AYX14" s="834"/>
      <c r="AYY14" s="834"/>
      <c r="AYZ14" s="834"/>
      <c r="AZA14" s="834"/>
      <c r="AZB14" s="834"/>
      <c r="AZC14" s="834"/>
      <c r="AZD14" s="834"/>
      <c r="AZE14" s="834"/>
      <c r="AZF14" s="834"/>
      <c r="AZG14" s="834"/>
      <c r="AZH14" s="834"/>
      <c r="AZI14" s="834"/>
      <c r="AZJ14" s="834"/>
      <c r="AZK14" s="834"/>
      <c r="AZL14" s="834"/>
      <c r="AZM14" s="834"/>
      <c r="AZN14" s="834"/>
      <c r="AZO14" s="834"/>
      <c r="AZP14" s="834"/>
      <c r="AZQ14" s="834"/>
      <c r="AZR14" s="834"/>
      <c r="AZS14" s="834"/>
      <c r="AZT14" s="834"/>
      <c r="AZU14" s="834"/>
      <c r="AZV14" s="834"/>
      <c r="AZW14" s="834"/>
      <c r="AZX14" s="834"/>
      <c r="AZY14" s="834"/>
      <c r="AZZ14" s="834"/>
      <c r="BAA14" s="834"/>
      <c r="BAB14" s="834"/>
      <c r="BAC14" s="834"/>
      <c r="BAD14" s="834"/>
      <c r="BAE14" s="834"/>
      <c r="BAF14" s="834"/>
      <c r="BAG14" s="834"/>
      <c r="BAH14" s="834"/>
      <c r="BAI14" s="834"/>
      <c r="BAJ14" s="834"/>
      <c r="BAK14" s="834"/>
      <c r="BAL14" s="834"/>
      <c r="BAM14" s="834"/>
      <c r="BAN14" s="834"/>
      <c r="BAO14" s="834"/>
      <c r="BAP14" s="834"/>
      <c r="BAQ14" s="834"/>
      <c r="BAR14" s="834"/>
      <c r="BAS14" s="834"/>
      <c r="BAT14" s="834"/>
      <c r="BAU14" s="834"/>
      <c r="BAV14" s="834"/>
      <c r="BAW14" s="834"/>
      <c r="BAX14" s="834"/>
      <c r="BAY14" s="834"/>
      <c r="BAZ14" s="834"/>
      <c r="BBA14" s="834"/>
      <c r="BBB14" s="834"/>
      <c r="BBC14" s="834"/>
      <c r="BBD14" s="834"/>
      <c r="BBE14" s="834"/>
      <c r="BBF14" s="834"/>
      <c r="BBG14" s="834"/>
      <c r="BBH14" s="834"/>
      <c r="BBI14" s="834"/>
      <c r="BBJ14" s="834"/>
      <c r="BBK14" s="834"/>
      <c r="BBL14" s="834"/>
      <c r="BBM14" s="834"/>
      <c r="BBN14" s="834"/>
      <c r="BBO14" s="834"/>
      <c r="BBP14" s="834"/>
      <c r="BBQ14" s="834"/>
      <c r="BBR14" s="834"/>
      <c r="BBS14" s="834"/>
      <c r="BBT14" s="834"/>
      <c r="BBU14" s="834"/>
      <c r="BBV14" s="834"/>
      <c r="BBW14" s="834"/>
      <c r="BBX14" s="834"/>
      <c r="BBY14" s="834"/>
      <c r="BBZ14" s="834"/>
      <c r="BCA14" s="834"/>
      <c r="BCB14" s="834"/>
      <c r="BCC14" s="834"/>
      <c r="BCD14" s="834"/>
      <c r="BCE14" s="834"/>
      <c r="BCF14" s="834"/>
      <c r="BCG14" s="834"/>
      <c r="BCH14" s="834"/>
      <c r="BCI14" s="834"/>
      <c r="BCJ14" s="834"/>
      <c r="BCK14" s="834"/>
      <c r="BCL14" s="834"/>
      <c r="BCM14" s="834"/>
      <c r="BCN14" s="834"/>
      <c r="BCO14" s="834"/>
      <c r="BCP14" s="834"/>
      <c r="BCQ14" s="834"/>
      <c r="BCR14" s="834"/>
      <c r="BCS14" s="834"/>
      <c r="BCT14" s="834"/>
      <c r="BCU14" s="834"/>
      <c r="BCV14" s="834"/>
      <c r="BCW14" s="834"/>
      <c r="BCX14" s="834"/>
      <c r="BCY14" s="834"/>
      <c r="BCZ14" s="834"/>
      <c r="BDA14" s="834"/>
      <c r="BDB14" s="834"/>
      <c r="BDC14" s="834"/>
      <c r="BDD14" s="834"/>
      <c r="BDE14" s="834"/>
      <c r="BDF14" s="834"/>
      <c r="BDG14" s="834"/>
      <c r="BDH14" s="834"/>
      <c r="BDI14" s="834"/>
      <c r="BDJ14" s="834"/>
      <c r="BDK14" s="834"/>
      <c r="BDL14" s="834"/>
      <c r="BDM14" s="834"/>
      <c r="BDN14" s="834"/>
      <c r="BDO14" s="834"/>
      <c r="BDP14" s="834"/>
      <c r="BDQ14" s="834"/>
      <c r="BDR14" s="834"/>
      <c r="BDS14" s="834"/>
      <c r="BDT14" s="834"/>
      <c r="BDU14" s="834"/>
      <c r="BDV14" s="834"/>
      <c r="BDW14" s="834"/>
      <c r="BDX14" s="834"/>
      <c r="BDY14" s="834"/>
      <c r="BDZ14" s="834"/>
      <c r="BEA14" s="834"/>
      <c r="BEB14" s="834"/>
      <c r="BEC14" s="834"/>
      <c r="BED14" s="834"/>
      <c r="BEE14" s="834"/>
      <c r="BEF14" s="834"/>
      <c r="BEG14" s="834"/>
      <c r="BEH14" s="834"/>
      <c r="BEI14" s="834"/>
      <c r="BEJ14" s="834"/>
      <c r="BEK14" s="834"/>
      <c r="BEL14" s="834"/>
      <c r="BEM14" s="834"/>
      <c r="BEN14" s="834"/>
      <c r="BEO14" s="834"/>
      <c r="BEP14" s="834"/>
      <c r="BEQ14" s="834"/>
      <c r="BER14" s="834"/>
      <c r="BES14" s="834"/>
      <c r="BET14" s="834"/>
      <c r="BEU14" s="834"/>
      <c r="BEV14" s="834"/>
      <c r="BEW14" s="834"/>
      <c r="BEX14" s="834"/>
      <c r="BEY14" s="834"/>
      <c r="BEZ14" s="834"/>
      <c r="BFA14" s="834"/>
      <c r="BFB14" s="834"/>
      <c r="BFC14" s="834"/>
      <c r="BFD14" s="834"/>
      <c r="BFE14" s="834"/>
      <c r="BFF14" s="834"/>
      <c r="BFG14" s="834"/>
      <c r="BFH14" s="834"/>
      <c r="BFI14" s="834"/>
      <c r="BFJ14" s="834"/>
      <c r="BFK14" s="834"/>
      <c r="BFL14" s="834"/>
      <c r="BFM14" s="834"/>
      <c r="BFN14" s="834"/>
      <c r="BFO14" s="834"/>
      <c r="BFP14" s="834"/>
      <c r="BFQ14" s="834"/>
      <c r="BFR14" s="834"/>
      <c r="BFS14" s="834"/>
      <c r="BFT14" s="834"/>
      <c r="BFU14" s="834"/>
      <c r="BFV14" s="834"/>
      <c r="BFW14" s="834"/>
      <c r="BFX14" s="834"/>
      <c r="BFY14" s="834"/>
      <c r="BFZ14" s="834"/>
      <c r="BGA14" s="834"/>
      <c r="BGB14" s="834"/>
      <c r="BGC14" s="834"/>
      <c r="BGD14" s="834"/>
      <c r="BGE14" s="834"/>
      <c r="BGF14" s="834"/>
      <c r="BGG14" s="834"/>
      <c r="BGH14" s="834"/>
      <c r="BGI14" s="834"/>
      <c r="BGJ14" s="834"/>
      <c r="BGK14" s="834"/>
      <c r="BGL14" s="834"/>
      <c r="BGM14" s="834"/>
      <c r="BGN14" s="834"/>
      <c r="BGO14" s="834"/>
      <c r="BGP14" s="834"/>
      <c r="BGQ14" s="834"/>
      <c r="BGR14" s="834"/>
      <c r="BGS14" s="834"/>
      <c r="BGT14" s="834"/>
      <c r="BGU14" s="834"/>
      <c r="BGV14" s="834"/>
      <c r="BGW14" s="834"/>
      <c r="BGX14" s="834"/>
      <c r="BGY14" s="834"/>
      <c r="BGZ14" s="834"/>
      <c r="BHA14" s="834"/>
      <c r="BHB14" s="834"/>
      <c r="BHC14" s="834"/>
      <c r="BHD14" s="834"/>
      <c r="BHE14" s="834"/>
      <c r="BHF14" s="834"/>
      <c r="BHG14" s="834"/>
      <c r="BHH14" s="834"/>
      <c r="BHI14" s="834"/>
      <c r="BHJ14" s="834"/>
      <c r="BHK14" s="834"/>
      <c r="BHL14" s="834"/>
      <c r="BHM14" s="834"/>
      <c r="BHN14" s="834"/>
      <c r="BHO14" s="834"/>
      <c r="BHP14" s="834"/>
      <c r="BHQ14" s="834"/>
      <c r="BHR14" s="834"/>
      <c r="BHS14" s="834"/>
      <c r="BHT14" s="834"/>
      <c r="BHU14" s="834"/>
      <c r="BHV14" s="834"/>
      <c r="BHW14" s="834"/>
      <c r="BHX14" s="834"/>
      <c r="BHY14" s="834"/>
      <c r="BHZ14" s="834"/>
      <c r="BIA14" s="834"/>
      <c r="BIB14" s="834"/>
      <c r="BIC14" s="834"/>
      <c r="BID14" s="834"/>
      <c r="BIE14" s="834"/>
      <c r="BIF14" s="834"/>
      <c r="BIG14" s="834"/>
      <c r="BIH14" s="834"/>
      <c r="BII14" s="834"/>
      <c r="BIJ14" s="834"/>
      <c r="BIK14" s="834"/>
      <c r="BIL14" s="834"/>
      <c r="BIM14" s="834"/>
      <c r="BIN14" s="834"/>
      <c r="BIO14" s="834"/>
      <c r="BIP14" s="834"/>
      <c r="BIQ14" s="834"/>
      <c r="BIR14" s="834"/>
      <c r="BIS14" s="834"/>
      <c r="BIT14" s="834"/>
      <c r="BIU14" s="834"/>
      <c r="BIV14" s="834"/>
      <c r="BIW14" s="834"/>
      <c r="BIX14" s="834"/>
      <c r="BIY14" s="834"/>
      <c r="BIZ14" s="834"/>
      <c r="BJA14" s="834"/>
      <c r="BJB14" s="834"/>
      <c r="BJC14" s="834"/>
      <c r="BJD14" s="834"/>
      <c r="BJE14" s="834"/>
      <c r="BJF14" s="834"/>
      <c r="BJG14" s="834"/>
      <c r="BJH14" s="834"/>
      <c r="BJI14" s="834"/>
      <c r="BJJ14" s="834"/>
      <c r="BJK14" s="834"/>
      <c r="BJL14" s="834"/>
      <c r="BJM14" s="834"/>
      <c r="BJN14" s="834"/>
      <c r="BJO14" s="834"/>
      <c r="BJP14" s="834"/>
      <c r="BJQ14" s="834"/>
      <c r="BJR14" s="834"/>
      <c r="BJS14" s="834"/>
      <c r="BJT14" s="834"/>
      <c r="BJU14" s="834"/>
      <c r="BJV14" s="834"/>
      <c r="BJW14" s="834"/>
      <c r="BJX14" s="834"/>
      <c r="BJY14" s="834"/>
      <c r="BJZ14" s="834"/>
      <c r="BKA14" s="834"/>
      <c r="BKB14" s="834"/>
      <c r="BKC14" s="834"/>
      <c r="BKD14" s="834"/>
      <c r="BKE14" s="834"/>
      <c r="BKF14" s="834"/>
      <c r="BKG14" s="834"/>
      <c r="BKH14" s="834"/>
      <c r="BKI14" s="834"/>
      <c r="BKJ14" s="834"/>
      <c r="BKK14" s="834"/>
      <c r="BKL14" s="834"/>
      <c r="BKM14" s="834"/>
      <c r="BKN14" s="834"/>
      <c r="BKO14" s="834"/>
      <c r="BKP14" s="834"/>
      <c r="BKQ14" s="834"/>
      <c r="BKR14" s="834"/>
      <c r="BKS14" s="834"/>
      <c r="BKT14" s="834"/>
      <c r="BKU14" s="834"/>
      <c r="BKV14" s="834"/>
      <c r="BKW14" s="834"/>
      <c r="BKX14" s="834"/>
      <c r="BKY14" s="834"/>
      <c r="BKZ14" s="834"/>
      <c r="BLA14" s="834"/>
      <c r="BLB14" s="834"/>
      <c r="BLC14" s="834"/>
      <c r="BLD14" s="834"/>
      <c r="BLE14" s="834"/>
      <c r="BLF14" s="834"/>
      <c r="BLG14" s="834"/>
      <c r="BLH14" s="834"/>
      <c r="BLI14" s="834"/>
      <c r="BLJ14" s="834"/>
      <c r="BLK14" s="834"/>
      <c r="BLL14" s="834"/>
      <c r="BLM14" s="834"/>
      <c r="BLN14" s="834"/>
      <c r="BLO14" s="834"/>
      <c r="BLP14" s="834"/>
      <c r="BLQ14" s="834"/>
      <c r="BLR14" s="834"/>
      <c r="BLS14" s="834"/>
      <c r="BLT14" s="834"/>
      <c r="BLU14" s="834"/>
      <c r="BLV14" s="834"/>
      <c r="BLW14" s="834"/>
      <c r="BLX14" s="834"/>
      <c r="BLY14" s="834"/>
      <c r="BLZ14" s="834"/>
      <c r="BMA14" s="834"/>
      <c r="BMB14" s="834"/>
      <c r="BMC14" s="834"/>
      <c r="BMD14" s="834"/>
      <c r="BME14" s="834"/>
      <c r="BMF14" s="834"/>
      <c r="BMG14" s="834"/>
      <c r="BMH14" s="834"/>
      <c r="BMI14" s="834"/>
      <c r="BMJ14" s="834"/>
      <c r="BMK14" s="834"/>
      <c r="BML14" s="834"/>
      <c r="BMM14" s="834"/>
      <c r="BMN14" s="834"/>
      <c r="BMO14" s="834"/>
      <c r="BMP14" s="834"/>
      <c r="BMQ14" s="834"/>
      <c r="BMR14" s="834"/>
      <c r="BMS14" s="834"/>
      <c r="BMT14" s="834"/>
      <c r="BMU14" s="834"/>
      <c r="BMV14" s="834"/>
      <c r="BMW14" s="834"/>
      <c r="BMX14" s="834"/>
      <c r="BMY14" s="834"/>
      <c r="BMZ14" s="834"/>
      <c r="BNA14" s="834"/>
      <c r="BNB14" s="834"/>
      <c r="BNC14" s="834"/>
      <c r="BND14" s="834"/>
      <c r="BNE14" s="834"/>
      <c r="BNF14" s="834"/>
      <c r="BNG14" s="834"/>
      <c r="BNH14" s="834"/>
      <c r="BNI14" s="834"/>
      <c r="BNJ14" s="834"/>
      <c r="BNK14" s="834"/>
      <c r="BNL14" s="834"/>
      <c r="BNM14" s="834"/>
      <c r="BNN14" s="834"/>
      <c r="BNO14" s="834"/>
      <c r="BNP14" s="834"/>
      <c r="BNQ14" s="834"/>
      <c r="BNR14" s="834"/>
      <c r="BNS14" s="834"/>
      <c r="BNT14" s="834"/>
      <c r="BNU14" s="834"/>
      <c r="BNV14" s="834"/>
      <c r="BNW14" s="834"/>
      <c r="BNX14" s="834"/>
      <c r="BNY14" s="834"/>
      <c r="BNZ14" s="834"/>
      <c r="BOA14" s="834"/>
      <c r="BOB14" s="834"/>
      <c r="BOC14" s="834"/>
      <c r="BOD14" s="834"/>
      <c r="BOE14" s="834"/>
      <c r="BOF14" s="834"/>
      <c r="BOG14" s="834"/>
      <c r="BOH14" s="834"/>
      <c r="BOI14" s="834"/>
      <c r="BOJ14" s="834"/>
      <c r="BOK14" s="834"/>
      <c r="BOL14" s="834"/>
      <c r="BOM14" s="834"/>
      <c r="BON14" s="834"/>
      <c r="BOO14" s="834"/>
      <c r="BOP14" s="834"/>
      <c r="BOQ14" s="834"/>
      <c r="BOR14" s="834"/>
      <c r="BOS14" s="834"/>
      <c r="BOT14" s="834"/>
      <c r="BOU14" s="834"/>
      <c r="BOV14" s="834"/>
      <c r="BOW14" s="834"/>
      <c r="BOX14" s="834"/>
      <c r="BOY14" s="834"/>
      <c r="BOZ14" s="834"/>
      <c r="BPA14" s="834"/>
      <c r="BPB14" s="834"/>
      <c r="BPC14" s="834"/>
      <c r="BPD14" s="834"/>
      <c r="BPE14" s="834"/>
      <c r="BPF14" s="834"/>
      <c r="BPG14" s="834"/>
      <c r="BPH14" s="834"/>
      <c r="BPI14" s="834"/>
      <c r="BPJ14" s="834"/>
      <c r="BPK14" s="834"/>
      <c r="BPL14" s="834"/>
      <c r="BPM14" s="834"/>
      <c r="BPN14" s="834"/>
      <c r="BPO14" s="834"/>
      <c r="BPP14" s="834"/>
      <c r="BPQ14" s="834"/>
      <c r="BPR14" s="834"/>
      <c r="BPS14" s="834"/>
      <c r="BPT14" s="834"/>
      <c r="BPU14" s="834"/>
      <c r="BPV14" s="834"/>
      <c r="BPW14" s="834"/>
      <c r="BPX14" s="834"/>
      <c r="BPY14" s="834"/>
      <c r="BPZ14" s="834"/>
      <c r="BQA14" s="834"/>
      <c r="BQB14" s="834"/>
      <c r="BQC14" s="834"/>
      <c r="BQD14" s="834"/>
      <c r="BQE14" s="834"/>
      <c r="BQF14" s="834"/>
      <c r="BQG14" s="834"/>
      <c r="BQH14" s="834"/>
      <c r="BQI14" s="834"/>
      <c r="BQJ14" s="834"/>
      <c r="BQK14" s="834"/>
      <c r="BQL14" s="834"/>
      <c r="BQM14" s="834"/>
      <c r="BQN14" s="834"/>
      <c r="BQO14" s="834"/>
      <c r="BQP14" s="834"/>
      <c r="BQQ14" s="834"/>
      <c r="BQR14" s="834"/>
      <c r="BQS14" s="834"/>
      <c r="BQT14" s="834"/>
      <c r="BQU14" s="834"/>
      <c r="BQV14" s="834"/>
      <c r="BQW14" s="834"/>
      <c r="BQX14" s="834"/>
      <c r="BQY14" s="834"/>
      <c r="BQZ14" s="834"/>
      <c r="BRA14" s="834"/>
      <c r="BRB14" s="834"/>
      <c r="BRC14" s="834"/>
      <c r="BRD14" s="834"/>
      <c r="BRE14" s="834"/>
      <c r="BRF14" s="834"/>
      <c r="BRG14" s="834"/>
      <c r="BRH14" s="834"/>
      <c r="BRI14" s="834"/>
      <c r="BRJ14" s="834"/>
      <c r="BRK14" s="834"/>
      <c r="BRL14" s="834"/>
      <c r="BRM14" s="834"/>
      <c r="BRN14" s="834"/>
      <c r="BRO14" s="834"/>
      <c r="BRP14" s="834"/>
      <c r="BRQ14" s="834"/>
      <c r="BRR14" s="834"/>
      <c r="BRS14" s="834"/>
      <c r="BRT14" s="834"/>
      <c r="BRU14" s="834"/>
      <c r="BRV14" s="834"/>
      <c r="BRW14" s="834"/>
      <c r="BRX14" s="834"/>
      <c r="BRY14" s="834"/>
      <c r="BRZ14" s="834"/>
      <c r="BSA14" s="834"/>
      <c r="BSB14" s="834"/>
      <c r="BSC14" s="834"/>
      <c r="BSD14" s="834"/>
      <c r="BSE14" s="834"/>
      <c r="BSF14" s="834"/>
      <c r="BSG14" s="834"/>
      <c r="BSH14" s="834"/>
      <c r="BSI14" s="834"/>
      <c r="BSJ14" s="834"/>
      <c r="BSK14" s="834"/>
      <c r="BSL14" s="834"/>
      <c r="BSM14" s="834"/>
      <c r="BSN14" s="834"/>
      <c r="BSO14" s="834"/>
      <c r="BSP14" s="834"/>
      <c r="BSQ14" s="834"/>
      <c r="BSR14" s="834"/>
      <c r="BSS14" s="834"/>
      <c r="BST14" s="834"/>
    </row>
    <row r="15" spans="1:1866" s="824" customFormat="1" ht="21.9" customHeight="1" x14ac:dyDescent="0.25">
      <c r="A15" s="827"/>
      <c r="B15" s="3157" t="s">
        <v>839</v>
      </c>
      <c r="C15" s="3158"/>
      <c r="D15" s="3159"/>
      <c r="E15" s="1477"/>
      <c r="F15" s="1477"/>
      <c r="G15" s="1477"/>
      <c r="H15" s="1477"/>
      <c r="I15" s="1477"/>
      <c r="J15" s="1477"/>
      <c r="K15" s="1477"/>
      <c r="L15" s="1477"/>
      <c r="M15" s="1477"/>
      <c r="N15" s="1477"/>
      <c r="O15" s="1477"/>
      <c r="P15" s="1477"/>
      <c r="Q15" s="1477"/>
      <c r="R15" s="1477"/>
      <c r="S15" s="1477"/>
      <c r="T15" s="1477"/>
      <c r="U15" s="1477"/>
      <c r="V15" s="1478"/>
      <c r="W15" s="834"/>
      <c r="X15" s="834"/>
      <c r="Y15" s="834"/>
      <c r="Z15" s="834"/>
      <c r="AA15" s="867"/>
      <c r="AB15" s="834"/>
      <c r="AC15" s="834"/>
      <c r="AD15" s="834"/>
      <c r="AE15" s="834"/>
      <c r="AF15" s="834"/>
      <c r="AG15" s="834"/>
      <c r="AH15" s="834"/>
      <c r="AI15" s="834"/>
      <c r="AJ15" s="834"/>
      <c r="AK15" s="834"/>
      <c r="AL15" s="834"/>
      <c r="AM15" s="827"/>
      <c r="AN15" s="827"/>
      <c r="AO15" s="827"/>
      <c r="AP15" s="827"/>
      <c r="AQ15" s="827"/>
      <c r="AR15" s="827"/>
      <c r="AS15" s="827"/>
      <c r="AT15" s="827"/>
      <c r="AU15" s="827"/>
      <c r="AV15" s="827"/>
      <c r="AW15" s="827"/>
      <c r="AX15" s="827"/>
      <c r="AY15" s="827"/>
      <c r="AZ15" s="827"/>
      <c r="BA15" s="827"/>
      <c r="BB15" s="827"/>
      <c r="BC15" s="827"/>
      <c r="BD15" s="827"/>
      <c r="BE15" s="827"/>
      <c r="BF15" s="827"/>
      <c r="BG15" s="827"/>
      <c r="BH15" s="827"/>
      <c r="BI15" s="827"/>
      <c r="BJ15" s="827"/>
      <c r="BK15" s="827"/>
      <c r="BL15" s="827"/>
      <c r="BM15" s="827"/>
      <c r="BN15" s="827"/>
      <c r="BO15" s="827"/>
      <c r="BP15" s="827"/>
      <c r="BQ15" s="827"/>
      <c r="BR15" s="827"/>
      <c r="BS15" s="827"/>
      <c r="BT15" s="827"/>
      <c r="BU15" s="827"/>
      <c r="BV15" s="827"/>
      <c r="BW15" s="827"/>
      <c r="BX15" s="827"/>
      <c r="BY15" s="827"/>
      <c r="BZ15" s="827"/>
      <c r="CA15" s="827"/>
      <c r="CB15" s="827"/>
      <c r="CC15" s="827"/>
      <c r="CD15" s="827"/>
      <c r="CE15" s="827"/>
      <c r="CF15" s="827"/>
      <c r="CG15" s="827"/>
      <c r="CH15" s="827"/>
      <c r="CI15" s="827"/>
      <c r="CJ15" s="827"/>
      <c r="CK15" s="827"/>
      <c r="CL15" s="827"/>
      <c r="CM15" s="827"/>
      <c r="CN15" s="827"/>
      <c r="CO15" s="827"/>
      <c r="CP15" s="827"/>
      <c r="CQ15" s="827"/>
      <c r="CR15" s="827"/>
      <c r="CS15" s="827"/>
      <c r="CT15" s="827"/>
      <c r="CU15" s="827"/>
      <c r="CV15" s="827"/>
      <c r="CW15" s="827"/>
      <c r="CX15" s="827"/>
      <c r="CY15" s="827"/>
      <c r="CZ15" s="827"/>
      <c r="DA15" s="827"/>
      <c r="DB15" s="827"/>
      <c r="DC15" s="827"/>
      <c r="DD15" s="827"/>
      <c r="DE15" s="827"/>
      <c r="DF15" s="827"/>
      <c r="DG15" s="827"/>
      <c r="DH15" s="827"/>
      <c r="DI15" s="827"/>
      <c r="DJ15" s="827"/>
      <c r="DK15" s="827"/>
      <c r="DL15" s="827"/>
      <c r="DM15" s="827"/>
      <c r="DN15" s="827"/>
      <c r="DO15" s="827"/>
      <c r="DP15" s="827"/>
      <c r="DQ15" s="827"/>
      <c r="DR15" s="827"/>
      <c r="DS15" s="827"/>
      <c r="DT15" s="827"/>
      <c r="DU15" s="827"/>
      <c r="DV15" s="827"/>
      <c r="DW15" s="827"/>
      <c r="DX15" s="827"/>
      <c r="DY15" s="827"/>
      <c r="DZ15" s="827"/>
      <c r="EA15" s="827"/>
      <c r="EB15" s="827"/>
      <c r="EC15" s="827"/>
      <c r="ED15" s="827"/>
      <c r="EE15" s="827"/>
      <c r="EF15" s="827"/>
      <c r="EG15" s="827"/>
      <c r="EH15" s="827"/>
      <c r="EI15" s="827"/>
      <c r="EJ15" s="827"/>
      <c r="EK15" s="827"/>
      <c r="EL15" s="827"/>
      <c r="EM15" s="827"/>
      <c r="EN15" s="827"/>
      <c r="EO15" s="827"/>
      <c r="EP15" s="827"/>
      <c r="EQ15" s="827"/>
      <c r="ER15" s="827"/>
      <c r="ES15" s="827"/>
      <c r="ET15" s="827"/>
      <c r="EU15" s="827"/>
      <c r="EV15" s="827"/>
      <c r="EW15" s="827"/>
      <c r="EX15" s="827"/>
      <c r="EY15" s="827"/>
      <c r="EZ15" s="827"/>
      <c r="FA15" s="827"/>
      <c r="FB15" s="827"/>
      <c r="FC15" s="827"/>
      <c r="FD15" s="827"/>
      <c r="FE15" s="827"/>
      <c r="FF15" s="827"/>
      <c r="FG15" s="827"/>
      <c r="FH15" s="827"/>
      <c r="FI15" s="827"/>
      <c r="FJ15" s="827"/>
      <c r="FK15" s="827"/>
      <c r="FL15" s="827"/>
      <c r="FM15" s="827"/>
      <c r="FN15" s="827"/>
      <c r="FO15" s="827"/>
      <c r="FP15" s="827"/>
      <c r="FQ15" s="827"/>
      <c r="FR15" s="827"/>
      <c r="FS15" s="827"/>
      <c r="FT15" s="827"/>
      <c r="FU15" s="827"/>
      <c r="FV15" s="827"/>
      <c r="FW15" s="827"/>
      <c r="FX15" s="827"/>
      <c r="FY15" s="827"/>
      <c r="FZ15" s="827"/>
      <c r="GA15" s="827"/>
      <c r="GB15" s="827"/>
      <c r="GC15" s="827"/>
      <c r="GD15" s="827"/>
      <c r="GE15" s="827"/>
      <c r="GF15" s="827"/>
      <c r="GG15" s="827"/>
      <c r="GH15" s="827"/>
      <c r="GI15" s="827"/>
      <c r="GJ15" s="827"/>
      <c r="GK15" s="827"/>
      <c r="GL15" s="827"/>
      <c r="GM15" s="827"/>
      <c r="GN15" s="827"/>
      <c r="GO15" s="827"/>
      <c r="GP15" s="827"/>
      <c r="GQ15" s="827"/>
      <c r="GR15" s="827"/>
      <c r="GS15" s="827"/>
      <c r="GT15" s="827"/>
      <c r="GU15" s="827"/>
      <c r="GV15" s="827"/>
      <c r="GW15" s="827"/>
      <c r="GX15" s="827"/>
      <c r="GY15" s="827"/>
      <c r="GZ15" s="827"/>
      <c r="HA15" s="827"/>
      <c r="HB15" s="827"/>
      <c r="HC15" s="827"/>
      <c r="HD15" s="827"/>
      <c r="HE15" s="827"/>
      <c r="HF15" s="827"/>
      <c r="HG15" s="827"/>
      <c r="HH15" s="827"/>
      <c r="HI15" s="827"/>
      <c r="HJ15" s="827"/>
      <c r="HK15" s="827"/>
      <c r="HL15" s="827"/>
      <c r="HM15" s="827"/>
      <c r="HN15" s="827"/>
      <c r="HO15" s="827"/>
      <c r="HP15" s="827"/>
      <c r="HQ15" s="827"/>
      <c r="HR15" s="827"/>
      <c r="HS15" s="827"/>
      <c r="HT15" s="827"/>
      <c r="HU15" s="827"/>
      <c r="HV15" s="827"/>
      <c r="HW15" s="827"/>
      <c r="HX15" s="827"/>
      <c r="HY15" s="827"/>
      <c r="HZ15" s="827"/>
      <c r="IA15" s="827"/>
      <c r="IB15" s="827"/>
      <c r="IC15" s="827"/>
      <c r="ID15" s="827"/>
      <c r="IE15" s="827"/>
      <c r="IF15" s="827"/>
      <c r="IG15" s="827"/>
      <c r="IH15" s="827"/>
      <c r="II15" s="827"/>
      <c r="IJ15" s="827"/>
      <c r="IK15" s="827"/>
      <c r="IL15" s="827"/>
      <c r="IM15" s="827"/>
      <c r="IN15" s="827"/>
      <c r="IO15" s="827"/>
      <c r="IP15" s="827"/>
      <c r="IQ15" s="827"/>
      <c r="IR15" s="827"/>
      <c r="IS15" s="827"/>
      <c r="IT15" s="827"/>
      <c r="IU15" s="827"/>
      <c r="IV15" s="827"/>
      <c r="IW15" s="827"/>
      <c r="IX15" s="827"/>
      <c r="IY15" s="827"/>
      <c r="IZ15" s="827"/>
      <c r="JA15" s="827"/>
      <c r="JB15" s="827"/>
      <c r="JC15" s="827"/>
      <c r="JD15" s="827"/>
      <c r="JE15" s="827"/>
      <c r="JF15" s="827"/>
      <c r="JG15" s="827"/>
      <c r="JH15" s="827"/>
      <c r="JI15" s="827"/>
      <c r="JJ15" s="827"/>
      <c r="JK15" s="827"/>
      <c r="JL15" s="827"/>
      <c r="JM15" s="827"/>
      <c r="JN15" s="827"/>
      <c r="JO15" s="827"/>
      <c r="JP15" s="827"/>
      <c r="JQ15" s="827"/>
      <c r="JR15" s="827"/>
      <c r="JS15" s="827"/>
      <c r="JT15" s="827"/>
      <c r="JU15" s="827"/>
      <c r="JV15" s="827"/>
      <c r="JW15" s="827"/>
      <c r="JX15" s="827"/>
      <c r="JY15" s="827"/>
      <c r="JZ15" s="827"/>
      <c r="KA15" s="827"/>
      <c r="KB15" s="827"/>
      <c r="KC15" s="827"/>
      <c r="KD15" s="827"/>
      <c r="KE15" s="827"/>
      <c r="KF15" s="827"/>
      <c r="KG15" s="827"/>
      <c r="KH15" s="827"/>
      <c r="KI15" s="827"/>
      <c r="KJ15" s="827"/>
      <c r="KK15" s="827"/>
      <c r="KL15" s="827"/>
      <c r="KM15" s="827"/>
      <c r="KN15" s="827"/>
      <c r="KO15" s="827"/>
      <c r="KP15" s="827"/>
      <c r="KQ15" s="827"/>
      <c r="KR15" s="827"/>
      <c r="KS15" s="827"/>
      <c r="KT15" s="827"/>
      <c r="KU15" s="827"/>
      <c r="KV15" s="827"/>
      <c r="KW15" s="827"/>
      <c r="KX15" s="827"/>
      <c r="KY15" s="827"/>
      <c r="KZ15" s="827"/>
      <c r="LA15" s="827"/>
      <c r="LB15" s="827"/>
      <c r="LC15" s="827"/>
      <c r="LD15" s="827"/>
      <c r="LE15" s="827"/>
      <c r="LF15" s="827"/>
      <c r="LG15" s="827"/>
      <c r="LH15" s="827"/>
      <c r="LI15" s="827"/>
      <c r="LJ15" s="827"/>
      <c r="LK15" s="827"/>
      <c r="LL15" s="827"/>
      <c r="LM15" s="827"/>
      <c r="LN15" s="827"/>
      <c r="LO15" s="827"/>
      <c r="LP15" s="827"/>
      <c r="LQ15" s="827"/>
      <c r="LR15" s="827"/>
      <c r="LS15" s="827"/>
      <c r="LT15" s="827"/>
      <c r="LU15" s="827"/>
      <c r="LV15" s="827"/>
      <c r="LW15" s="827"/>
      <c r="LX15" s="827"/>
      <c r="LY15" s="827"/>
      <c r="LZ15" s="827"/>
      <c r="MA15" s="827"/>
      <c r="MB15" s="827"/>
      <c r="MC15" s="827"/>
      <c r="MD15" s="827"/>
      <c r="ME15" s="827"/>
      <c r="MF15" s="827"/>
      <c r="MG15" s="827"/>
      <c r="MH15" s="827"/>
      <c r="MI15" s="827"/>
      <c r="MJ15" s="827"/>
      <c r="MK15" s="827"/>
      <c r="ML15" s="827"/>
      <c r="MM15" s="827"/>
      <c r="MN15" s="827"/>
      <c r="MO15" s="827"/>
      <c r="MP15" s="827"/>
      <c r="MQ15" s="827"/>
      <c r="MR15" s="827"/>
      <c r="MS15" s="827"/>
      <c r="MT15" s="827"/>
      <c r="MU15" s="827"/>
      <c r="MV15" s="827"/>
      <c r="MW15" s="827"/>
      <c r="MX15" s="827"/>
      <c r="MY15" s="827"/>
      <c r="MZ15" s="827"/>
      <c r="NA15" s="827"/>
      <c r="NB15" s="827"/>
      <c r="NC15" s="827"/>
      <c r="ND15" s="827"/>
      <c r="NE15" s="827"/>
      <c r="NF15" s="827"/>
      <c r="NG15" s="827"/>
      <c r="NH15" s="827"/>
      <c r="NI15" s="827"/>
      <c r="NJ15" s="827"/>
      <c r="NK15" s="827"/>
      <c r="NL15" s="827"/>
      <c r="NM15" s="827"/>
      <c r="NN15" s="827"/>
      <c r="NO15" s="827"/>
      <c r="NP15" s="827"/>
      <c r="NQ15" s="827"/>
      <c r="NR15" s="827"/>
      <c r="NS15" s="827"/>
      <c r="NT15" s="827"/>
      <c r="NU15" s="827"/>
      <c r="NV15" s="827"/>
      <c r="NW15" s="827"/>
      <c r="NX15" s="827"/>
      <c r="NY15" s="827"/>
      <c r="NZ15" s="827"/>
      <c r="OA15" s="827"/>
      <c r="OB15" s="827"/>
      <c r="OC15" s="827"/>
      <c r="OD15" s="827"/>
      <c r="OE15" s="827"/>
      <c r="OF15" s="827"/>
      <c r="OG15" s="827"/>
      <c r="OH15" s="827"/>
      <c r="OI15" s="827"/>
      <c r="OJ15" s="827"/>
      <c r="OK15" s="827"/>
      <c r="OL15" s="827"/>
      <c r="OM15" s="827"/>
      <c r="ON15" s="827"/>
      <c r="OO15" s="827"/>
      <c r="OP15" s="827"/>
      <c r="OQ15" s="827"/>
      <c r="OR15" s="827"/>
      <c r="OS15" s="827"/>
      <c r="OT15" s="827"/>
      <c r="OU15" s="827"/>
      <c r="OV15" s="827"/>
      <c r="OW15" s="827"/>
      <c r="OX15" s="827"/>
      <c r="OY15" s="827"/>
      <c r="OZ15" s="827"/>
      <c r="PA15" s="827"/>
      <c r="PB15" s="827"/>
      <c r="PC15" s="827"/>
      <c r="PD15" s="827"/>
      <c r="PE15" s="827"/>
      <c r="PF15" s="827"/>
      <c r="PG15" s="827"/>
      <c r="PH15" s="827"/>
      <c r="PI15" s="827"/>
      <c r="PJ15" s="827"/>
      <c r="PK15" s="827"/>
      <c r="PL15" s="827"/>
      <c r="PM15" s="827"/>
      <c r="PN15" s="827"/>
      <c r="PO15" s="827"/>
      <c r="PP15" s="827"/>
      <c r="PQ15" s="827"/>
      <c r="PR15" s="827"/>
      <c r="PS15" s="827"/>
      <c r="PT15" s="827"/>
      <c r="PU15" s="827"/>
      <c r="PV15" s="827"/>
      <c r="PW15" s="827"/>
      <c r="PX15" s="827"/>
      <c r="PY15" s="827"/>
      <c r="PZ15" s="827"/>
      <c r="QA15" s="827"/>
      <c r="QB15" s="827"/>
      <c r="QC15" s="827"/>
      <c r="QD15" s="827"/>
      <c r="QE15" s="827"/>
      <c r="QF15" s="827"/>
      <c r="QG15" s="827"/>
      <c r="QH15" s="827"/>
      <c r="QI15" s="827"/>
      <c r="QJ15" s="827"/>
      <c r="QK15" s="827"/>
      <c r="QL15" s="827"/>
      <c r="QM15" s="827"/>
      <c r="QN15" s="827"/>
      <c r="QO15" s="827"/>
      <c r="QP15" s="827"/>
      <c r="QQ15" s="827"/>
      <c r="QR15" s="827"/>
      <c r="QS15" s="827"/>
      <c r="QT15" s="827"/>
      <c r="QU15" s="827"/>
      <c r="QV15" s="827"/>
      <c r="QW15" s="827"/>
      <c r="QX15" s="827"/>
      <c r="QY15" s="827"/>
      <c r="QZ15" s="827"/>
      <c r="RA15" s="827"/>
      <c r="RB15" s="827"/>
      <c r="RC15" s="827"/>
      <c r="RD15" s="827"/>
      <c r="RE15" s="827"/>
      <c r="RF15" s="827"/>
      <c r="RG15" s="827"/>
      <c r="RH15" s="827"/>
      <c r="RI15" s="827"/>
      <c r="RJ15" s="827"/>
      <c r="RK15" s="827"/>
      <c r="RL15" s="827"/>
      <c r="RM15" s="827"/>
      <c r="RN15" s="827"/>
      <c r="RO15" s="827"/>
      <c r="RP15" s="827"/>
      <c r="RQ15" s="827"/>
      <c r="RR15" s="827"/>
      <c r="RS15" s="827"/>
      <c r="RT15" s="827"/>
      <c r="RU15" s="827"/>
      <c r="RV15" s="827"/>
      <c r="RW15" s="827"/>
      <c r="RX15" s="827"/>
      <c r="RY15" s="827"/>
      <c r="RZ15" s="827"/>
      <c r="SA15" s="827"/>
      <c r="SB15" s="827"/>
      <c r="SC15" s="827"/>
      <c r="SD15" s="827"/>
      <c r="SE15" s="827"/>
      <c r="SF15" s="827"/>
      <c r="SG15" s="827"/>
      <c r="SH15" s="827"/>
      <c r="SI15" s="827"/>
      <c r="SJ15" s="827"/>
      <c r="SK15" s="827"/>
      <c r="SL15" s="827"/>
      <c r="SM15" s="827"/>
      <c r="SN15" s="827"/>
      <c r="SO15" s="827"/>
      <c r="SP15" s="827"/>
      <c r="SQ15" s="827"/>
      <c r="SR15" s="827"/>
      <c r="SS15" s="827"/>
      <c r="ST15" s="827"/>
      <c r="SU15" s="827"/>
      <c r="SV15" s="827"/>
      <c r="SW15" s="827"/>
      <c r="SX15" s="827"/>
      <c r="SY15" s="827"/>
      <c r="SZ15" s="827"/>
      <c r="TA15" s="827"/>
      <c r="TB15" s="827"/>
      <c r="TC15" s="827"/>
      <c r="TD15" s="827"/>
      <c r="TE15" s="827"/>
      <c r="TF15" s="827"/>
      <c r="TG15" s="827"/>
      <c r="TH15" s="827"/>
      <c r="TI15" s="827"/>
      <c r="TJ15" s="827"/>
      <c r="TK15" s="827"/>
      <c r="TL15" s="827"/>
      <c r="TM15" s="827"/>
      <c r="TN15" s="827"/>
      <c r="TO15" s="827"/>
      <c r="TP15" s="827"/>
      <c r="TQ15" s="827"/>
      <c r="TR15" s="827"/>
      <c r="TS15" s="827"/>
      <c r="TT15" s="827"/>
      <c r="TU15" s="827"/>
      <c r="TV15" s="827"/>
      <c r="TW15" s="827"/>
      <c r="TX15" s="827"/>
      <c r="TY15" s="827"/>
      <c r="TZ15" s="827"/>
      <c r="UA15" s="827"/>
      <c r="UB15" s="827"/>
      <c r="UC15" s="827"/>
      <c r="UD15" s="827"/>
      <c r="UE15" s="827"/>
      <c r="UF15" s="827"/>
      <c r="UG15" s="827"/>
      <c r="UH15" s="827"/>
      <c r="UI15" s="827"/>
      <c r="UJ15" s="827"/>
      <c r="UK15" s="827"/>
      <c r="UL15" s="827"/>
      <c r="UM15" s="827"/>
      <c r="UN15" s="827"/>
      <c r="UO15" s="827"/>
      <c r="UP15" s="827"/>
      <c r="UQ15" s="827"/>
      <c r="UR15" s="827"/>
      <c r="US15" s="827"/>
      <c r="UT15" s="827"/>
      <c r="UU15" s="827"/>
      <c r="UV15" s="827"/>
      <c r="UW15" s="827"/>
      <c r="UX15" s="827"/>
      <c r="UY15" s="827"/>
      <c r="UZ15" s="827"/>
      <c r="VA15" s="827"/>
      <c r="VB15" s="827"/>
      <c r="VC15" s="827"/>
      <c r="VD15" s="827"/>
      <c r="VE15" s="827"/>
      <c r="VF15" s="827"/>
      <c r="VG15" s="827"/>
      <c r="VH15" s="827"/>
      <c r="VI15" s="827"/>
      <c r="VJ15" s="827"/>
      <c r="VK15" s="827"/>
      <c r="VL15" s="827"/>
      <c r="VM15" s="827"/>
      <c r="VN15" s="827"/>
      <c r="VO15" s="827"/>
      <c r="VP15" s="827"/>
      <c r="VQ15" s="827"/>
      <c r="VR15" s="827"/>
      <c r="VS15" s="827"/>
      <c r="VT15" s="827"/>
      <c r="VU15" s="827"/>
      <c r="VV15" s="827"/>
      <c r="VW15" s="827"/>
      <c r="VX15" s="827"/>
      <c r="VY15" s="827"/>
      <c r="VZ15" s="827"/>
      <c r="WA15" s="827"/>
      <c r="WB15" s="827"/>
      <c r="WC15" s="827"/>
      <c r="WD15" s="827"/>
      <c r="WE15" s="827"/>
      <c r="WF15" s="827"/>
      <c r="WG15" s="827"/>
      <c r="WH15" s="827"/>
      <c r="WI15" s="827"/>
      <c r="WJ15" s="827"/>
      <c r="WK15" s="827"/>
      <c r="WL15" s="827"/>
      <c r="WM15" s="827"/>
      <c r="WN15" s="827"/>
      <c r="WO15" s="827"/>
      <c r="WP15" s="827"/>
      <c r="WQ15" s="827"/>
      <c r="WR15" s="827"/>
      <c r="WS15" s="827"/>
      <c r="WT15" s="827"/>
      <c r="WU15" s="827"/>
      <c r="WV15" s="827"/>
      <c r="WW15" s="827"/>
      <c r="WX15" s="827"/>
      <c r="WY15" s="827"/>
      <c r="WZ15" s="827"/>
      <c r="XA15" s="827"/>
      <c r="XB15" s="827"/>
      <c r="XC15" s="827"/>
      <c r="XD15" s="827"/>
      <c r="XE15" s="827"/>
      <c r="XF15" s="827"/>
      <c r="XG15" s="827"/>
      <c r="XH15" s="827"/>
      <c r="XI15" s="827"/>
      <c r="XJ15" s="827"/>
      <c r="XK15" s="827"/>
      <c r="XL15" s="827"/>
      <c r="XM15" s="827"/>
      <c r="XN15" s="827"/>
      <c r="XO15" s="827"/>
      <c r="XP15" s="827"/>
      <c r="XQ15" s="827"/>
      <c r="XR15" s="827"/>
      <c r="XS15" s="827"/>
      <c r="XT15" s="827"/>
      <c r="XU15" s="827"/>
      <c r="XV15" s="827"/>
      <c r="XW15" s="827"/>
      <c r="XX15" s="827"/>
      <c r="XY15" s="827"/>
      <c r="XZ15" s="827"/>
      <c r="YA15" s="827"/>
      <c r="YB15" s="827"/>
      <c r="YC15" s="827"/>
      <c r="YD15" s="827"/>
      <c r="YE15" s="827"/>
      <c r="YF15" s="827"/>
      <c r="YG15" s="827"/>
      <c r="YH15" s="827"/>
      <c r="YI15" s="827"/>
      <c r="YJ15" s="827"/>
      <c r="YK15" s="827"/>
      <c r="YL15" s="827"/>
      <c r="YM15" s="827"/>
      <c r="YN15" s="827"/>
      <c r="YO15" s="827"/>
      <c r="YP15" s="827"/>
      <c r="YQ15" s="827"/>
      <c r="YR15" s="827"/>
      <c r="YS15" s="827"/>
      <c r="YT15" s="827"/>
      <c r="YU15" s="827"/>
      <c r="YV15" s="827"/>
      <c r="YW15" s="827"/>
      <c r="YX15" s="827"/>
      <c r="YY15" s="827"/>
      <c r="YZ15" s="827"/>
      <c r="ZA15" s="827"/>
      <c r="ZB15" s="827"/>
      <c r="ZC15" s="827"/>
      <c r="ZD15" s="827"/>
      <c r="ZE15" s="827"/>
      <c r="ZF15" s="827"/>
      <c r="ZG15" s="827"/>
      <c r="ZH15" s="827"/>
      <c r="ZI15" s="827"/>
      <c r="ZJ15" s="827"/>
      <c r="ZK15" s="827"/>
      <c r="ZL15" s="827"/>
      <c r="ZM15" s="827"/>
      <c r="ZN15" s="827"/>
      <c r="ZO15" s="827"/>
      <c r="ZP15" s="827"/>
      <c r="ZQ15" s="827"/>
      <c r="ZR15" s="827"/>
      <c r="ZS15" s="827"/>
      <c r="ZT15" s="827"/>
      <c r="ZU15" s="827"/>
      <c r="ZV15" s="827"/>
      <c r="ZW15" s="827"/>
      <c r="ZX15" s="827"/>
      <c r="ZY15" s="827"/>
      <c r="ZZ15" s="827"/>
      <c r="AAA15" s="827"/>
      <c r="AAB15" s="827"/>
      <c r="AAC15" s="827"/>
      <c r="AAD15" s="827"/>
      <c r="AAE15" s="827"/>
      <c r="AAF15" s="827"/>
      <c r="AAG15" s="827"/>
      <c r="AAH15" s="827"/>
      <c r="AAI15" s="827"/>
      <c r="AAJ15" s="827"/>
      <c r="AAK15" s="827"/>
      <c r="AAL15" s="827"/>
      <c r="AAM15" s="827"/>
      <c r="AAN15" s="827"/>
      <c r="AAO15" s="827"/>
      <c r="AAP15" s="827"/>
      <c r="AAQ15" s="827"/>
      <c r="AAR15" s="827"/>
      <c r="AAS15" s="827"/>
      <c r="AAT15" s="827"/>
      <c r="AAU15" s="827"/>
      <c r="AAV15" s="827"/>
      <c r="AAW15" s="827"/>
      <c r="AAX15" s="827"/>
      <c r="AAY15" s="827"/>
      <c r="AAZ15" s="827"/>
      <c r="ABA15" s="827"/>
      <c r="ABB15" s="827"/>
      <c r="ABC15" s="827"/>
      <c r="ABD15" s="827"/>
      <c r="ABE15" s="827"/>
      <c r="ABF15" s="827"/>
      <c r="ABG15" s="827"/>
      <c r="ABH15" s="827"/>
      <c r="ABI15" s="827"/>
      <c r="ABJ15" s="827"/>
      <c r="ABK15" s="827"/>
      <c r="ABL15" s="827"/>
      <c r="ABM15" s="827"/>
      <c r="ABN15" s="827"/>
      <c r="ABO15" s="827"/>
      <c r="ABP15" s="827"/>
      <c r="ABQ15" s="827"/>
      <c r="ABR15" s="827"/>
      <c r="ABS15" s="827"/>
      <c r="ABT15" s="827"/>
      <c r="ABU15" s="827"/>
      <c r="ABV15" s="827"/>
      <c r="ABW15" s="827"/>
      <c r="ABX15" s="827"/>
      <c r="ABY15" s="827"/>
      <c r="ABZ15" s="827"/>
      <c r="ACA15" s="827"/>
      <c r="ACB15" s="827"/>
      <c r="ACC15" s="827"/>
      <c r="ACD15" s="827"/>
      <c r="ACE15" s="827"/>
      <c r="ACF15" s="827"/>
      <c r="ACG15" s="827"/>
      <c r="ACH15" s="827"/>
      <c r="ACI15" s="827"/>
      <c r="ACJ15" s="827"/>
      <c r="ACK15" s="827"/>
      <c r="ACL15" s="827"/>
      <c r="ACM15" s="827"/>
      <c r="ACN15" s="827"/>
      <c r="ACO15" s="827"/>
      <c r="ACP15" s="827"/>
      <c r="ACQ15" s="827"/>
      <c r="ACR15" s="827"/>
      <c r="ACS15" s="827"/>
      <c r="ACT15" s="827"/>
      <c r="ACU15" s="827"/>
      <c r="ACV15" s="827"/>
      <c r="ACW15" s="827"/>
      <c r="ACX15" s="827"/>
      <c r="ACY15" s="827"/>
      <c r="ACZ15" s="827"/>
      <c r="ADA15" s="827"/>
      <c r="ADB15" s="827"/>
      <c r="ADC15" s="827"/>
      <c r="ADD15" s="827"/>
      <c r="ADE15" s="827"/>
      <c r="ADF15" s="827"/>
      <c r="ADG15" s="827"/>
      <c r="ADH15" s="827"/>
      <c r="ADI15" s="827"/>
      <c r="ADJ15" s="827"/>
      <c r="ADK15" s="827"/>
      <c r="ADL15" s="827"/>
      <c r="ADM15" s="827"/>
      <c r="ADN15" s="827"/>
      <c r="ADO15" s="827"/>
      <c r="ADP15" s="827"/>
      <c r="ADQ15" s="827"/>
      <c r="ADR15" s="827"/>
      <c r="ADS15" s="827"/>
      <c r="ADT15" s="827"/>
      <c r="ADU15" s="827"/>
      <c r="ADV15" s="827"/>
      <c r="ADW15" s="827"/>
      <c r="ADX15" s="827"/>
      <c r="ADY15" s="827"/>
      <c r="ADZ15" s="827"/>
      <c r="AEA15" s="827"/>
      <c r="AEB15" s="827"/>
      <c r="AEC15" s="827"/>
      <c r="AED15" s="827"/>
      <c r="AEE15" s="827"/>
      <c r="AEF15" s="827"/>
      <c r="AEG15" s="827"/>
      <c r="AEH15" s="827"/>
      <c r="AEI15" s="827"/>
      <c r="AEJ15" s="827"/>
      <c r="AEK15" s="827"/>
      <c r="AEL15" s="827"/>
      <c r="AEM15" s="827"/>
      <c r="AEN15" s="827"/>
      <c r="AEO15" s="827"/>
      <c r="AEP15" s="827"/>
      <c r="AEQ15" s="827"/>
      <c r="AER15" s="827"/>
      <c r="AES15" s="827"/>
      <c r="AET15" s="827"/>
      <c r="AEU15" s="827"/>
      <c r="AEV15" s="827"/>
      <c r="AEW15" s="827"/>
      <c r="AEX15" s="827"/>
      <c r="AEY15" s="827"/>
      <c r="AEZ15" s="827"/>
      <c r="AFA15" s="827"/>
      <c r="AFB15" s="827"/>
      <c r="AFC15" s="827"/>
      <c r="AFD15" s="827"/>
      <c r="AFE15" s="827"/>
      <c r="AFF15" s="827"/>
      <c r="AFG15" s="827"/>
      <c r="AFH15" s="827"/>
      <c r="AFI15" s="827"/>
      <c r="AFJ15" s="827"/>
      <c r="AFK15" s="827"/>
      <c r="AFL15" s="827"/>
      <c r="AFM15" s="827"/>
      <c r="AFN15" s="827"/>
      <c r="AFO15" s="827"/>
      <c r="AFP15" s="827"/>
      <c r="AFQ15" s="827"/>
      <c r="AFR15" s="827"/>
      <c r="AFS15" s="827"/>
      <c r="AFT15" s="827"/>
      <c r="AFU15" s="827"/>
      <c r="AFV15" s="827"/>
      <c r="AFW15" s="827"/>
      <c r="AFX15" s="827"/>
      <c r="AFY15" s="827"/>
      <c r="AFZ15" s="827"/>
      <c r="AGA15" s="827"/>
      <c r="AGB15" s="827"/>
      <c r="AGC15" s="827"/>
      <c r="AGD15" s="827"/>
      <c r="AGE15" s="827"/>
      <c r="AGF15" s="827"/>
      <c r="AGG15" s="827"/>
      <c r="AGH15" s="827"/>
      <c r="AGI15" s="827"/>
      <c r="AGJ15" s="827"/>
      <c r="AGK15" s="827"/>
      <c r="AGL15" s="827"/>
      <c r="AGM15" s="827"/>
      <c r="AGN15" s="827"/>
      <c r="AGO15" s="827"/>
      <c r="AGP15" s="827"/>
      <c r="AGQ15" s="827"/>
      <c r="AGR15" s="827"/>
      <c r="AGS15" s="827"/>
      <c r="AGT15" s="827"/>
      <c r="AGU15" s="827"/>
      <c r="AGV15" s="827"/>
      <c r="AGW15" s="827"/>
      <c r="AGX15" s="827"/>
      <c r="AGY15" s="827"/>
      <c r="AGZ15" s="827"/>
      <c r="AHA15" s="827"/>
      <c r="AHB15" s="827"/>
      <c r="AHC15" s="827"/>
      <c r="AHD15" s="827"/>
      <c r="AHE15" s="827"/>
      <c r="AHF15" s="827"/>
      <c r="AHG15" s="827"/>
      <c r="AHH15" s="827"/>
      <c r="AHI15" s="827"/>
      <c r="AHJ15" s="827"/>
      <c r="AHK15" s="827"/>
      <c r="AHL15" s="827"/>
      <c r="AHM15" s="827"/>
      <c r="AHN15" s="827"/>
      <c r="AHO15" s="827"/>
      <c r="AHP15" s="827"/>
      <c r="AHQ15" s="827"/>
      <c r="AHR15" s="827"/>
      <c r="AHS15" s="827"/>
      <c r="AHT15" s="827"/>
      <c r="AHU15" s="827"/>
      <c r="AHV15" s="827"/>
      <c r="AHW15" s="827"/>
      <c r="AHX15" s="827"/>
      <c r="AHY15" s="827"/>
      <c r="AHZ15" s="827"/>
      <c r="AIA15" s="827"/>
      <c r="AIB15" s="827"/>
      <c r="AIC15" s="827"/>
      <c r="AID15" s="827"/>
      <c r="AIE15" s="827"/>
      <c r="AIF15" s="827"/>
      <c r="AIG15" s="827"/>
      <c r="AIH15" s="827"/>
      <c r="AII15" s="827"/>
      <c r="AIJ15" s="827"/>
      <c r="AIK15" s="827"/>
      <c r="AIL15" s="827"/>
      <c r="AIM15" s="827"/>
      <c r="AIN15" s="827"/>
      <c r="AIO15" s="827"/>
      <c r="AIP15" s="827"/>
      <c r="AIQ15" s="827"/>
      <c r="AIR15" s="827"/>
      <c r="AIS15" s="827"/>
      <c r="AIT15" s="827"/>
      <c r="AIU15" s="827"/>
      <c r="AIV15" s="827"/>
      <c r="AIW15" s="827"/>
      <c r="AIX15" s="827"/>
      <c r="AIY15" s="827"/>
      <c r="AIZ15" s="827"/>
      <c r="AJA15" s="827"/>
      <c r="AJB15" s="827"/>
      <c r="AJC15" s="827"/>
      <c r="AJD15" s="827"/>
      <c r="AJE15" s="827"/>
      <c r="AJF15" s="827"/>
      <c r="AJG15" s="827"/>
      <c r="AJH15" s="827"/>
      <c r="AJI15" s="827"/>
      <c r="AJJ15" s="827"/>
      <c r="AJK15" s="827"/>
      <c r="AJL15" s="827"/>
      <c r="AJM15" s="827"/>
      <c r="AJN15" s="827"/>
      <c r="AJO15" s="827"/>
      <c r="AJP15" s="827"/>
      <c r="AJQ15" s="827"/>
      <c r="AJR15" s="827"/>
      <c r="AJS15" s="827"/>
      <c r="AJT15" s="827"/>
      <c r="AJU15" s="827"/>
      <c r="AJV15" s="827"/>
      <c r="AJW15" s="827"/>
      <c r="AJX15" s="827"/>
      <c r="AJY15" s="827"/>
      <c r="AJZ15" s="827"/>
      <c r="AKA15" s="827"/>
      <c r="AKB15" s="827"/>
      <c r="AKC15" s="827"/>
      <c r="AKD15" s="827"/>
      <c r="AKE15" s="827"/>
      <c r="AKF15" s="827"/>
      <c r="AKG15" s="827"/>
      <c r="AKH15" s="827"/>
      <c r="AKI15" s="827"/>
      <c r="AKJ15" s="827"/>
      <c r="AKK15" s="827"/>
      <c r="AKL15" s="827"/>
      <c r="AKM15" s="827"/>
      <c r="AKN15" s="827"/>
      <c r="AKO15" s="827"/>
      <c r="AKP15" s="827"/>
      <c r="AKQ15" s="827"/>
      <c r="AKR15" s="827"/>
      <c r="AKS15" s="827"/>
      <c r="AKT15" s="827"/>
      <c r="AKU15" s="827"/>
      <c r="AKV15" s="827"/>
      <c r="AKW15" s="827"/>
      <c r="AKX15" s="827"/>
      <c r="AKY15" s="827"/>
      <c r="AKZ15" s="827"/>
      <c r="ALA15" s="827"/>
      <c r="ALB15" s="827"/>
      <c r="ALC15" s="827"/>
      <c r="ALD15" s="827"/>
      <c r="ALE15" s="827"/>
      <c r="ALF15" s="827"/>
      <c r="ALG15" s="827"/>
      <c r="ALH15" s="827"/>
      <c r="ALI15" s="827"/>
      <c r="ALJ15" s="827"/>
      <c r="ALK15" s="827"/>
      <c r="ALL15" s="827"/>
      <c r="ALM15" s="827"/>
      <c r="ALN15" s="827"/>
      <c r="ALO15" s="827"/>
      <c r="ALP15" s="827"/>
      <c r="ALQ15" s="827"/>
      <c r="ALR15" s="827"/>
      <c r="ALS15" s="827"/>
      <c r="ALT15" s="827"/>
      <c r="ALU15" s="827"/>
      <c r="ALV15" s="827"/>
      <c r="ALW15" s="827"/>
      <c r="ALX15" s="827"/>
      <c r="ALY15" s="827"/>
      <c r="ALZ15" s="827"/>
      <c r="AMA15" s="827"/>
      <c r="AMB15" s="827"/>
      <c r="AMC15" s="827"/>
      <c r="AMD15" s="827"/>
      <c r="AME15" s="827"/>
      <c r="AMF15" s="827"/>
      <c r="AMG15" s="827"/>
      <c r="AMH15" s="827"/>
      <c r="AMI15" s="827"/>
      <c r="AMJ15" s="827"/>
      <c r="AMK15" s="827"/>
      <c r="AML15" s="827"/>
      <c r="AMM15" s="827"/>
      <c r="AMN15" s="827"/>
      <c r="AMO15" s="827"/>
      <c r="AMP15" s="827"/>
      <c r="AMQ15" s="827"/>
      <c r="AMR15" s="827"/>
      <c r="AMS15" s="827"/>
      <c r="AMT15" s="827"/>
      <c r="AMU15" s="827"/>
      <c r="AMV15" s="827"/>
      <c r="AMW15" s="827"/>
      <c r="AMX15" s="827"/>
      <c r="AMY15" s="827"/>
      <c r="AMZ15" s="827"/>
      <c r="ANA15" s="827"/>
      <c r="ANB15" s="827"/>
      <c r="ANC15" s="827"/>
      <c r="AND15" s="827"/>
      <c r="ANE15" s="827"/>
      <c r="ANF15" s="827"/>
      <c r="ANG15" s="827"/>
      <c r="ANH15" s="827"/>
      <c r="ANI15" s="827"/>
      <c r="ANJ15" s="827"/>
      <c r="ANK15" s="827"/>
      <c r="ANL15" s="827"/>
      <c r="ANM15" s="827"/>
      <c r="ANN15" s="827"/>
      <c r="ANO15" s="827"/>
      <c r="ANP15" s="827"/>
      <c r="ANQ15" s="827"/>
      <c r="ANR15" s="827"/>
      <c r="ANS15" s="827"/>
      <c r="ANT15" s="827"/>
      <c r="ANU15" s="827"/>
      <c r="ANV15" s="827"/>
      <c r="ANW15" s="827"/>
      <c r="ANX15" s="827"/>
      <c r="ANY15" s="827"/>
      <c r="ANZ15" s="827"/>
      <c r="AOA15" s="827"/>
      <c r="AOB15" s="827"/>
      <c r="AOC15" s="827"/>
      <c r="AOD15" s="827"/>
      <c r="AOE15" s="827"/>
      <c r="AOF15" s="827"/>
      <c r="AOG15" s="827"/>
      <c r="AOH15" s="827"/>
      <c r="AOI15" s="827"/>
      <c r="AOJ15" s="827"/>
      <c r="AOK15" s="827"/>
      <c r="AOL15" s="827"/>
      <c r="AOM15" s="827"/>
      <c r="AON15" s="827"/>
      <c r="AOO15" s="827"/>
      <c r="AOP15" s="827"/>
      <c r="AOQ15" s="827"/>
      <c r="AOR15" s="827"/>
      <c r="AOS15" s="827"/>
      <c r="AOT15" s="827"/>
      <c r="AOU15" s="827"/>
      <c r="AOV15" s="827"/>
      <c r="AOW15" s="827"/>
      <c r="AOX15" s="827"/>
      <c r="AOY15" s="827"/>
      <c r="AOZ15" s="827"/>
      <c r="APA15" s="827"/>
      <c r="APB15" s="827"/>
      <c r="APC15" s="827"/>
      <c r="APD15" s="827"/>
      <c r="APE15" s="827"/>
      <c r="APF15" s="827"/>
      <c r="APG15" s="827"/>
      <c r="APH15" s="827"/>
      <c r="API15" s="827"/>
      <c r="APJ15" s="827"/>
      <c r="APK15" s="827"/>
      <c r="APL15" s="827"/>
      <c r="APM15" s="827"/>
      <c r="APN15" s="827"/>
      <c r="APO15" s="827"/>
      <c r="APP15" s="827"/>
      <c r="APQ15" s="827"/>
      <c r="APR15" s="827"/>
      <c r="APS15" s="827"/>
      <c r="APT15" s="827"/>
      <c r="APU15" s="827"/>
      <c r="APV15" s="827"/>
      <c r="APW15" s="827"/>
      <c r="APX15" s="827"/>
      <c r="APY15" s="827"/>
      <c r="APZ15" s="827"/>
      <c r="AQA15" s="827"/>
      <c r="AQB15" s="827"/>
      <c r="AQC15" s="827"/>
      <c r="AQD15" s="827"/>
      <c r="AQE15" s="827"/>
      <c r="AQF15" s="827"/>
      <c r="AQG15" s="827"/>
      <c r="AQH15" s="827"/>
      <c r="AQI15" s="827"/>
      <c r="AQJ15" s="827"/>
      <c r="AQK15" s="827"/>
      <c r="AQL15" s="827"/>
      <c r="AQM15" s="827"/>
      <c r="AQN15" s="827"/>
      <c r="AQO15" s="827"/>
      <c r="AQP15" s="827"/>
      <c r="AQQ15" s="827"/>
      <c r="AQR15" s="827"/>
      <c r="AQS15" s="827"/>
      <c r="AQT15" s="827"/>
      <c r="AQU15" s="827"/>
      <c r="AQV15" s="827"/>
      <c r="AQW15" s="827"/>
      <c r="AQX15" s="827"/>
      <c r="AQY15" s="827"/>
      <c r="AQZ15" s="827"/>
      <c r="ARA15" s="827"/>
      <c r="ARB15" s="827"/>
      <c r="ARC15" s="827"/>
      <c r="ARD15" s="827"/>
      <c r="ARE15" s="827"/>
      <c r="ARF15" s="827"/>
      <c r="ARG15" s="827"/>
      <c r="ARH15" s="827"/>
      <c r="ARI15" s="827"/>
      <c r="ARJ15" s="827"/>
      <c r="ARK15" s="827"/>
      <c r="ARL15" s="827"/>
      <c r="ARM15" s="827"/>
      <c r="ARN15" s="827"/>
      <c r="ARO15" s="827"/>
      <c r="ARP15" s="827"/>
      <c r="ARQ15" s="827"/>
      <c r="ARR15" s="827"/>
      <c r="ARS15" s="827"/>
      <c r="ART15" s="827"/>
      <c r="ARU15" s="827"/>
      <c r="ARV15" s="827"/>
      <c r="ARW15" s="827"/>
      <c r="ARX15" s="827"/>
      <c r="ARY15" s="827"/>
      <c r="ARZ15" s="827"/>
      <c r="ASA15" s="827"/>
      <c r="ASB15" s="827"/>
      <c r="ASC15" s="827"/>
      <c r="ASD15" s="827"/>
      <c r="ASE15" s="827"/>
      <c r="ASF15" s="827"/>
      <c r="ASG15" s="827"/>
      <c r="ASH15" s="827"/>
      <c r="ASI15" s="827"/>
      <c r="ASJ15" s="827"/>
      <c r="ASK15" s="827"/>
      <c r="ASL15" s="827"/>
      <c r="ASM15" s="827"/>
      <c r="ASN15" s="827"/>
      <c r="ASO15" s="827"/>
      <c r="ASP15" s="827"/>
      <c r="ASQ15" s="827"/>
      <c r="ASR15" s="827"/>
      <c r="ASS15" s="827"/>
      <c r="AST15" s="827"/>
      <c r="ASU15" s="827"/>
      <c r="ASV15" s="827"/>
      <c r="ASW15" s="827"/>
      <c r="ASX15" s="827"/>
      <c r="ASY15" s="827"/>
      <c r="ASZ15" s="827"/>
      <c r="ATA15" s="827"/>
      <c r="ATB15" s="827"/>
      <c r="ATC15" s="827"/>
      <c r="ATD15" s="827"/>
      <c r="ATE15" s="827"/>
      <c r="ATF15" s="827"/>
      <c r="ATG15" s="827"/>
      <c r="ATH15" s="827"/>
      <c r="ATI15" s="827"/>
      <c r="ATJ15" s="827"/>
      <c r="ATK15" s="827"/>
      <c r="ATL15" s="827"/>
      <c r="ATM15" s="827"/>
      <c r="ATN15" s="827"/>
      <c r="ATO15" s="827"/>
      <c r="ATP15" s="827"/>
      <c r="ATQ15" s="827"/>
      <c r="ATR15" s="827"/>
      <c r="ATS15" s="827"/>
      <c r="ATT15" s="827"/>
      <c r="ATU15" s="827"/>
      <c r="ATV15" s="827"/>
      <c r="ATW15" s="827"/>
      <c r="ATX15" s="827"/>
      <c r="ATY15" s="827"/>
      <c r="ATZ15" s="827"/>
      <c r="AUA15" s="827"/>
      <c r="AUB15" s="827"/>
      <c r="AUC15" s="827"/>
      <c r="AUD15" s="827"/>
      <c r="AUE15" s="827"/>
      <c r="AUF15" s="827"/>
      <c r="AUG15" s="827"/>
      <c r="AUH15" s="827"/>
      <c r="AUI15" s="827"/>
      <c r="AUJ15" s="827"/>
      <c r="AUK15" s="827"/>
      <c r="AUL15" s="827"/>
      <c r="AUM15" s="827"/>
      <c r="AUN15" s="827"/>
      <c r="AUO15" s="827"/>
      <c r="AUP15" s="827"/>
      <c r="AUQ15" s="827"/>
      <c r="AUR15" s="827"/>
      <c r="AUS15" s="827"/>
      <c r="AUT15" s="827"/>
      <c r="AUU15" s="827"/>
      <c r="AUV15" s="827"/>
      <c r="AUW15" s="827"/>
      <c r="AUX15" s="827"/>
      <c r="AUY15" s="827"/>
      <c r="AUZ15" s="827"/>
      <c r="AVA15" s="827"/>
      <c r="AVB15" s="827"/>
      <c r="AVC15" s="827"/>
      <c r="AVD15" s="827"/>
      <c r="AVE15" s="827"/>
      <c r="AVF15" s="827"/>
      <c r="AVG15" s="827"/>
      <c r="AVH15" s="827"/>
      <c r="AVI15" s="827"/>
      <c r="AVJ15" s="827"/>
      <c r="AVK15" s="827"/>
      <c r="AVL15" s="827"/>
      <c r="AVM15" s="827"/>
      <c r="AVN15" s="827"/>
      <c r="AVO15" s="827"/>
      <c r="AVP15" s="827"/>
      <c r="AVQ15" s="827"/>
      <c r="AVR15" s="827"/>
      <c r="AVS15" s="827"/>
      <c r="AVT15" s="827"/>
      <c r="AVU15" s="827"/>
      <c r="AVV15" s="827"/>
      <c r="AVW15" s="827"/>
      <c r="AVX15" s="827"/>
      <c r="AVY15" s="827"/>
      <c r="AVZ15" s="827"/>
      <c r="AWA15" s="827"/>
      <c r="AWB15" s="827"/>
      <c r="AWC15" s="827"/>
      <c r="AWD15" s="827"/>
      <c r="AWE15" s="827"/>
      <c r="AWF15" s="827"/>
      <c r="AWG15" s="827"/>
      <c r="AWH15" s="827"/>
      <c r="AWI15" s="827"/>
      <c r="AWJ15" s="827"/>
      <c r="AWK15" s="827"/>
      <c r="AWL15" s="827"/>
      <c r="AWM15" s="827"/>
      <c r="AWN15" s="827"/>
      <c r="AWO15" s="827"/>
      <c r="AWP15" s="827"/>
      <c r="AWQ15" s="827"/>
      <c r="AWR15" s="827"/>
      <c r="AWS15" s="827"/>
      <c r="AWT15" s="827"/>
      <c r="AWU15" s="827"/>
      <c r="AWV15" s="827"/>
      <c r="AWW15" s="827"/>
      <c r="AWX15" s="827"/>
      <c r="AWY15" s="827"/>
      <c r="AWZ15" s="827"/>
      <c r="AXA15" s="827"/>
      <c r="AXB15" s="827"/>
      <c r="AXC15" s="827"/>
      <c r="AXD15" s="827"/>
      <c r="AXE15" s="827"/>
      <c r="AXF15" s="827"/>
      <c r="AXG15" s="827"/>
      <c r="AXH15" s="827"/>
      <c r="AXI15" s="827"/>
      <c r="AXJ15" s="827"/>
      <c r="AXK15" s="827"/>
      <c r="AXL15" s="827"/>
      <c r="AXM15" s="827"/>
      <c r="AXN15" s="827"/>
      <c r="AXO15" s="827"/>
      <c r="AXP15" s="827"/>
      <c r="AXQ15" s="827"/>
      <c r="AXR15" s="827"/>
      <c r="AXS15" s="827"/>
      <c r="AXT15" s="827"/>
      <c r="AXU15" s="827"/>
      <c r="AXV15" s="827"/>
      <c r="AXW15" s="827"/>
      <c r="AXX15" s="827"/>
      <c r="AXY15" s="827"/>
      <c r="AXZ15" s="827"/>
      <c r="AYA15" s="827"/>
      <c r="AYB15" s="827"/>
      <c r="AYC15" s="827"/>
      <c r="AYD15" s="827"/>
      <c r="AYE15" s="827"/>
      <c r="AYF15" s="827"/>
      <c r="AYG15" s="827"/>
      <c r="AYH15" s="827"/>
      <c r="AYI15" s="827"/>
      <c r="AYJ15" s="827"/>
      <c r="AYK15" s="827"/>
      <c r="AYL15" s="827"/>
      <c r="AYM15" s="827"/>
      <c r="AYN15" s="827"/>
      <c r="AYO15" s="827"/>
      <c r="AYP15" s="827"/>
      <c r="AYQ15" s="827"/>
      <c r="AYR15" s="827"/>
      <c r="AYS15" s="827"/>
      <c r="AYT15" s="827"/>
      <c r="AYU15" s="827"/>
      <c r="AYV15" s="827"/>
      <c r="AYW15" s="827"/>
      <c r="AYX15" s="827"/>
      <c r="AYY15" s="827"/>
      <c r="AYZ15" s="827"/>
      <c r="AZA15" s="827"/>
      <c r="AZB15" s="827"/>
      <c r="AZC15" s="827"/>
      <c r="AZD15" s="827"/>
      <c r="AZE15" s="827"/>
      <c r="AZF15" s="827"/>
      <c r="AZG15" s="827"/>
      <c r="AZH15" s="827"/>
      <c r="AZI15" s="827"/>
      <c r="AZJ15" s="827"/>
      <c r="AZK15" s="827"/>
      <c r="AZL15" s="827"/>
      <c r="AZM15" s="827"/>
      <c r="AZN15" s="827"/>
      <c r="AZO15" s="827"/>
      <c r="AZP15" s="827"/>
      <c r="AZQ15" s="827"/>
      <c r="AZR15" s="827"/>
      <c r="AZS15" s="827"/>
      <c r="AZT15" s="827"/>
      <c r="AZU15" s="827"/>
      <c r="AZV15" s="827"/>
      <c r="AZW15" s="827"/>
      <c r="AZX15" s="827"/>
      <c r="AZY15" s="827"/>
      <c r="AZZ15" s="827"/>
      <c r="BAA15" s="827"/>
      <c r="BAB15" s="827"/>
      <c r="BAC15" s="827"/>
      <c r="BAD15" s="827"/>
      <c r="BAE15" s="827"/>
      <c r="BAF15" s="827"/>
      <c r="BAG15" s="827"/>
      <c r="BAH15" s="827"/>
      <c r="BAI15" s="827"/>
      <c r="BAJ15" s="827"/>
      <c r="BAK15" s="827"/>
      <c r="BAL15" s="827"/>
      <c r="BAM15" s="827"/>
      <c r="BAN15" s="827"/>
      <c r="BAO15" s="827"/>
      <c r="BAP15" s="827"/>
      <c r="BAQ15" s="827"/>
      <c r="BAR15" s="827"/>
      <c r="BAS15" s="827"/>
      <c r="BAT15" s="827"/>
      <c r="BAU15" s="827"/>
      <c r="BAV15" s="827"/>
      <c r="BAW15" s="827"/>
      <c r="BAX15" s="827"/>
      <c r="BAY15" s="827"/>
      <c r="BAZ15" s="827"/>
      <c r="BBA15" s="827"/>
      <c r="BBB15" s="827"/>
      <c r="BBC15" s="827"/>
      <c r="BBD15" s="827"/>
      <c r="BBE15" s="827"/>
      <c r="BBF15" s="827"/>
      <c r="BBG15" s="827"/>
      <c r="BBH15" s="827"/>
      <c r="BBI15" s="827"/>
      <c r="BBJ15" s="827"/>
      <c r="BBK15" s="827"/>
      <c r="BBL15" s="827"/>
      <c r="BBM15" s="827"/>
      <c r="BBN15" s="827"/>
      <c r="BBO15" s="827"/>
      <c r="BBP15" s="827"/>
      <c r="BBQ15" s="827"/>
      <c r="BBR15" s="827"/>
      <c r="BBS15" s="827"/>
      <c r="BBT15" s="827"/>
      <c r="BBU15" s="827"/>
      <c r="BBV15" s="827"/>
      <c r="BBW15" s="827"/>
      <c r="BBX15" s="827"/>
      <c r="BBY15" s="827"/>
      <c r="BBZ15" s="827"/>
      <c r="BCA15" s="827"/>
      <c r="BCB15" s="827"/>
      <c r="BCC15" s="827"/>
      <c r="BCD15" s="827"/>
      <c r="BCE15" s="827"/>
      <c r="BCF15" s="827"/>
      <c r="BCG15" s="827"/>
      <c r="BCH15" s="827"/>
      <c r="BCI15" s="827"/>
      <c r="BCJ15" s="827"/>
      <c r="BCK15" s="827"/>
      <c r="BCL15" s="827"/>
      <c r="BCM15" s="827"/>
      <c r="BCN15" s="827"/>
      <c r="BCO15" s="827"/>
      <c r="BCP15" s="827"/>
      <c r="BCQ15" s="827"/>
      <c r="BCR15" s="827"/>
      <c r="BCS15" s="827"/>
      <c r="BCT15" s="827"/>
      <c r="BCU15" s="827"/>
      <c r="BCV15" s="827"/>
      <c r="BCW15" s="827"/>
      <c r="BCX15" s="827"/>
      <c r="BCY15" s="827"/>
      <c r="BCZ15" s="827"/>
      <c r="BDA15" s="827"/>
      <c r="BDB15" s="827"/>
      <c r="BDC15" s="827"/>
      <c r="BDD15" s="827"/>
      <c r="BDE15" s="827"/>
      <c r="BDF15" s="827"/>
      <c r="BDG15" s="827"/>
      <c r="BDH15" s="827"/>
      <c r="BDI15" s="827"/>
      <c r="BDJ15" s="827"/>
      <c r="BDK15" s="827"/>
      <c r="BDL15" s="827"/>
      <c r="BDM15" s="827"/>
      <c r="BDN15" s="827"/>
      <c r="BDO15" s="827"/>
      <c r="BDP15" s="827"/>
      <c r="BDQ15" s="827"/>
      <c r="BDR15" s="827"/>
      <c r="BDS15" s="827"/>
      <c r="BDT15" s="827"/>
      <c r="BDU15" s="827"/>
      <c r="BDV15" s="827"/>
      <c r="BDW15" s="827"/>
      <c r="BDX15" s="827"/>
      <c r="BDY15" s="827"/>
      <c r="BDZ15" s="827"/>
      <c r="BEA15" s="827"/>
      <c r="BEB15" s="827"/>
      <c r="BEC15" s="827"/>
      <c r="BED15" s="827"/>
      <c r="BEE15" s="827"/>
      <c r="BEF15" s="827"/>
      <c r="BEG15" s="827"/>
      <c r="BEH15" s="827"/>
      <c r="BEI15" s="827"/>
      <c r="BEJ15" s="827"/>
      <c r="BEK15" s="827"/>
      <c r="BEL15" s="827"/>
      <c r="BEM15" s="827"/>
      <c r="BEN15" s="827"/>
      <c r="BEO15" s="827"/>
      <c r="BEP15" s="827"/>
      <c r="BEQ15" s="827"/>
      <c r="BER15" s="827"/>
      <c r="BES15" s="827"/>
      <c r="BET15" s="827"/>
      <c r="BEU15" s="827"/>
      <c r="BEV15" s="827"/>
      <c r="BEW15" s="827"/>
      <c r="BEX15" s="827"/>
      <c r="BEY15" s="827"/>
      <c r="BEZ15" s="827"/>
      <c r="BFA15" s="827"/>
      <c r="BFB15" s="827"/>
      <c r="BFC15" s="827"/>
      <c r="BFD15" s="827"/>
      <c r="BFE15" s="827"/>
      <c r="BFF15" s="827"/>
      <c r="BFG15" s="827"/>
      <c r="BFH15" s="827"/>
      <c r="BFI15" s="827"/>
      <c r="BFJ15" s="827"/>
      <c r="BFK15" s="827"/>
      <c r="BFL15" s="827"/>
      <c r="BFM15" s="827"/>
      <c r="BFN15" s="827"/>
      <c r="BFO15" s="827"/>
      <c r="BFP15" s="827"/>
      <c r="BFQ15" s="827"/>
      <c r="BFR15" s="827"/>
      <c r="BFS15" s="827"/>
      <c r="BFT15" s="827"/>
      <c r="BFU15" s="827"/>
      <c r="BFV15" s="827"/>
      <c r="BFW15" s="827"/>
      <c r="BFX15" s="827"/>
      <c r="BFY15" s="827"/>
      <c r="BFZ15" s="827"/>
      <c r="BGA15" s="827"/>
      <c r="BGB15" s="827"/>
      <c r="BGC15" s="827"/>
      <c r="BGD15" s="827"/>
      <c r="BGE15" s="827"/>
      <c r="BGF15" s="827"/>
      <c r="BGG15" s="827"/>
      <c r="BGH15" s="827"/>
      <c r="BGI15" s="827"/>
      <c r="BGJ15" s="827"/>
      <c r="BGK15" s="827"/>
      <c r="BGL15" s="827"/>
      <c r="BGM15" s="827"/>
      <c r="BGN15" s="827"/>
      <c r="BGO15" s="827"/>
      <c r="BGP15" s="827"/>
      <c r="BGQ15" s="827"/>
      <c r="BGR15" s="827"/>
      <c r="BGS15" s="827"/>
      <c r="BGT15" s="827"/>
      <c r="BGU15" s="827"/>
      <c r="BGV15" s="827"/>
      <c r="BGW15" s="827"/>
      <c r="BGX15" s="827"/>
      <c r="BGY15" s="827"/>
      <c r="BGZ15" s="827"/>
      <c r="BHA15" s="827"/>
      <c r="BHB15" s="827"/>
      <c r="BHC15" s="827"/>
      <c r="BHD15" s="827"/>
      <c r="BHE15" s="827"/>
      <c r="BHF15" s="827"/>
      <c r="BHG15" s="827"/>
      <c r="BHH15" s="827"/>
      <c r="BHI15" s="827"/>
      <c r="BHJ15" s="827"/>
      <c r="BHK15" s="827"/>
      <c r="BHL15" s="827"/>
      <c r="BHM15" s="827"/>
      <c r="BHN15" s="827"/>
      <c r="BHO15" s="827"/>
      <c r="BHP15" s="827"/>
      <c r="BHQ15" s="827"/>
      <c r="BHR15" s="827"/>
      <c r="BHS15" s="827"/>
      <c r="BHT15" s="827"/>
      <c r="BHU15" s="827"/>
      <c r="BHV15" s="827"/>
      <c r="BHW15" s="827"/>
      <c r="BHX15" s="827"/>
      <c r="BHY15" s="827"/>
      <c r="BHZ15" s="827"/>
      <c r="BIA15" s="827"/>
      <c r="BIB15" s="827"/>
      <c r="BIC15" s="827"/>
      <c r="BID15" s="827"/>
      <c r="BIE15" s="827"/>
      <c r="BIF15" s="827"/>
      <c r="BIG15" s="827"/>
      <c r="BIH15" s="827"/>
      <c r="BII15" s="827"/>
      <c r="BIJ15" s="827"/>
      <c r="BIK15" s="827"/>
      <c r="BIL15" s="827"/>
      <c r="BIM15" s="827"/>
      <c r="BIN15" s="827"/>
      <c r="BIO15" s="827"/>
      <c r="BIP15" s="827"/>
      <c r="BIQ15" s="827"/>
      <c r="BIR15" s="827"/>
      <c r="BIS15" s="827"/>
      <c r="BIT15" s="827"/>
      <c r="BIU15" s="827"/>
      <c r="BIV15" s="827"/>
      <c r="BIW15" s="827"/>
      <c r="BIX15" s="827"/>
      <c r="BIY15" s="827"/>
      <c r="BIZ15" s="827"/>
      <c r="BJA15" s="827"/>
      <c r="BJB15" s="827"/>
      <c r="BJC15" s="827"/>
      <c r="BJD15" s="827"/>
      <c r="BJE15" s="827"/>
      <c r="BJF15" s="827"/>
      <c r="BJG15" s="827"/>
      <c r="BJH15" s="827"/>
      <c r="BJI15" s="827"/>
      <c r="BJJ15" s="827"/>
      <c r="BJK15" s="827"/>
      <c r="BJL15" s="827"/>
      <c r="BJM15" s="827"/>
      <c r="BJN15" s="827"/>
      <c r="BJO15" s="827"/>
      <c r="BJP15" s="827"/>
      <c r="BJQ15" s="827"/>
      <c r="BJR15" s="827"/>
      <c r="BJS15" s="827"/>
      <c r="BJT15" s="827"/>
      <c r="BJU15" s="827"/>
      <c r="BJV15" s="827"/>
      <c r="BJW15" s="827"/>
      <c r="BJX15" s="827"/>
      <c r="BJY15" s="827"/>
      <c r="BJZ15" s="827"/>
      <c r="BKA15" s="827"/>
      <c r="BKB15" s="827"/>
      <c r="BKC15" s="827"/>
      <c r="BKD15" s="827"/>
      <c r="BKE15" s="827"/>
      <c r="BKF15" s="827"/>
      <c r="BKG15" s="827"/>
      <c r="BKH15" s="827"/>
      <c r="BKI15" s="827"/>
      <c r="BKJ15" s="827"/>
      <c r="BKK15" s="827"/>
      <c r="BKL15" s="827"/>
      <c r="BKM15" s="827"/>
      <c r="BKN15" s="827"/>
      <c r="BKO15" s="827"/>
      <c r="BKP15" s="827"/>
      <c r="BKQ15" s="827"/>
      <c r="BKR15" s="827"/>
      <c r="BKS15" s="827"/>
      <c r="BKT15" s="827"/>
      <c r="BKU15" s="827"/>
      <c r="BKV15" s="827"/>
      <c r="BKW15" s="827"/>
      <c r="BKX15" s="827"/>
      <c r="BKY15" s="827"/>
      <c r="BKZ15" s="827"/>
      <c r="BLA15" s="827"/>
      <c r="BLB15" s="827"/>
      <c r="BLC15" s="827"/>
      <c r="BLD15" s="827"/>
      <c r="BLE15" s="827"/>
      <c r="BLF15" s="827"/>
      <c r="BLG15" s="827"/>
      <c r="BLH15" s="827"/>
      <c r="BLI15" s="827"/>
      <c r="BLJ15" s="827"/>
      <c r="BLK15" s="827"/>
      <c r="BLL15" s="827"/>
      <c r="BLM15" s="827"/>
      <c r="BLN15" s="827"/>
      <c r="BLO15" s="827"/>
      <c r="BLP15" s="827"/>
      <c r="BLQ15" s="827"/>
      <c r="BLR15" s="827"/>
      <c r="BLS15" s="827"/>
      <c r="BLT15" s="827"/>
      <c r="BLU15" s="827"/>
      <c r="BLV15" s="827"/>
      <c r="BLW15" s="827"/>
      <c r="BLX15" s="827"/>
      <c r="BLY15" s="827"/>
      <c r="BLZ15" s="827"/>
      <c r="BMA15" s="827"/>
      <c r="BMB15" s="827"/>
      <c r="BMC15" s="827"/>
      <c r="BMD15" s="827"/>
      <c r="BME15" s="827"/>
      <c r="BMF15" s="827"/>
      <c r="BMG15" s="827"/>
      <c r="BMH15" s="827"/>
      <c r="BMI15" s="827"/>
      <c r="BMJ15" s="827"/>
      <c r="BMK15" s="827"/>
      <c r="BML15" s="827"/>
      <c r="BMM15" s="827"/>
      <c r="BMN15" s="827"/>
      <c r="BMO15" s="827"/>
      <c r="BMP15" s="827"/>
      <c r="BMQ15" s="827"/>
      <c r="BMR15" s="827"/>
      <c r="BMS15" s="827"/>
      <c r="BMT15" s="827"/>
      <c r="BMU15" s="827"/>
      <c r="BMV15" s="827"/>
      <c r="BMW15" s="827"/>
      <c r="BMX15" s="827"/>
      <c r="BMY15" s="827"/>
      <c r="BMZ15" s="827"/>
      <c r="BNA15" s="827"/>
      <c r="BNB15" s="827"/>
      <c r="BNC15" s="827"/>
      <c r="BND15" s="827"/>
      <c r="BNE15" s="827"/>
      <c r="BNF15" s="827"/>
      <c r="BNG15" s="827"/>
      <c r="BNH15" s="827"/>
      <c r="BNI15" s="827"/>
      <c r="BNJ15" s="827"/>
      <c r="BNK15" s="827"/>
      <c r="BNL15" s="827"/>
      <c r="BNM15" s="827"/>
      <c r="BNN15" s="827"/>
      <c r="BNO15" s="827"/>
      <c r="BNP15" s="827"/>
      <c r="BNQ15" s="827"/>
      <c r="BNR15" s="827"/>
      <c r="BNS15" s="827"/>
      <c r="BNT15" s="827"/>
      <c r="BNU15" s="827"/>
      <c r="BNV15" s="827"/>
      <c r="BNW15" s="827"/>
      <c r="BNX15" s="827"/>
      <c r="BNY15" s="827"/>
      <c r="BNZ15" s="827"/>
      <c r="BOA15" s="827"/>
      <c r="BOB15" s="827"/>
      <c r="BOC15" s="827"/>
      <c r="BOD15" s="827"/>
      <c r="BOE15" s="827"/>
      <c r="BOF15" s="827"/>
      <c r="BOG15" s="827"/>
      <c r="BOH15" s="827"/>
      <c r="BOI15" s="827"/>
      <c r="BOJ15" s="827"/>
      <c r="BOK15" s="827"/>
      <c r="BOL15" s="827"/>
      <c r="BOM15" s="827"/>
      <c r="BON15" s="827"/>
      <c r="BOO15" s="827"/>
      <c r="BOP15" s="827"/>
      <c r="BOQ15" s="827"/>
      <c r="BOR15" s="827"/>
      <c r="BOS15" s="827"/>
      <c r="BOT15" s="827"/>
      <c r="BOU15" s="827"/>
      <c r="BOV15" s="827"/>
      <c r="BOW15" s="827"/>
      <c r="BOX15" s="827"/>
      <c r="BOY15" s="827"/>
      <c r="BOZ15" s="827"/>
      <c r="BPA15" s="827"/>
      <c r="BPB15" s="827"/>
      <c r="BPC15" s="827"/>
      <c r="BPD15" s="827"/>
      <c r="BPE15" s="827"/>
      <c r="BPF15" s="827"/>
      <c r="BPG15" s="827"/>
      <c r="BPH15" s="827"/>
      <c r="BPI15" s="827"/>
      <c r="BPJ15" s="827"/>
      <c r="BPK15" s="827"/>
      <c r="BPL15" s="827"/>
      <c r="BPM15" s="827"/>
      <c r="BPN15" s="827"/>
      <c r="BPO15" s="827"/>
      <c r="BPP15" s="827"/>
      <c r="BPQ15" s="827"/>
      <c r="BPR15" s="827"/>
      <c r="BPS15" s="827"/>
      <c r="BPT15" s="827"/>
      <c r="BPU15" s="827"/>
      <c r="BPV15" s="827"/>
      <c r="BPW15" s="827"/>
      <c r="BPX15" s="827"/>
      <c r="BPY15" s="827"/>
      <c r="BPZ15" s="827"/>
      <c r="BQA15" s="827"/>
      <c r="BQB15" s="827"/>
      <c r="BQC15" s="827"/>
      <c r="BQD15" s="827"/>
      <c r="BQE15" s="827"/>
      <c r="BQF15" s="827"/>
      <c r="BQG15" s="827"/>
      <c r="BQH15" s="827"/>
      <c r="BQI15" s="827"/>
      <c r="BQJ15" s="827"/>
      <c r="BQK15" s="827"/>
      <c r="BQL15" s="827"/>
      <c r="BQM15" s="827"/>
      <c r="BQN15" s="827"/>
      <c r="BQO15" s="827"/>
      <c r="BQP15" s="827"/>
      <c r="BQQ15" s="827"/>
      <c r="BQR15" s="827"/>
      <c r="BQS15" s="827"/>
      <c r="BQT15" s="827"/>
      <c r="BQU15" s="827"/>
      <c r="BQV15" s="827"/>
      <c r="BQW15" s="827"/>
      <c r="BQX15" s="827"/>
      <c r="BQY15" s="827"/>
      <c r="BQZ15" s="827"/>
      <c r="BRA15" s="827"/>
      <c r="BRB15" s="827"/>
      <c r="BRC15" s="827"/>
      <c r="BRD15" s="827"/>
      <c r="BRE15" s="827"/>
      <c r="BRF15" s="827"/>
      <c r="BRG15" s="827"/>
      <c r="BRH15" s="827"/>
      <c r="BRI15" s="827"/>
      <c r="BRJ15" s="827"/>
      <c r="BRK15" s="827"/>
      <c r="BRL15" s="827"/>
      <c r="BRM15" s="827"/>
      <c r="BRN15" s="827"/>
      <c r="BRO15" s="827"/>
      <c r="BRP15" s="827"/>
      <c r="BRQ15" s="827"/>
      <c r="BRR15" s="827"/>
      <c r="BRS15" s="827"/>
      <c r="BRT15" s="827"/>
      <c r="BRU15" s="827"/>
      <c r="BRV15" s="827"/>
      <c r="BRW15" s="827"/>
      <c r="BRX15" s="827"/>
      <c r="BRY15" s="827"/>
      <c r="BRZ15" s="827"/>
      <c r="BSA15" s="827"/>
      <c r="BSB15" s="827"/>
      <c r="BSC15" s="827"/>
      <c r="BSD15" s="827"/>
      <c r="BSE15" s="827"/>
      <c r="BSF15" s="827"/>
      <c r="BSG15" s="827"/>
      <c r="BSH15" s="827"/>
      <c r="BSI15" s="827"/>
      <c r="BSJ15" s="827"/>
      <c r="BSK15" s="827"/>
      <c r="BSL15" s="827"/>
      <c r="BSM15" s="827"/>
      <c r="BSN15" s="827"/>
      <c r="BSO15" s="827"/>
      <c r="BSP15" s="827"/>
      <c r="BSQ15" s="827"/>
      <c r="BSR15" s="827"/>
      <c r="BSS15" s="827"/>
      <c r="BST15" s="827"/>
    </row>
    <row r="16" spans="1:1866" s="824" customFormat="1" ht="21.9" customHeight="1" x14ac:dyDescent="0.25">
      <c r="A16" s="827"/>
      <c r="B16" s="3157" t="s">
        <v>840</v>
      </c>
      <c r="C16" s="3158"/>
      <c r="D16" s="3159"/>
      <c r="E16" s="1477"/>
      <c r="F16" s="1477"/>
      <c r="G16" s="1477"/>
      <c r="H16" s="1477"/>
      <c r="I16" s="1477"/>
      <c r="J16" s="1477"/>
      <c r="K16" s="1477"/>
      <c r="L16" s="1477"/>
      <c r="M16" s="1477"/>
      <c r="N16" s="1477"/>
      <c r="O16" s="1477"/>
      <c r="P16" s="1477"/>
      <c r="Q16" s="1477"/>
      <c r="R16" s="1477"/>
      <c r="S16" s="1477"/>
      <c r="T16" s="1477"/>
      <c r="U16" s="1477"/>
      <c r="V16" s="1478"/>
      <c r="W16" s="834"/>
      <c r="X16" s="834"/>
      <c r="Y16" s="834"/>
      <c r="Z16" s="834"/>
      <c r="AA16" s="867"/>
      <c r="AB16" s="834"/>
      <c r="AC16" s="834"/>
      <c r="AD16" s="834"/>
      <c r="AE16" s="834"/>
      <c r="AF16" s="834"/>
      <c r="AG16" s="834"/>
      <c r="AH16" s="834"/>
      <c r="AI16" s="834"/>
      <c r="AJ16" s="834"/>
      <c r="AK16" s="834"/>
      <c r="AL16" s="834"/>
      <c r="AM16" s="827"/>
      <c r="AN16" s="827"/>
      <c r="AO16" s="827"/>
      <c r="AP16" s="827"/>
      <c r="AQ16" s="827"/>
      <c r="AR16" s="827"/>
      <c r="AS16" s="827"/>
      <c r="AT16" s="827"/>
      <c r="AU16" s="827"/>
      <c r="AV16" s="827"/>
      <c r="AW16" s="827"/>
      <c r="AX16" s="827"/>
      <c r="AY16" s="827"/>
      <c r="AZ16" s="827"/>
      <c r="BA16" s="827"/>
      <c r="BB16" s="827"/>
      <c r="BC16" s="827"/>
      <c r="BD16" s="827"/>
      <c r="BE16" s="827"/>
      <c r="BF16" s="827"/>
      <c r="BG16" s="827"/>
      <c r="BH16" s="827"/>
      <c r="BI16" s="827"/>
      <c r="BJ16" s="827"/>
      <c r="BK16" s="827"/>
      <c r="BL16" s="827"/>
      <c r="BM16" s="827"/>
      <c r="BN16" s="827"/>
      <c r="BO16" s="827"/>
      <c r="BP16" s="827"/>
      <c r="BQ16" s="827"/>
      <c r="BR16" s="827"/>
      <c r="BS16" s="827"/>
      <c r="BT16" s="827"/>
      <c r="BU16" s="827"/>
      <c r="BV16" s="827"/>
      <c r="BW16" s="827"/>
      <c r="BX16" s="827"/>
      <c r="BY16" s="827"/>
      <c r="BZ16" s="827"/>
      <c r="CA16" s="827"/>
      <c r="CB16" s="827"/>
      <c r="CC16" s="827"/>
      <c r="CD16" s="827"/>
      <c r="CE16" s="827"/>
      <c r="CF16" s="827"/>
      <c r="CG16" s="827"/>
      <c r="CH16" s="827"/>
      <c r="CI16" s="827"/>
      <c r="CJ16" s="827"/>
      <c r="CK16" s="827"/>
      <c r="CL16" s="827"/>
      <c r="CM16" s="827"/>
      <c r="CN16" s="827"/>
      <c r="CO16" s="827"/>
      <c r="CP16" s="827"/>
      <c r="CQ16" s="827"/>
      <c r="CR16" s="827"/>
      <c r="CS16" s="827"/>
      <c r="CT16" s="827"/>
      <c r="CU16" s="827"/>
      <c r="CV16" s="827"/>
      <c r="CW16" s="827"/>
      <c r="CX16" s="827"/>
      <c r="CY16" s="827"/>
      <c r="CZ16" s="827"/>
      <c r="DA16" s="827"/>
      <c r="DB16" s="827"/>
      <c r="DC16" s="827"/>
      <c r="DD16" s="827"/>
      <c r="DE16" s="827"/>
      <c r="DF16" s="827"/>
      <c r="DG16" s="827"/>
      <c r="DH16" s="827"/>
      <c r="DI16" s="827"/>
      <c r="DJ16" s="827"/>
      <c r="DK16" s="827"/>
      <c r="DL16" s="827"/>
      <c r="DM16" s="827"/>
      <c r="DN16" s="827"/>
      <c r="DO16" s="827"/>
      <c r="DP16" s="827"/>
      <c r="DQ16" s="827"/>
      <c r="DR16" s="827"/>
      <c r="DS16" s="827"/>
      <c r="DT16" s="827"/>
      <c r="DU16" s="827"/>
      <c r="DV16" s="827"/>
      <c r="DW16" s="827"/>
      <c r="DX16" s="827"/>
      <c r="DY16" s="827"/>
      <c r="DZ16" s="827"/>
      <c r="EA16" s="827"/>
      <c r="EB16" s="827"/>
      <c r="EC16" s="827"/>
      <c r="ED16" s="827"/>
      <c r="EE16" s="827"/>
      <c r="EF16" s="827"/>
      <c r="EG16" s="827"/>
      <c r="EH16" s="827"/>
      <c r="EI16" s="827"/>
      <c r="EJ16" s="827"/>
      <c r="EK16" s="827"/>
      <c r="EL16" s="827"/>
      <c r="EM16" s="827"/>
      <c r="EN16" s="827"/>
      <c r="EO16" s="827"/>
      <c r="EP16" s="827"/>
      <c r="EQ16" s="827"/>
      <c r="ER16" s="827"/>
      <c r="ES16" s="827"/>
      <c r="ET16" s="827"/>
      <c r="EU16" s="827"/>
      <c r="EV16" s="827"/>
      <c r="EW16" s="827"/>
      <c r="EX16" s="827"/>
      <c r="EY16" s="827"/>
      <c r="EZ16" s="827"/>
      <c r="FA16" s="827"/>
      <c r="FB16" s="827"/>
      <c r="FC16" s="827"/>
      <c r="FD16" s="827"/>
      <c r="FE16" s="827"/>
      <c r="FF16" s="827"/>
      <c r="FG16" s="827"/>
      <c r="FH16" s="827"/>
      <c r="FI16" s="827"/>
      <c r="FJ16" s="827"/>
      <c r="FK16" s="827"/>
      <c r="FL16" s="827"/>
      <c r="FM16" s="827"/>
      <c r="FN16" s="827"/>
      <c r="FO16" s="827"/>
      <c r="FP16" s="827"/>
      <c r="FQ16" s="827"/>
      <c r="FR16" s="827"/>
      <c r="FS16" s="827"/>
      <c r="FT16" s="827"/>
      <c r="FU16" s="827"/>
      <c r="FV16" s="827"/>
      <c r="FW16" s="827"/>
      <c r="FX16" s="827"/>
      <c r="FY16" s="827"/>
      <c r="FZ16" s="827"/>
      <c r="GA16" s="827"/>
      <c r="GB16" s="827"/>
      <c r="GC16" s="827"/>
      <c r="GD16" s="827"/>
      <c r="GE16" s="827"/>
      <c r="GF16" s="827"/>
      <c r="GG16" s="827"/>
      <c r="GH16" s="827"/>
      <c r="GI16" s="827"/>
      <c r="GJ16" s="827"/>
      <c r="GK16" s="827"/>
      <c r="GL16" s="827"/>
      <c r="GM16" s="827"/>
      <c r="GN16" s="827"/>
      <c r="GO16" s="827"/>
      <c r="GP16" s="827"/>
      <c r="GQ16" s="827"/>
      <c r="GR16" s="827"/>
      <c r="GS16" s="827"/>
      <c r="GT16" s="827"/>
      <c r="GU16" s="827"/>
      <c r="GV16" s="827"/>
      <c r="GW16" s="827"/>
      <c r="GX16" s="827"/>
      <c r="GY16" s="827"/>
      <c r="GZ16" s="827"/>
      <c r="HA16" s="827"/>
      <c r="HB16" s="827"/>
      <c r="HC16" s="827"/>
      <c r="HD16" s="827"/>
      <c r="HE16" s="827"/>
      <c r="HF16" s="827"/>
      <c r="HG16" s="827"/>
      <c r="HH16" s="827"/>
      <c r="HI16" s="827"/>
      <c r="HJ16" s="827"/>
      <c r="HK16" s="827"/>
      <c r="HL16" s="827"/>
      <c r="HM16" s="827"/>
      <c r="HN16" s="827"/>
      <c r="HO16" s="827"/>
      <c r="HP16" s="827"/>
      <c r="HQ16" s="827"/>
      <c r="HR16" s="827"/>
      <c r="HS16" s="827"/>
      <c r="HT16" s="827"/>
      <c r="HU16" s="827"/>
      <c r="HV16" s="827"/>
      <c r="HW16" s="827"/>
      <c r="HX16" s="827"/>
      <c r="HY16" s="827"/>
      <c r="HZ16" s="827"/>
      <c r="IA16" s="827"/>
      <c r="IB16" s="827"/>
      <c r="IC16" s="827"/>
      <c r="ID16" s="827"/>
      <c r="IE16" s="827"/>
      <c r="IF16" s="827"/>
      <c r="IG16" s="827"/>
      <c r="IH16" s="827"/>
      <c r="II16" s="827"/>
      <c r="IJ16" s="827"/>
      <c r="IK16" s="827"/>
      <c r="IL16" s="827"/>
      <c r="IM16" s="827"/>
      <c r="IN16" s="827"/>
      <c r="IO16" s="827"/>
      <c r="IP16" s="827"/>
      <c r="IQ16" s="827"/>
      <c r="IR16" s="827"/>
      <c r="IS16" s="827"/>
      <c r="IT16" s="827"/>
      <c r="IU16" s="827"/>
      <c r="IV16" s="827"/>
      <c r="IW16" s="827"/>
      <c r="IX16" s="827"/>
      <c r="IY16" s="827"/>
      <c r="IZ16" s="827"/>
      <c r="JA16" s="827"/>
      <c r="JB16" s="827"/>
      <c r="JC16" s="827"/>
      <c r="JD16" s="827"/>
      <c r="JE16" s="827"/>
      <c r="JF16" s="827"/>
      <c r="JG16" s="827"/>
      <c r="JH16" s="827"/>
      <c r="JI16" s="827"/>
      <c r="JJ16" s="827"/>
      <c r="JK16" s="827"/>
      <c r="JL16" s="827"/>
      <c r="JM16" s="827"/>
      <c r="JN16" s="827"/>
      <c r="JO16" s="827"/>
      <c r="JP16" s="827"/>
      <c r="JQ16" s="827"/>
      <c r="JR16" s="827"/>
      <c r="JS16" s="827"/>
      <c r="JT16" s="827"/>
      <c r="JU16" s="827"/>
      <c r="JV16" s="827"/>
      <c r="JW16" s="827"/>
      <c r="JX16" s="827"/>
      <c r="JY16" s="827"/>
      <c r="JZ16" s="827"/>
      <c r="KA16" s="827"/>
      <c r="KB16" s="827"/>
      <c r="KC16" s="827"/>
      <c r="KD16" s="827"/>
      <c r="KE16" s="827"/>
      <c r="KF16" s="827"/>
      <c r="KG16" s="827"/>
      <c r="KH16" s="827"/>
      <c r="KI16" s="827"/>
      <c r="KJ16" s="827"/>
      <c r="KK16" s="827"/>
      <c r="KL16" s="827"/>
      <c r="KM16" s="827"/>
      <c r="KN16" s="827"/>
      <c r="KO16" s="827"/>
      <c r="KP16" s="827"/>
      <c r="KQ16" s="827"/>
      <c r="KR16" s="827"/>
      <c r="KS16" s="827"/>
      <c r="KT16" s="827"/>
      <c r="KU16" s="827"/>
      <c r="KV16" s="827"/>
      <c r="KW16" s="827"/>
      <c r="KX16" s="827"/>
      <c r="KY16" s="827"/>
      <c r="KZ16" s="827"/>
      <c r="LA16" s="827"/>
      <c r="LB16" s="827"/>
      <c r="LC16" s="827"/>
      <c r="LD16" s="827"/>
      <c r="LE16" s="827"/>
      <c r="LF16" s="827"/>
      <c r="LG16" s="827"/>
      <c r="LH16" s="827"/>
      <c r="LI16" s="827"/>
      <c r="LJ16" s="827"/>
      <c r="LK16" s="827"/>
      <c r="LL16" s="827"/>
      <c r="LM16" s="827"/>
      <c r="LN16" s="827"/>
      <c r="LO16" s="827"/>
      <c r="LP16" s="827"/>
      <c r="LQ16" s="827"/>
      <c r="LR16" s="827"/>
      <c r="LS16" s="827"/>
      <c r="LT16" s="827"/>
      <c r="LU16" s="827"/>
      <c r="LV16" s="827"/>
      <c r="LW16" s="827"/>
      <c r="LX16" s="827"/>
      <c r="LY16" s="827"/>
      <c r="LZ16" s="827"/>
      <c r="MA16" s="827"/>
      <c r="MB16" s="827"/>
      <c r="MC16" s="827"/>
      <c r="MD16" s="827"/>
      <c r="ME16" s="827"/>
      <c r="MF16" s="827"/>
      <c r="MG16" s="827"/>
      <c r="MH16" s="827"/>
      <c r="MI16" s="827"/>
      <c r="MJ16" s="827"/>
      <c r="MK16" s="827"/>
      <c r="ML16" s="827"/>
      <c r="MM16" s="827"/>
      <c r="MN16" s="827"/>
      <c r="MO16" s="827"/>
      <c r="MP16" s="827"/>
      <c r="MQ16" s="827"/>
      <c r="MR16" s="827"/>
      <c r="MS16" s="827"/>
      <c r="MT16" s="827"/>
      <c r="MU16" s="827"/>
      <c r="MV16" s="827"/>
      <c r="MW16" s="827"/>
      <c r="MX16" s="827"/>
      <c r="MY16" s="827"/>
      <c r="MZ16" s="827"/>
      <c r="NA16" s="827"/>
      <c r="NB16" s="827"/>
      <c r="NC16" s="827"/>
      <c r="ND16" s="827"/>
      <c r="NE16" s="827"/>
      <c r="NF16" s="827"/>
      <c r="NG16" s="827"/>
      <c r="NH16" s="827"/>
      <c r="NI16" s="827"/>
      <c r="NJ16" s="827"/>
      <c r="NK16" s="827"/>
      <c r="NL16" s="827"/>
      <c r="NM16" s="827"/>
      <c r="NN16" s="827"/>
      <c r="NO16" s="827"/>
      <c r="NP16" s="827"/>
      <c r="NQ16" s="827"/>
      <c r="NR16" s="827"/>
      <c r="NS16" s="827"/>
      <c r="NT16" s="827"/>
      <c r="NU16" s="827"/>
      <c r="NV16" s="827"/>
      <c r="NW16" s="827"/>
      <c r="NX16" s="827"/>
      <c r="NY16" s="827"/>
      <c r="NZ16" s="827"/>
      <c r="OA16" s="827"/>
      <c r="OB16" s="827"/>
      <c r="OC16" s="827"/>
      <c r="OD16" s="827"/>
      <c r="OE16" s="827"/>
      <c r="OF16" s="827"/>
      <c r="OG16" s="827"/>
      <c r="OH16" s="827"/>
      <c r="OI16" s="827"/>
      <c r="OJ16" s="827"/>
      <c r="OK16" s="827"/>
      <c r="OL16" s="827"/>
      <c r="OM16" s="827"/>
      <c r="ON16" s="827"/>
      <c r="OO16" s="827"/>
      <c r="OP16" s="827"/>
      <c r="OQ16" s="827"/>
      <c r="OR16" s="827"/>
      <c r="OS16" s="827"/>
      <c r="OT16" s="827"/>
      <c r="OU16" s="827"/>
      <c r="OV16" s="827"/>
      <c r="OW16" s="827"/>
      <c r="OX16" s="827"/>
      <c r="OY16" s="827"/>
      <c r="OZ16" s="827"/>
      <c r="PA16" s="827"/>
      <c r="PB16" s="827"/>
      <c r="PC16" s="827"/>
      <c r="PD16" s="827"/>
      <c r="PE16" s="827"/>
      <c r="PF16" s="827"/>
      <c r="PG16" s="827"/>
      <c r="PH16" s="827"/>
      <c r="PI16" s="827"/>
      <c r="PJ16" s="827"/>
      <c r="PK16" s="827"/>
      <c r="PL16" s="827"/>
      <c r="PM16" s="827"/>
      <c r="PN16" s="827"/>
      <c r="PO16" s="827"/>
      <c r="PP16" s="827"/>
      <c r="PQ16" s="827"/>
      <c r="PR16" s="827"/>
      <c r="PS16" s="827"/>
      <c r="PT16" s="827"/>
      <c r="PU16" s="827"/>
      <c r="PV16" s="827"/>
      <c r="PW16" s="827"/>
      <c r="PX16" s="827"/>
      <c r="PY16" s="827"/>
      <c r="PZ16" s="827"/>
      <c r="QA16" s="827"/>
      <c r="QB16" s="827"/>
      <c r="QC16" s="827"/>
      <c r="QD16" s="827"/>
      <c r="QE16" s="827"/>
      <c r="QF16" s="827"/>
      <c r="QG16" s="827"/>
      <c r="QH16" s="827"/>
      <c r="QI16" s="827"/>
      <c r="QJ16" s="827"/>
      <c r="QK16" s="827"/>
      <c r="QL16" s="827"/>
      <c r="QM16" s="827"/>
      <c r="QN16" s="827"/>
      <c r="QO16" s="827"/>
      <c r="QP16" s="827"/>
      <c r="QQ16" s="827"/>
      <c r="QR16" s="827"/>
      <c r="QS16" s="827"/>
      <c r="QT16" s="827"/>
      <c r="QU16" s="827"/>
      <c r="QV16" s="827"/>
      <c r="QW16" s="827"/>
      <c r="QX16" s="827"/>
      <c r="QY16" s="827"/>
      <c r="QZ16" s="827"/>
      <c r="RA16" s="827"/>
      <c r="RB16" s="827"/>
      <c r="RC16" s="827"/>
      <c r="RD16" s="827"/>
      <c r="RE16" s="827"/>
      <c r="RF16" s="827"/>
      <c r="RG16" s="827"/>
      <c r="RH16" s="827"/>
      <c r="RI16" s="827"/>
      <c r="RJ16" s="827"/>
      <c r="RK16" s="827"/>
      <c r="RL16" s="827"/>
      <c r="RM16" s="827"/>
      <c r="RN16" s="827"/>
      <c r="RO16" s="827"/>
      <c r="RP16" s="827"/>
      <c r="RQ16" s="827"/>
      <c r="RR16" s="827"/>
      <c r="RS16" s="827"/>
      <c r="RT16" s="827"/>
      <c r="RU16" s="827"/>
      <c r="RV16" s="827"/>
      <c r="RW16" s="827"/>
      <c r="RX16" s="827"/>
      <c r="RY16" s="827"/>
      <c r="RZ16" s="827"/>
      <c r="SA16" s="827"/>
      <c r="SB16" s="827"/>
      <c r="SC16" s="827"/>
      <c r="SD16" s="827"/>
      <c r="SE16" s="827"/>
      <c r="SF16" s="827"/>
      <c r="SG16" s="827"/>
      <c r="SH16" s="827"/>
      <c r="SI16" s="827"/>
      <c r="SJ16" s="827"/>
      <c r="SK16" s="827"/>
      <c r="SL16" s="827"/>
      <c r="SM16" s="827"/>
      <c r="SN16" s="827"/>
      <c r="SO16" s="827"/>
      <c r="SP16" s="827"/>
      <c r="SQ16" s="827"/>
      <c r="SR16" s="827"/>
      <c r="SS16" s="827"/>
      <c r="ST16" s="827"/>
      <c r="SU16" s="827"/>
      <c r="SV16" s="827"/>
      <c r="SW16" s="827"/>
      <c r="SX16" s="827"/>
      <c r="SY16" s="827"/>
      <c r="SZ16" s="827"/>
      <c r="TA16" s="827"/>
      <c r="TB16" s="827"/>
      <c r="TC16" s="827"/>
      <c r="TD16" s="827"/>
      <c r="TE16" s="827"/>
      <c r="TF16" s="827"/>
      <c r="TG16" s="827"/>
      <c r="TH16" s="827"/>
      <c r="TI16" s="827"/>
      <c r="TJ16" s="827"/>
      <c r="TK16" s="827"/>
      <c r="TL16" s="827"/>
      <c r="TM16" s="827"/>
      <c r="TN16" s="827"/>
      <c r="TO16" s="827"/>
      <c r="TP16" s="827"/>
      <c r="TQ16" s="827"/>
      <c r="TR16" s="827"/>
      <c r="TS16" s="827"/>
      <c r="TT16" s="827"/>
      <c r="TU16" s="827"/>
      <c r="TV16" s="827"/>
      <c r="TW16" s="827"/>
      <c r="TX16" s="827"/>
      <c r="TY16" s="827"/>
      <c r="TZ16" s="827"/>
      <c r="UA16" s="827"/>
      <c r="UB16" s="827"/>
      <c r="UC16" s="827"/>
      <c r="UD16" s="827"/>
      <c r="UE16" s="827"/>
      <c r="UF16" s="827"/>
      <c r="UG16" s="827"/>
      <c r="UH16" s="827"/>
      <c r="UI16" s="827"/>
      <c r="UJ16" s="827"/>
      <c r="UK16" s="827"/>
      <c r="UL16" s="827"/>
      <c r="UM16" s="827"/>
      <c r="UN16" s="827"/>
      <c r="UO16" s="827"/>
      <c r="UP16" s="827"/>
      <c r="UQ16" s="827"/>
      <c r="UR16" s="827"/>
      <c r="US16" s="827"/>
      <c r="UT16" s="827"/>
      <c r="UU16" s="827"/>
      <c r="UV16" s="827"/>
      <c r="UW16" s="827"/>
      <c r="UX16" s="827"/>
      <c r="UY16" s="827"/>
      <c r="UZ16" s="827"/>
      <c r="VA16" s="827"/>
      <c r="VB16" s="827"/>
      <c r="VC16" s="827"/>
      <c r="VD16" s="827"/>
      <c r="VE16" s="827"/>
      <c r="VF16" s="827"/>
      <c r="VG16" s="827"/>
      <c r="VH16" s="827"/>
      <c r="VI16" s="827"/>
      <c r="VJ16" s="827"/>
      <c r="VK16" s="827"/>
      <c r="VL16" s="827"/>
      <c r="VM16" s="827"/>
      <c r="VN16" s="827"/>
      <c r="VO16" s="827"/>
      <c r="VP16" s="827"/>
      <c r="VQ16" s="827"/>
      <c r="VR16" s="827"/>
      <c r="VS16" s="827"/>
      <c r="VT16" s="827"/>
      <c r="VU16" s="827"/>
      <c r="VV16" s="827"/>
      <c r="VW16" s="827"/>
      <c r="VX16" s="827"/>
      <c r="VY16" s="827"/>
      <c r="VZ16" s="827"/>
      <c r="WA16" s="827"/>
      <c r="WB16" s="827"/>
      <c r="WC16" s="827"/>
      <c r="WD16" s="827"/>
      <c r="WE16" s="827"/>
      <c r="WF16" s="827"/>
      <c r="WG16" s="827"/>
      <c r="WH16" s="827"/>
      <c r="WI16" s="827"/>
      <c r="WJ16" s="827"/>
      <c r="WK16" s="827"/>
      <c r="WL16" s="827"/>
      <c r="WM16" s="827"/>
      <c r="WN16" s="827"/>
      <c r="WO16" s="827"/>
      <c r="WP16" s="827"/>
      <c r="WQ16" s="827"/>
      <c r="WR16" s="827"/>
      <c r="WS16" s="827"/>
      <c r="WT16" s="827"/>
      <c r="WU16" s="827"/>
      <c r="WV16" s="827"/>
      <c r="WW16" s="827"/>
      <c r="WX16" s="827"/>
      <c r="WY16" s="827"/>
      <c r="WZ16" s="827"/>
      <c r="XA16" s="827"/>
      <c r="XB16" s="827"/>
      <c r="XC16" s="827"/>
      <c r="XD16" s="827"/>
      <c r="XE16" s="827"/>
      <c r="XF16" s="827"/>
      <c r="XG16" s="827"/>
      <c r="XH16" s="827"/>
      <c r="XI16" s="827"/>
      <c r="XJ16" s="827"/>
      <c r="XK16" s="827"/>
      <c r="XL16" s="827"/>
      <c r="XM16" s="827"/>
      <c r="XN16" s="827"/>
      <c r="XO16" s="827"/>
      <c r="XP16" s="827"/>
      <c r="XQ16" s="827"/>
      <c r="XR16" s="827"/>
      <c r="XS16" s="827"/>
      <c r="XT16" s="827"/>
      <c r="XU16" s="827"/>
      <c r="XV16" s="827"/>
      <c r="XW16" s="827"/>
      <c r="XX16" s="827"/>
      <c r="XY16" s="827"/>
      <c r="XZ16" s="827"/>
      <c r="YA16" s="827"/>
      <c r="YB16" s="827"/>
      <c r="YC16" s="827"/>
      <c r="YD16" s="827"/>
      <c r="YE16" s="827"/>
      <c r="YF16" s="827"/>
      <c r="YG16" s="827"/>
      <c r="YH16" s="827"/>
      <c r="YI16" s="827"/>
      <c r="YJ16" s="827"/>
      <c r="YK16" s="827"/>
      <c r="YL16" s="827"/>
      <c r="YM16" s="827"/>
      <c r="YN16" s="827"/>
      <c r="YO16" s="827"/>
      <c r="YP16" s="827"/>
      <c r="YQ16" s="827"/>
      <c r="YR16" s="827"/>
      <c r="YS16" s="827"/>
      <c r="YT16" s="827"/>
      <c r="YU16" s="827"/>
      <c r="YV16" s="827"/>
      <c r="YW16" s="827"/>
      <c r="YX16" s="827"/>
      <c r="YY16" s="827"/>
      <c r="YZ16" s="827"/>
      <c r="ZA16" s="827"/>
      <c r="ZB16" s="827"/>
      <c r="ZC16" s="827"/>
      <c r="ZD16" s="827"/>
      <c r="ZE16" s="827"/>
      <c r="ZF16" s="827"/>
      <c r="ZG16" s="827"/>
      <c r="ZH16" s="827"/>
      <c r="ZI16" s="827"/>
      <c r="ZJ16" s="827"/>
      <c r="ZK16" s="827"/>
      <c r="ZL16" s="827"/>
      <c r="ZM16" s="827"/>
      <c r="ZN16" s="827"/>
      <c r="ZO16" s="827"/>
      <c r="ZP16" s="827"/>
      <c r="ZQ16" s="827"/>
      <c r="ZR16" s="827"/>
      <c r="ZS16" s="827"/>
      <c r="ZT16" s="827"/>
      <c r="ZU16" s="827"/>
      <c r="ZV16" s="827"/>
      <c r="ZW16" s="827"/>
      <c r="ZX16" s="827"/>
      <c r="ZY16" s="827"/>
      <c r="ZZ16" s="827"/>
      <c r="AAA16" s="827"/>
      <c r="AAB16" s="827"/>
      <c r="AAC16" s="827"/>
      <c r="AAD16" s="827"/>
      <c r="AAE16" s="827"/>
      <c r="AAF16" s="827"/>
      <c r="AAG16" s="827"/>
      <c r="AAH16" s="827"/>
      <c r="AAI16" s="827"/>
      <c r="AAJ16" s="827"/>
      <c r="AAK16" s="827"/>
      <c r="AAL16" s="827"/>
      <c r="AAM16" s="827"/>
      <c r="AAN16" s="827"/>
      <c r="AAO16" s="827"/>
      <c r="AAP16" s="827"/>
      <c r="AAQ16" s="827"/>
      <c r="AAR16" s="827"/>
      <c r="AAS16" s="827"/>
      <c r="AAT16" s="827"/>
      <c r="AAU16" s="827"/>
      <c r="AAV16" s="827"/>
      <c r="AAW16" s="827"/>
      <c r="AAX16" s="827"/>
      <c r="AAY16" s="827"/>
      <c r="AAZ16" s="827"/>
      <c r="ABA16" s="827"/>
      <c r="ABB16" s="827"/>
      <c r="ABC16" s="827"/>
      <c r="ABD16" s="827"/>
      <c r="ABE16" s="827"/>
      <c r="ABF16" s="827"/>
      <c r="ABG16" s="827"/>
      <c r="ABH16" s="827"/>
      <c r="ABI16" s="827"/>
      <c r="ABJ16" s="827"/>
      <c r="ABK16" s="827"/>
      <c r="ABL16" s="827"/>
      <c r="ABM16" s="827"/>
      <c r="ABN16" s="827"/>
      <c r="ABO16" s="827"/>
      <c r="ABP16" s="827"/>
      <c r="ABQ16" s="827"/>
      <c r="ABR16" s="827"/>
      <c r="ABS16" s="827"/>
      <c r="ABT16" s="827"/>
      <c r="ABU16" s="827"/>
      <c r="ABV16" s="827"/>
      <c r="ABW16" s="827"/>
      <c r="ABX16" s="827"/>
      <c r="ABY16" s="827"/>
      <c r="ABZ16" s="827"/>
      <c r="ACA16" s="827"/>
      <c r="ACB16" s="827"/>
      <c r="ACC16" s="827"/>
      <c r="ACD16" s="827"/>
      <c r="ACE16" s="827"/>
      <c r="ACF16" s="827"/>
      <c r="ACG16" s="827"/>
      <c r="ACH16" s="827"/>
      <c r="ACI16" s="827"/>
      <c r="ACJ16" s="827"/>
      <c r="ACK16" s="827"/>
      <c r="ACL16" s="827"/>
      <c r="ACM16" s="827"/>
      <c r="ACN16" s="827"/>
      <c r="ACO16" s="827"/>
      <c r="ACP16" s="827"/>
      <c r="ACQ16" s="827"/>
      <c r="ACR16" s="827"/>
      <c r="ACS16" s="827"/>
      <c r="ACT16" s="827"/>
      <c r="ACU16" s="827"/>
      <c r="ACV16" s="827"/>
      <c r="ACW16" s="827"/>
      <c r="ACX16" s="827"/>
      <c r="ACY16" s="827"/>
      <c r="ACZ16" s="827"/>
      <c r="ADA16" s="827"/>
      <c r="ADB16" s="827"/>
      <c r="ADC16" s="827"/>
      <c r="ADD16" s="827"/>
      <c r="ADE16" s="827"/>
      <c r="ADF16" s="827"/>
      <c r="ADG16" s="827"/>
      <c r="ADH16" s="827"/>
      <c r="ADI16" s="827"/>
      <c r="ADJ16" s="827"/>
      <c r="ADK16" s="827"/>
      <c r="ADL16" s="827"/>
      <c r="ADM16" s="827"/>
      <c r="ADN16" s="827"/>
      <c r="ADO16" s="827"/>
      <c r="ADP16" s="827"/>
      <c r="ADQ16" s="827"/>
      <c r="ADR16" s="827"/>
      <c r="ADS16" s="827"/>
      <c r="ADT16" s="827"/>
      <c r="ADU16" s="827"/>
      <c r="ADV16" s="827"/>
      <c r="ADW16" s="827"/>
      <c r="ADX16" s="827"/>
      <c r="ADY16" s="827"/>
      <c r="ADZ16" s="827"/>
      <c r="AEA16" s="827"/>
      <c r="AEB16" s="827"/>
      <c r="AEC16" s="827"/>
      <c r="AED16" s="827"/>
      <c r="AEE16" s="827"/>
      <c r="AEF16" s="827"/>
      <c r="AEG16" s="827"/>
      <c r="AEH16" s="827"/>
      <c r="AEI16" s="827"/>
      <c r="AEJ16" s="827"/>
      <c r="AEK16" s="827"/>
      <c r="AEL16" s="827"/>
      <c r="AEM16" s="827"/>
      <c r="AEN16" s="827"/>
      <c r="AEO16" s="827"/>
      <c r="AEP16" s="827"/>
      <c r="AEQ16" s="827"/>
      <c r="AER16" s="827"/>
      <c r="AES16" s="827"/>
      <c r="AET16" s="827"/>
      <c r="AEU16" s="827"/>
      <c r="AEV16" s="827"/>
      <c r="AEW16" s="827"/>
      <c r="AEX16" s="827"/>
      <c r="AEY16" s="827"/>
      <c r="AEZ16" s="827"/>
      <c r="AFA16" s="827"/>
      <c r="AFB16" s="827"/>
      <c r="AFC16" s="827"/>
      <c r="AFD16" s="827"/>
      <c r="AFE16" s="827"/>
      <c r="AFF16" s="827"/>
      <c r="AFG16" s="827"/>
      <c r="AFH16" s="827"/>
      <c r="AFI16" s="827"/>
      <c r="AFJ16" s="827"/>
      <c r="AFK16" s="827"/>
      <c r="AFL16" s="827"/>
      <c r="AFM16" s="827"/>
      <c r="AFN16" s="827"/>
      <c r="AFO16" s="827"/>
      <c r="AFP16" s="827"/>
      <c r="AFQ16" s="827"/>
      <c r="AFR16" s="827"/>
      <c r="AFS16" s="827"/>
      <c r="AFT16" s="827"/>
      <c r="AFU16" s="827"/>
      <c r="AFV16" s="827"/>
      <c r="AFW16" s="827"/>
      <c r="AFX16" s="827"/>
      <c r="AFY16" s="827"/>
      <c r="AFZ16" s="827"/>
      <c r="AGA16" s="827"/>
      <c r="AGB16" s="827"/>
      <c r="AGC16" s="827"/>
      <c r="AGD16" s="827"/>
      <c r="AGE16" s="827"/>
      <c r="AGF16" s="827"/>
      <c r="AGG16" s="827"/>
      <c r="AGH16" s="827"/>
      <c r="AGI16" s="827"/>
      <c r="AGJ16" s="827"/>
      <c r="AGK16" s="827"/>
      <c r="AGL16" s="827"/>
      <c r="AGM16" s="827"/>
      <c r="AGN16" s="827"/>
      <c r="AGO16" s="827"/>
      <c r="AGP16" s="827"/>
      <c r="AGQ16" s="827"/>
      <c r="AGR16" s="827"/>
      <c r="AGS16" s="827"/>
      <c r="AGT16" s="827"/>
      <c r="AGU16" s="827"/>
      <c r="AGV16" s="827"/>
      <c r="AGW16" s="827"/>
      <c r="AGX16" s="827"/>
      <c r="AGY16" s="827"/>
      <c r="AGZ16" s="827"/>
      <c r="AHA16" s="827"/>
      <c r="AHB16" s="827"/>
      <c r="AHC16" s="827"/>
      <c r="AHD16" s="827"/>
      <c r="AHE16" s="827"/>
      <c r="AHF16" s="827"/>
      <c r="AHG16" s="827"/>
      <c r="AHH16" s="827"/>
      <c r="AHI16" s="827"/>
      <c r="AHJ16" s="827"/>
      <c r="AHK16" s="827"/>
      <c r="AHL16" s="827"/>
      <c r="AHM16" s="827"/>
      <c r="AHN16" s="827"/>
      <c r="AHO16" s="827"/>
      <c r="AHP16" s="827"/>
      <c r="AHQ16" s="827"/>
      <c r="AHR16" s="827"/>
      <c r="AHS16" s="827"/>
      <c r="AHT16" s="827"/>
      <c r="AHU16" s="827"/>
      <c r="AHV16" s="827"/>
      <c r="AHW16" s="827"/>
      <c r="AHX16" s="827"/>
      <c r="AHY16" s="827"/>
      <c r="AHZ16" s="827"/>
      <c r="AIA16" s="827"/>
      <c r="AIB16" s="827"/>
      <c r="AIC16" s="827"/>
      <c r="AID16" s="827"/>
      <c r="AIE16" s="827"/>
      <c r="AIF16" s="827"/>
      <c r="AIG16" s="827"/>
      <c r="AIH16" s="827"/>
      <c r="AII16" s="827"/>
      <c r="AIJ16" s="827"/>
      <c r="AIK16" s="827"/>
      <c r="AIL16" s="827"/>
      <c r="AIM16" s="827"/>
      <c r="AIN16" s="827"/>
      <c r="AIO16" s="827"/>
      <c r="AIP16" s="827"/>
      <c r="AIQ16" s="827"/>
      <c r="AIR16" s="827"/>
      <c r="AIS16" s="827"/>
      <c r="AIT16" s="827"/>
      <c r="AIU16" s="827"/>
      <c r="AIV16" s="827"/>
      <c r="AIW16" s="827"/>
      <c r="AIX16" s="827"/>
      <c r="AIY16" s="827"/>
      <c r="AIZ16" s="827"/>
      <c r="AJA16" s="827"/>
      <c r="AJB16" s="827"/>
      <c r="AJC16" s="827"/>
      <c r="AJD16" s="827"/>
      <c r="AJE16" s="827"/>
      <c r="AJF16" s="827"/>
      <c r="AJG16" s="827"/>
      <c r="AJH16" s="827"/>
      <c r="AJI16" s="827"/>
      <c r="AJJ16" s="827"/>
      <c r="AJK16" s="827"/>
      <c r="AJL16" s="827"/>
      <c r="AJM16" s="827"/>
      <c r="AJN16" s="827"/>
      <c r="AJO16" s="827"/>
      <c r="AJP16" s="827"/>
      <c r="AJQ16" s="827"/>
      <c r="AJR16" s="827"/>
      <c r="AJS16" s="827"/>
      <c r="AJT16" s="827"/>
      <c r="AJU16" s="827"/>
      <c r="AJV16" s="827"/>
      <c r="AJW16" s="827"/>
      <c r="AJX16" s="827"/>
      <c r="AJY16" s="827"/>
      <c r="AJZ16" s="827"/>
      <c r="AKA16" s="827"/>
      <c r="AKB16" s="827"/>
      <c r="AKC16" s="827"/>
      <c r="AKD16" s="827"/>
      <c r="AKE16" s="827"/>
      <c r="AKF16" s="827"/>
      <c r="AKG16" s="827"/>
      <c r="AKH16" s="827"/>
      <c r="AKI16" s="827"/>
      <c r="AKJ16" s="827"/>
      <c r="AKK16" s="827"/>
      <c r="AKL16" s="827"/>
      <c r="AKM16" s="827"/>
      <c r="AKN16" s="827"/>
      <c r="AKO16" s="827"/>
      <c r="AKP16" s="827"/>
      <c r="AKQ16" s="827"/>
      <c r="AKR16" s="827"/>
      <c r="AKS16" s="827"/>
      <c r="AKT16" s="827"/>
      <c r="AKU16" s="827"/>
      <c r="AKV16" s="827"/>
      <c r="AKW16" s="827"/>
      <c r="AKX16" s="827"/>
      <c r="AKY16" s="827"/>
      <c r="AKZ16" s="827"/>
      <c r="ALA16" s="827"/>
      <c r="ALB16" s="827"/>
      <c r="ALC16" s="827"/>
      <c r="ALD16" s="827"/>
      <c r="ALE16" s="827"/>
      <c r="ALF16" s="827"/>
      <c r="ALG16" s="827"/>
      <c r="ALH16" s="827"/>
      <c r="ALI16" s="827"/>
      <c r="ALJ16" s="827"/>
      <c r="ALK16" s="827"/>
      <c r="ALL16" s="827"/>
      <c r="ALM16" s="827"/>
      <c r="ALN16" s="827"/>
      <c r="ALO16" s="827"/>
      <c r="ALP16" s="827"/>
      <c r="ALQ16" s="827"/>
      <c r="ALR16" s="827"/>
      <c r="ALS16" s="827"/>
      <c r="ALT16" s="827"/>
      <c r="ALU16" s="827"/>
      <c r="ALV16" s="827"/>
      <c r="ALW16" s="827"/>
      <c r="ALX16" s="827"/>
      <c r="ALY16" s="827"/>
      <c r="ALZ16" s="827"/>
      <c r="AMA16" s="827"/>
      <c r="AMB16" s="827"/>
      <c r="AMC16" s="827"/>
      <c r="AMD16" s="827"/>
      <c r="AME16" s="827"/>
      <c r="AMF16" s="827"/>
      <c r="AMG16" s="827"/>
      <c r="AMH16" s="827"/>
      <c r="AMI16" s="827"/>
      <c r="AMJ16" s="827"/>
      <c r="AMK16" s="827"/>
      <c r="AML16" s="827"/>
      <c r="AMM16" s="827"/>
      <c r="AMN16" s="827"/>
      <c r="AMO16" s="827"/>
      <c r="AMP16" s="827"/>
      <c r="AMQ16" s="827"/>
      <c r="AMR16" s="827"/>
      <c r="AMS16" s="827"/>
      <c r="AMT16" s="827"/>
      <c r="AMU16" s="827"/>
      <c r="AMV16" s="827"/>
      <c r="AMW16" s="827"/>
      <c r="AMX16" s="827"/>
      <c r="AMY16" s="827"/>
      <c r="AMZ16" s="827"/>
      <c r="ANA16" s="827"/>
      <c r="ANB16" s="827"/>
      <c r="ANC16" s="827"/>
      <c r="AND16" s="827"/>
      <c r="ANE16" s="827"/>
      <c r="ANF16" s="827"/>
      <c r="ANG16" s="827"/>
      <c r="ANH16" s="827"/>
      <c r="ANI16" s="827"/>
      <c r="ANJ16" s="827"/>
      <c r="ANK16" s="827"/>
      <c r="ANL16" s="827"/>
      <c r="ANM16" s="827"/>
      <c r="ANN16" s="827"/>
      <c r="ANO16" s="827"/>
      <c r="ANP16" s="827"/>
      <c r="ANQ16" s="827"/>
      <c r="ANR16" s="827"/>
      <c r="ANS16" s="827"/>
      <c r="ANT16" s="827"/>
      <c r="ANU16" s="827"/>
      <c r="ANV16" s="827"/>
      <c r="ANW16" s="827"/>
      <c r="ANX16" s="827"/>
      <c r="ANY16" s="827"/>
      <c r="ANZ16" s="827"/>
      <c r="AOA16" s="827"/>
      <c r="AOB16" s="827"/>
      <c r="AOC16" s="827"/>
      <c r="AOD16" s="827"/>
      <c r="AOE16" s="827"/>
      <c r="AOF16" s="827"/>
      <c r="AOG16" s="827"/>
      <c r="AOH16" s="827"/>
      <c r="AOI16" s="827"/>
      <c r="AOJ16" s="827"/>
      <c r="AOK16" s="827"/>
      <c r="AOL16" s="827"/>
      <c r="AOM16" s="827"/>
      <c r="AON16" s="827"/>
      <c r="AOO16" s="827"/>
      <c r="AOP16" s="827"/>
      <c r="AOQ16" s="827"/>
      <c r="AOR16" s="827"/>
      <c r="AOS16" s="827"/>
      <c r="AOT16" s="827"/>
      <c r="AOU16" s="827"/>
      <c r="AOV16" s="827"/>
      <c r="AOW16" s="827"/>
      <c r="AOX16" s="827"/>
      <c r="AOY16" s="827"/>
      <c r="AOZ16" s="827"/>
      <c r="APA16" s="827"/>
      <c r="APB16" s="827"/>
      <c r="APC16" s="827"/>
      <c r="APD16" s="827"/>
      <c r="APE16" s="827"/>
      <c r="APF16" s="827"/>
      <c r="APG16" s="827"/>
      <c r="APH16" s="827"/>
      <c r="API16" s="827"/>
      <c r="APJ16" s="827"/>
      <c r="APK16" s="827"/>
      <c r="APL16" s="827"/>
      <c r="APM16" s="827"/>
      <c r="APN16" s="827"/>
      <c r="APO16" s="827"/>
      <c r="APP16" s="827"/>
      <c r="APQ16" s="827"/>
      <c r="APR16" s="827"/>
      <c r="APS16" s="827"/>
      <c r="APT16" s="827"/>
      <c r="APU16" s="827"/>
      <c r="APV16" s="827"/>
      <c r="APW16" s="827"/>
      <c r="APX16" s="827"/>
      <c r="APY16" s="827"/>
      <c r="APZ16" s="827"/>
      <c r="AQA16" s="827"/>
      <c r="AQB16" s="827"/>
      <c r="AQC16" s="827"/>
      <c r="AQD16" s="827"/>
      <c r="AQE16" s="827"/>
      <c r="AQF16" s="827"/>
      <c r="AQG16" s="827"/>
      <c r="AQH16" s="827"/>
      <c r="AQI16" s="827"/>
      <c r="AQJ16" s="827"/>
      <c r="AQK16" s="827"/>
      <c r="AQL16" s="827"/>
      <c r="AQM16" s="827"/>
      <c r="AQN16" s="827"/>
      <c r="AQO16" s="827"/>
      <c r="AQP16" s="827"/>
      <c r="AQQ16" s="827"/>
      <c r="AQR16" s="827"/>
      <c r="AQS16" s="827"/>
      <c r="AQT16" s="827"/>
      <c r="AQU16" s="827"/>
      <c r="AQV16" s="827"/>
      <c r="AQW16" s="827"/>
      <c r="AQX16" s="827"/>
      <c r="AQY16" s="827"/>
      <c r="AQZ16" s="827"/>
      <c r="ARA16" s="827"/>
      <c r="ARB16" s="827"/>
      <c r="ARC16" s="827"/>
      <c r="ARD16" s="827"/>
      <c r="ARE16" s="827"/>
      <c r="ARF16" s="827"/>
      <c r="ARG16" s="827"/>
      <c r="ARH16" s="827"/>
      <c r="ARI16" s="827"/>
      <c r="ARJ16" s="827"/>
      <c r="ARK16" s="827"/>
      <c r="ARL16" s="827"/>
      <c r="ARM16" s="827"/>
      <c r="ARN16" s="827"/>
      <c r="ARO16" s="827"/>
      <c r="ARP16" s="827"/>
      <c r="ARQ16" s="827"/>
      <c r="ARR16" s="827"/>
      <c r="ARS16" s="827"/>
      <c r="ART16" s="827"/>
      <c r="ARU16" s="827"/>
      <c r="ARV16" s="827"/>
      <c r="ARW16" s="827"/>
      <c r="ARX16" s="827"/>
      <c r="ARY16" s="827"/>
      <c r="ARZ16" s="827"/>
      <c r="ASA16" s="827"/>
      <c r="ASB16" s="827"/>
      <c r="ASC16" s="827"/>
      <c r="ASD16" s="827"/>
      <c r="ASE16" s="827"/>
      <c r="ASF16" s="827"/>
      <c r="ASG16" s="827"/>
      <c r="ASH16" s="827"/>
      <c r="ASI16" s="827"/>
      <c r="ASJ16" s="827"/>
      <c r="ASK16" s="827"/>
      <c r="ASL16" s="827"/>
      <c r="ASM16" s="827"/>
      <c r="ASN16" s="827"/>
      <c r="ASO16" s="827"/>
      <c r="ASP16" s="827"/>
      <c r="ASQ16" s="827"/>
      <c r="ASR16" s="827"/>
      <c r="ASS16" s="827"/>
      <c r="AST16" s="827"/>
      <c r="ASU16" s="827"/>
      <c r="ASV16" s="827"/>
      <c r="ASW16" s="827"/>
      <c r="ASX16" s="827"/>
      <c r="ASY16" s="827"/>
      <c r="ASZ16" s="827"/>
      <c r="ATA16" s="827"/>
      <c r="ATB16" s="827"/>
      <c r="ATC16" s="827"/>
      <c r="ATD16" s="827"/>
      <c r="ATE16" s="827"/>
      <c r="ATF16" s="827"/>
      <c r="ATG16" s="827"/>
      <c r="ATH16" s="827"/>
      <c r="ATI16" s="827"/>
      <c r="ATJ16" s="827"/>
      <c r="ATK16" s="827"/>
      <c r="ATL16" s="827"/>
      <c r="ATM16" s="827"/>
      <c r="ATN16" s="827"/>
      <c r="ATO16" s="827"/>
      <c r="ATP16" s="827"/>
      <c r="ATQ16" s="827"/>
      <c r="ATR16" s="827"/>
      <c r="ATS16" s="827"/>
      <c r="ATT16" s="827"/>
      <c r="ATU16" s="827"/>
      <c r="ATV16" s="827"/>
      <c r="ATW16" s="827"/>
      <c r="ATX16" s="827"/>
      <c r="ATY16" s="827"/>
      <c r="ATZ16" s="827"/>
      <c r="AUA16" s="827"/>
      <c r="AUB16" s="827"/>
      <c r="AUC16" s="827"/>
      <c r="AUD16" s="827"/>
      <c r="AUE16" s="827"/>
      <c r="AUF16" s="827"/>
      <c r="AUG16" s="827"/>
      <c r="AUH16" s="827"/>
      <c r="AUI16" s="827"/>
      <c r="AUJ16" s="827"/>
      <c r="AUK16" s="827"/>
      <c r="AUL16" s="827"/>
      <c r="AUM16" s="827"/>
      <c r="AUN16" s="827"/>
      <c r="AUO16" s="827"/>
      <c r="AUP16" s="827"/>
      <c r="AUQ16" s="827"/>
      <c r="AUR16" s="827"/>
      <c r="AUS16" s="827"/>
      <c r="AUT16" s="827"/>
      <c r="AUU16" s="827"/>
      <c r="AUV16" s="827"/>
      <c r="AUW16" s="827"/>
      <c r="AUX16" s="827"/>
      <c r="AUY16" s="827"/>
      <c r="AUZ16" s="827"/>
      <c r="AVA16" s="827"/>
      <c r="AVB16" s="827"/>
      <c r="AVC16" s="827"/>
      <c r="AVD16" s="827"/>
      <c r="AVE16" s="827"/>
      <c r="AVF16" s="827"/>
      <c r="AVG16" s="827"/>
      <c r="AVH16" s="827"/>
      <c r="AVI16" s="827"/>
      <c r="AVJ16" s="827"/>
      <c r="AVK16" s="827"/>
      <c r="AVL16" s="827"/>
      <c r="AVM16" s="827"/>
      <c r="AVN16" s="827"/>
      <c r="AVO16" s="827"/>
      <c r="AVP16" s="827"/>
      <c r="AVQ16" s="827"/>
      <c r="AVR16" s="827"/>
      <c r="AVS16" s="827"/>
      <c r="AVT16" s="827"/>
      <c r="AVU16" s="827"/>
      <c r="AVV16" s="827"/>
      <c r="AVW16" s="827"/>
      <c r="AVX16" s="827"/>
      <c r="AVY16" s="827"/>
      <c r="AVZ16" s="827"/>
      <c r="AWA16" s="827"/>
      <c r="AWB16" s="827"/>
      <c r="AWC16" s="827"/>
      <c r="AWD16" s="827"/>
      <c r="AWE16" s="827"/>
      <c r="AWF16" s="827"/>
      <c r="AWG16" s="827"/>
      <c r="AWH16" s="827"/>
      <c r="AWI16" s="827"/>
      <c r="AWJ16" s="827"/>
      <c r="AWK16" s="827"/>
      <c r="AWL16" s="827"/>
      <c r="AWM16" s="827"/>
      <c r="AWN16" s="827"/>
      <c r="AWO16" s="827"/>
      <c r="AWP16" s="827"/>
      <c r="AWQ16" s="827"/>
      <c r="AWR16" s="827"/>
      <c r="AWS16" s="827"/>
      <c r="AWT16" s="827"/>
      <c r="AWU16" s="827"/>
      <c r="AWV16" s="827"/>
      <c r="AWW16" s="827"/>
      <c r="AWX16" s="827"/>
      <c r="AWY16" s="827"/>
      <c r="AWZ16" s="827"/>
      <c r="AXA16" s="827"/>
      <c r="AXB16" s="827"/>
      <c r="AXC16" s="827"/>
      <c r="AXD16" s="827"/>
      <c r="AXE16" s="827"/>
      <c r="AXF16" s="827"/>
      <c r="AXG16" s="827"/>
      <c r="AXH16" s="827"/>
      <c r="AXI16" s="827"/>
      <c r="AXJ16" s="827"/>
      <c r="AXK16" s="827"/>
      <c r="AXL16" s="827"/>
      <c r="AXM16" s="827"/>
      <c r="AXN16" s="827"/>
      <c r="AXO16" s="827"/>
      <c r="AXP16" s="827"/>
      <c r="AXQ16" s="827"/>
      <c r="AXR16" s="827"/>
      <c r="AXS16" s="827"/>
      <c r="AXT16" s="827"/>
      <c r="AXU16" s="827"/>
      <c r="AXV16" s="827"/>
      <c r="AXW16" s="827"/>
      <c r="AXX16" s="827"/>
      <c r="AXY16" s="827"/>
      <c r="AXZ16" s="827"/>
      <c r="AYA16" s="827"/>
      <c r="AYB16" s="827"/>
      <c r="AYC16" s="827"/>
      <c r="AYD16" s="827"/>
      <c r="AYE16" s="827"/>
      <c r="AYF16" s="827"/>
      <c r="AYG16" s="827"/>
      <c r="AYH16" s="827"/>
      <c r="AYI16" s="827"/>
      <c r="AYJ16" s="827"/>
      <c r="AYK16" s="827"/>
      <c r="AYL16" s="827"/>
      <c r="AYM16" s="827"/>
      <c r="AYN16" s="827"/>
      <c r="AYO16" s="827"/>
      <c r="AYP16" s="827"/>
      <c r="AYQ16" s="827"/>
      <c r="AYR16" s="827"/>
      <c r="AYS16" s="827"/>
      <c r="AYT16" s="827"/>
      <c r="AYU16" s="827"/>
      <c r="AYV16" s="827"/>
      <c r="AYW16" s="827"/>
      <c r="AYX16" s="827"/>
      <c r="AYY16" s="827"/>
      <c r="AYZ16" s="827"/>
      <c r="AZA16" s="827"/>
      <c r="AZB16" s="827"/>
      <c r="AZC16" s="827"/>
      <c r="AZD16" s="827"/>
      <c r="AZE16" s="827"/>
      <c r="AZF16" s="827"/>
      <c r="AZG16" s="827"/>
      <c r="AZH16" s="827"/>
      <c r="AZI16" s="827"/>
      <c r="AZJ16" s="827"/>
      <c r="AZK16" s="827"/>
      <c r="AZL16" s="827"/>
      <c r="AZM16" s="827"/>
      <c r="AZN16" s="827"/>
      <c r="AZO16" s="827"/>
      <c r="AZP16" s="827"/>
      <c r="AZQ16" s="827"/>
      <c r="AZR16" s="827"/>
      <c r="AZS16" s="827"/>
      <c r="AZT16" s="827"/>
      <c r="AZU16" s="827"/>
      <c r="AZV16" s="827"/>
      <c r="AZW16" s="827"/>
      <c r="AZX16" s="827"/>
      <c r="AZY16" s="827"/>
      <c r="AZZ16" s="827"/>
      <c r="BAA16" s="827"/>
      <c r="BAB16" s="827"/>
      <c r="BAC16" s="827"/>
      <c r="BAD16" s="827"/>
      <c r="BAE16" s="827"/>
      <c r="BAF16" s="827"/>
      <c r="BAG16" s="827"/>
      <c r="BAH16" s="827"/>
      <c r="BAI16" s="827"/>
      <c r="BAJ16" s="827"/>
      <c r="BAK16" s="827"/>
      <c r="BAL16" s="827"/>
      <c r="BAM16" s="827"/>
      <c r="BAN16" s="827"/>
      <c r="BAO16" s="827"/>
      <c r="BAP16" s="827"/>
      <c r="BAQ16" s="827"/>
      <c r="BAR16" s="827"/>
      <c r="BAS16" s="827"/>
      <c r="BAT16" s="827"/>
      <c r="BAU16" s="827"/>
      <c r="BAV16" s="827"/>
      <c r="BAW16" s="827"/>
      <c r="BAX16" s="827"/>
      <c r="BAY16" s="827"/>
      <c r="BAZ16" s="827"/>
      <c r="BBA16" s="827"/>
      <c r="BBB16" s="827"/>
      <c r="BBC16" s="827"/>
      <c r="BBD16" s="827"/>
      <c r="BBE16" s="827"/>
      <c r="BBF16" s="827"/>
      <c r="BBG16" s="827"/>
      <c r="BBH16" s="827"/>
      <c r="BBI16" s="827"/>
      <c r="BBJ16" s="827"/>
      <c r="BBK16" s="827"/>
      <c r="BBL16" s="827"/>
      <c r="BBM16" s="827"/>
      <c r="BBN16" s="827"/>
      <c r="BBO16" s="827"/>
      <c r="BBP16" s="827"/>
      <c r="BBQ16" s="827"/>
      <c r="BBR16" s="827"/>
      <c r="BBS16" s="827"/>
      <c r="BBT16" s="827"/>
      <c r="BBU16" s="827"/>
      <c r="BBV16" s="827"/>
      <c r="BBW16" s="827"/>
      <c r="BBX16" s="827"/>
      <c r="BBY16" s="827"/>
      <c r="BBZ16" s="827"/>
      <c r="BCA16" s="827"/>
      <c r="BCB16" s="827"/>
      <c r="BCC16" s="827"/>
      <c r="BCD16" s="827"/>
      <c r="BCE16" s="827"/>
      <c r="BCF16" s="827"/>
      <c r="BCG16" s="827"/>
      <c r="BCH16" s="827"/>
      <c r="BCI16" s="827"/>
      <c r="BCJ16" s="827"/>
      <c r="BCK16" s="827"/>
      <c r="BCL16" s="827"/>
      <c r="BCM16" s="827"/>
      <c r="BCN16" s="827"/>
      <c r="BCO16" s="827"/>
      <c r="BCP16" s="827"/>
      <c r="BCQ16" s="827"/>
      <c r="BCR16" s="827"/>
      <c r="BCS16" s="827"/>
      <c r="BCT16" s="827"/>
      <c r="BCU16" s="827"/>
      <c r="BCV16" s="827"/>
      <c r="BCW16" s="827"/>
      <c r="BCX16" s="827"/>
      <c r="BCY16" s="827"/>
      <c r="BCZ16" s="827"/>
      <c r="BDA16" s="827"/>
      <c r="BDB16" s="827"/>
      <c r="BDC16" s="827"/>
      <c r="BDD16" s="827"/>
      <c r="BDE16" s="827"/>
      <c r="BDF16" s="827"/>
      <c r="BDG16" s="827"/>
      <c r="BDH16" s="827"/>
      <c r="BDI16" s="827"/>
      <c r="BDJ16" s="827"/>
      <c r="BDK16" s="827"/>
      <c r="BDL16" s="827"/>
      <c r="BDM16" s="827"/>
      <c r="BDN16" s="827"/>
      <c r="BDO16" s="827"/>
      <c r="BDP16" s="827"/>
      <c r="BDQ16" s="827"/>
      <c r="BDR16" s="827"/>
      <c r="BDS16" s="827"/>
      <c r="BDT16" s="827"/>
      <c r="BDU16" s="827"/>
      <c r="BDV16" s="827"/>
      <c r="BDW16" s="827"/>
      <c r="BDX16" s="827"/>
      <c r="BDY16" s="827"/>
      <c r="BDZ16" s="827"/>
      <c r="BEA16" s="827"/>
      <c r="BEB16" s="827"/>
      <c r="BEC16" s="827"/>
      <c r="BED16" s="827"/>
      <c r="BEE16" s="827"/>
      <c r="BEF16" s="827"/>
      <c r="BEG16" s="827"/>
      <c r="BEH16" s="827"/>
      <c r="BEI16" s="827"/>
      <c r="BEJ16" s="827"/>
      <c r="BEK16" s="827"/>
      <c r="BEL16" s="827"/>
      <c r="BEM16" s="827"/>
      <c r="BEN16" s="827"/>
      <c r="BEO16" s="827"/>
      <c r="BEP16" s="827"/>
      <c r="BEQ16" s="827"/>
      <c r="BER16" s="827"/>
      <c r="BES16" s="827"/>
      <c r="BET16" s="827"/>
      <c r="BEU16" s="827"/>
      <c r="BEV16" s="827"/>
      <c r="BEW16" s="827"/>
      <c r="BEX16" s="827"/>
      <c r="BEY16" s="827"/>
      <c r="BEZ16" s="827"/>
      <c r="BFA16" s="827"/>
      <c r="BFB16" s="827"/>
      <c r="BFC16" s="827"/>
      <c r="BFD16" s="827"/>
      <c r="BFE16" s="827"/>
      <c r="BFF16" s="827"/>
      <c r="BFG16" s="827"/>
      <c r="BFH16" s="827"/>
      <c r="BFI16" s="827"/>
      <c r="BFJ16" s="827"/>
      <c r="BFK16" s="827"/>
      <c r="BFL16" s="827"/>
      <c r="BFM16" s="827"/>
      <c r="BFN16" s="827"/>
      <c r="BFO16" s="827"/>
      <c r="BFP16" s="827"/>
      <c r="BFQ16" s="827"/>
      <c r="BFR16" s="827"/>
      <c r="BFS16" s="827"/>
      <c r="BFT16" s="827"/>
      <c r="BFU16" s="827"/>
      <c r="BFV16" s="827"/>
      <c r="BFW16" s="827"/>
      <c r="BFX16" s="827"/>
      <c r="BFY16" s="827"/>
      <c r="BFZ16" s="827"/>
      <c r="BGA16" s="827"/>
      <c r="BGB16" s="827"/>
      <c r="BGC16" s="827"/>
      <c r="BGD16" s="827"/>
      <c r="BGE16" s="827"/>
      <c r="BGF16" s="827"/>
      <c r="BGG16" s="827"/>
      <c r="BGH16" s="827"/>
      <c r="BGI16" s="827"/>
      <c r="BGJ16" s="827"/>
      <c r="BGK16" s="827"/>
      <c r="BGL16" s="827"/>
      <c r="BGM16" s="827"/>
      <c r="BGN16" s="827"/>
      <c r="BGO16" s="827"/>
      <c r="BGP16" s="827"/>
      <c r="BGQ16" s="827"/>
      <c r="BGR16" s="827"/>
      <c r="BGS16" s="827"/>
      <c r="BGT16" s="827"/>
      <c r="BGU16" s="827"/>
      <c r="BGV16" s="827"/>
      <c r="BGW16" s="827"/>
      <c r="BGX16" s="827"/>
      <c r="BGY16" s="827"/>
      <c r="BGZ16" s="827"/>
      <c r="BHA16" s="827"/>
      <c r="BHB16" s="827"/>
      <c r="BHC16" s="827"/>
      <c r="BHD16" s="827"/>
      <c r="BHE16" s="827"/>
      <c r="BHF16" s="827"/>
      <c r="BHG16" s="827"/>
      <c r="BHH16" s="827"/>
      <c r="BHI16" s="827"/>
      <c r="BHJ16" s="827"/>
      <c r="BHK16" s="827"/>
      <c r="BHL16" s="827"/>
      <c r="BHM16" s="827"/>
      <c r="BHN16" s="827"/>
      <c r="BHO16" s="827"/>
      <c r="BHP16" s="827"/>
      <c r="BHQ16" s="827"/>
      <c r="BHR16" s="827"/>
      <c r="BHS16" s="827"/>
      <c r="BHT16" s="827"/>
      <c r="BHU16" s="827"/>
      <c r="BHV16" s="827"/>
      <c r="BHW16" s="827"/>
      <c r="BHX16" s="827"/>
      <c r="BHY16" s="827"/>
      <c r="BHZ16" s="827"/>
      <c r="BIA16" s="827"/>
      <c r="BIB16" s="827"/>
      <c r="BIC16" s="827"/>
      <c r="BID16" s="827"/>
      <c r="BIE16" s="827"/>
      <c r="BIF16" s="827"/>
      <c r="BIG16" s="827"/>
      <c r="BIH16" s="827"/>
      <c r="BII16" s="827"/>
      <c r="BIJ16" s="827"/>
      <c r="BIK16" s="827"/>
      <c r="BIL16" s="827"/>
      <c r="BIM16" s="827"/>
      <c r="BIN16" s="827"/>
      <c r="BIO16" s="827"/>
      <c r="BIP16" s="827"/>
      <c r="BIQ16" s="827"/>
      <c r="BIR16" s="827"/>
      <c r="BIS16" s="827"/>
      <c r="BIT16" s="827"/>
      <c r="BIU16" s="827"/>
      <c r="BIV16" s="827"/>
      <c r="BIW16" s="827"/>
      <c r="BIX16" s="827"/>
      <c r="BIY16" s="827"/>
      <c r="BIZ16" s="827"/>
      <c r="BJA16" s="827"/>
      <c r="BJB16" s="827"/>
      <c r="BJC16" s="827"/>
      <c r="BJD16" s="827"/>
      <c r="BJE16" s="827"/>
      <c r="BJF16" s="827"/>
      <c r="BJG16" s="827"/>
      <c r="BJH16" s="827"/>
      <c r="BJI16" s="827"/>
      <c r="BJJ16" s="827"/>
      <c r="BJK16" s="827"/>
      <c r="BJL16" s="827"/>
      <c r="BJM16" s="827"/>
      <c r="BJN16" s="827"/>
      <c r="BJO16" s="827"/>
      <c r="BJP16" s="827"/>
      <c r="BJQ16" s="827"/>
      <c r="BJR16" s="827"/>
      <c r="BJS16" s="827"/>
      <c r="BJT16" s="827"/>
      <c r="BJU16" s="827"/>
      <c r="BJV16" s="827"/>
      <c r="BJW16" s="827"/>
      <c r="BJX16" s="827"/>
      <c r="BJY16" s="827"/>
      <c r="BJZ16" s="827"/>
      <c r="BKA16" s="827"/>
      <c r="BKB16" s="827"/>
      <c r="BKC16" s="827"/>
      <c r="BKD16" s="827"/>
      <c r="BKE16" s="827"/>
      <c r="BKF16" s="827"/>
      <c r="BKG16" s="827"/>
      <c r="BKH16" s="827"/>
      <c r="BKI16" s="827"/>
      <c r="BKJ16" s="827"/>
      <c r="BKK16" s="827"/>
      <c r="BKL16" s="827"/>
      <c r="BKM16" s="827"/>
      <c r="BKN16" s="827"/>
      <c r="BKO16" s="827"/>
      <c r="BKP16" s="827"/>
      <c r="BKQ16" s="827"/>
      <c r="BKR16" s="827"/>
      <c r="BKS16" s="827"/>
      <c r="BKT16" s="827"/>
      <c r="BKU16" s="827"/>
      <c r="BKV16" s="827"/>
      <c r="BKW16" s="827"/>
      <c r="BKX16" s="827"/>
      <c r="BKY16" s="827"/>
      <c r="BKZ16" s="827"/>
      <c r="BLA16" s="827"/>
      <c r="BLB16" s="827"/>
      <c r="BLC16" s="827"/>
      <c r="BLD16" s="827"/>
      <c r="BLE16" s="827"/>
      <c r="BLF16" s="827"/>
      <c r="BLG16" s="827"/>
      <c r="BLH16" s="827"/>
      <c r="BLI16" s="827"/>
      <c r="BLJ16" s="827"/>
      <c r="BLK16" s="827"/>
      <c r="BLL16" s="827"/>
      <c r="BLM16" s="827"/>
      <c r="BLN16" s="827"/>
      <c r="BLO16" s="827"/>
      <c r="BLP16" s="827"/>
      <c r="BLQ16" s="827"/>
      <c r="BLR16" s="827"/>
      <c r="BLS16" s="827"/>
      <c r="BLT16" s="827"/>
      <c r="BLU16" s="827"/>
      <c r="BLV16" s="827"/>
      <c r="BLW16" s="827"/>
      <c r="BLX16" s="827"/>
      <c r="BLY16" s="827"/>
      <c r="BLZ16" s="827"/>
      <c r="BMA16" s="827"/>
      <c r="BMB16" s="827"/>
      <c r="BMC16" s="827"/>
      <c r="BMD16" s="827"/>
      <c r="BME16" s="827"/>
      <c r="BMF16" s="827"/>
      <c r="BMG16" s="827"/>
      <c r="BMH16" s="827"/>
      <c r="BMI16" s="827"/>
      <c r="BMJ16" s="827"/>
      <c r="BMK16" s="827"/>
      <c r="BML16" s="827"/>
      <c r="BMM16" s="827"/>
      <c r="BMN16" s="827"/>
      <c r="BMO16" s="827"/>
      <c r="BMP16" s="827"/>
      <c r="BMQ16" s="827"/>
      <c r="BMR16" s="827"/>
      <c r="BMS16" s="827"/>
      <c r="BMT16" s="827"/>
      <c r="BMU16" s="827"/>
      <c r="BMV16" s="827"/>
      <c r="BMW16" s="827"/>
      <c r="BMX16" s="827"/>
      <c r="BMY16" s="827"/>
      <c r="BMZ16" s="827"/>
      <c r="BNA16" s="827"/>
      <c r="BNB16" s="827"/>
      <c r="BNC16" s="827"/>
      <c r="BND16" s="827"/>
      <c r="BNE16" s="827"/>
      <c r="BNF16" s="827"/>
      <c r="BNG16" s="827"/>
      <c r="BNH16" s="827"/>
      <c r="BNI16" s="827"/>
      <c r="BNJ16" s="827"/>
      <c r="BNK16" s="827"/>
      <c r="BNL16" s="827"/>
      <c r="BNM16" s="827"/>
      <c r="BNN16" s="827"/>
      <c r="BNO16" s="827"/>
      <c r="BNP16" s="827"/>
      <c r="BNQ16" s="827"/>
      <c r="BNR16" s="827"/>
      <c r="BNS16" s="827"/>
      <c r="BNT16" s="827"/>
      <c r="BNU16" s="827"/>
      <c r="BNV16" s="827"/>
      <c r="BNW16" s="827"/>
      <c r="BNX16" s="827"/>
      <c r="BNY16" s="827"/>
      <c r="BNZ16" s="827"/>
      <c r="BOA16" s="827"/>
      <c r="BOB16" s="827"/>
      <c r="BOC16" s="827"/>
      <c r="BOD16" s="827"/>
      <c r="BOE16" s="827"/>
      <c r="BOF16" s="827"/>
      <c r="BOG16" s="827"/>
      <c r="BOH16" s="827"/>
      <c r="BOI16" s="827"/>
      <c r="BOJ16" s="827"/>
      <c r="BOK16" s="827"/>
      <c r="BOL16" s="827"/>
      <c r="BOM16" s="827"/>
      <c r="BON16" s="827"/>
      <c r="BOO16" s="827"/>
      <c r="BOP16" s="827"/>
      <c r="BOQ16" s="827"/>
      <c r="BOR16" s="827"/>
      <c r="BOS16" s="827"/>
      <c r="BOT16" s="827"/>
      <c r="BOU16" s="827"/>
      <c r="BOV16" s="827"/>
      <c r="BOW16" s="827"/>
      <c r="BOX16" s="827"/>
      <c r="BOY16" s="827"/>
      <c r="BOZ16" s="827"/>
      <c r="BPA16" s="827"/>
      <c r="BPB16" s="827"/>
      <c r="BPC16" s="827"/>
      <c r="BPD16" s="827"/>
      <c r="BPE16" s="827"/>
      <c r="BPF16" s="827"/>
      <c r="BPG16" s="827"/>
      <c r="BPH16" s="827"/>
      <c r="BPI16" s="827"/>
      <c r="BPJ16" s="827"/>
      <c r="BPK16" s="827"/>
      <c r="BPL16" s="827"/>
      <c r="BPM16" s="827"/>
      <c r="BPN16" s="827"/>
      <c r="BPO16" s="827"/>
      <c r="BPP16" s="827"/>
      <c r="BPQ16" s="827"/>
      <c r="BPR16" s="827"/>
      <c r="BPS16" s="827"/>
      <c r="BPT16" s="827"/>
      <c r="BPU16" s="827"/>
      <c r="BPV16" s="827"/>
      <c r="BPW16" s="827"/>
      <c r="BPX16" s="827"/>
      <c r="BPY16" s="827"/>
      <c r="BPZ16" s="827"/>
      <c r="BQA16" s="827"/>
      <c r="BQB16" s="827"/>
      <c r="BQC16" s="827"/>
      <c r="BQD16" s="827"/>
      <c r="BQE16" s="827"/>
      <c r="BQF16" s="827"/>
      <c r="BQG16" s="827"/>
      <c r="BQH16" s="827"/>
      <c r="BQI16" s="827"/>
      <c r="BQJ16" s="827"/>
      <c r="BQK16" s="827"/>
      <c r="BQL16" s="827"/>
      <c r="BQM16" s="827"/>
      <c r="BQN16" s="827"/>
      <c r="BQO16" s="827"/>
      <c r="BQP16" s="827"/>
      <c r="BQQ16" s="827"/>
      <c r="BQR16" s="827"/>
      <c r="BQS16" s="827"/>
      <c r="BQT16" s="827"/>
      <c r="BQU16" s="827"/>
      <c r="BQV16" s="827"/>
      <c r="BQW16" s="827"/>
      <c r="BQX16" s="827"/>
      <c r="BQY16" s="827"/>
      <c r="BQZ16" s="827"/>
      <c r="BRA16" s="827"/>
      <c r="BRB16" s="827"/>
      <c r="BRC16" s="827"/>
      <c r="BRD16" s="827"/>
      <c r="BRE16" s="827"/>
      <c r="BRF16" s="827"/>
      <c r="BRG16" s="827"/>
      <c r="BRH16" s="827"/>
      <c r="BRI16" s="827"/>
      <c r="BRJ16" s="827"/>
      <c r="BRK16" s="827"/>
      <c r="BRL16" s="827"/>
      <c r="BRM16" s="827"/>
      <c r="BRN16" s="827"/>
      <c r="BRO16" s="827"/>
      <c r="BRP16" s="827"/>
      <c r="BRQ16" s="827"/>
      <c r="BRR16" s="827"/>
      <c r="BRS16" s="827"/>
      <c r="BRT16" s="827"/>
      <c r="BRU16" s="827"/>
      <c r="BRV16" s="827"/>
      <c r="BRW16" s="827"/>
      <c r="BRX16" s="827"/>
      <c r="BRY16" s="827"/>
      <c r="BRZ16" s="827"/>
      <c r="BSA16" s="827"/>
      <c r="BSB16" s="827"/>
      <c r="BSC16" s="827"/>
      <c r="BSD16" s="827"/>
      <c r="BSE16" s="827"/>
      <c r="BSF16" s="827"/>
      <c r="BSG16" s="827"/>
      <c r="BSH16" s="827"/>
      <c r="BSI16" s="827"/>
      <c r="BSJ16" s="827"/>
      <c r="BSK16" s="827"/>
      <c r="BSL16" s="827"/>
      <c r="BSM16" s="827"/>
      <c r="BSN16" s="827"/>
      <c r="BSO16" s="827"/>
      <c r="BSP16" s="827"/>
      <c r="BSQ16" s="827"/>
      <c r="BSR16" s="827"/>
      <c r="BSS16" s="827"/>
      <c r="BST16" s="827"/>
    </row>
    <row r="17" spans="1:1866" s="824" customFormat="1" ht="21.9" customHeight="1" x14ac:dyDescent="0.25">
      <c r="A17" s="827"/>
      <c r="B17" s="3157" t="s">
        <v>841</v>
      </c>
      <c r="C17" s="3158"/>
      <c r="D17" s="3159"/>
      <c r="E17" s="1477"/>
      <c r="F17" s="1477"/>
      <c r="G17" s="1477"/>
      <c r="H17" s="1477"/>
      <c r="I17" s="1477"/>
      <c r="J17" s="1477"/>
      <c r="K17" s="1477"/>
      <c r="L17" s="1477"/>
      <c r="M17" s="1477"/>
      <c r="N17" s="1477"/>
      <c r="O17" s="1477"/>
      <c r="P17" s="1477"/>
      <c r="Q17" s="1477"/>
      <c r="R17" s="1477"/>
      <c r="S17" s="1477"/>
      <c r="T17" s="1477"/>
      <c r="U17" s="1477"/>
      <c r="V17" s="1478"/>
      <c r="W17" s="834"/>
      <c r="X17" s="834"/>
      <c r="Y17" s="834"/>
      <c r="Z17" s="834"/>
      <c r="AA17" s="867"/>
      <c r="AB17" s="834"/>
      <c r="AC17" s="834"/>
      <c r="AD17" s="834"/>
      <c r="AE17" s="834"/>
      <c r="AF17" s="834"/>
      <c r="AG17" s="834"/>
      <c r="AH17" s="834"/>
      <c r="AI17" s="834"/>
      <c r="AJ17" s="834"/>
      <c r="AK17" s="834"/>
      <c r="AL17" s="834"/>
      <c r="AM17" s="827"/>
      <c r="AN17" s="827"/>
      <c r="AO17" s="827"/>
      <c r="AP17" s="827"/>
      <c r="AQ17" s="827"/>
      <c r="AR17" s="827"/>
      <c r="AS17" s="827"/>
      <c r="AT17" s="827"/>
      <c r="AU17" s="827"/>
      <c r="AV17" s="827"/>
      <c r="AW17" s="827"/>
      <c r="AX17" s="827"/>
      <c r="AY17" s="827"/>
      <c r="AZ17" s="827"/>
      <c r="BA17" s="827"/>
      <c r="BB17" s="827"/>
      <c r="BC17" s="827"/>
      <c r="BD17" s="827"/>
      <c r="BE17" s="827"/>
      <c r="BF17" s="827"/>
      <c r="BG17" s="827"/>
      <c r="BH17" s="827"/>
      <c r="BI17" s="827"/>
      <c r="BJ17" s="827"/>
      <c r="BK17" s="827"/>
      <c r="BL17" s="827"/>
      <c r="BM17" s="827"/>
      <c r="BN17" s="827"/>
      <c r="BO17" s="827"/>
      <c r="BP17" s="827"/>
      <c r="BQ17" s="827"/>
      <c r="BR17" s="827"/>
      <c r="BS17" s="827"/>
      <c r="BT17" s="827"/>
      <c r="BU17" s="827"/>
      <c r="BV17" s="827"/>
      <c r="BW17" s="827"/>
      <c r="BX17" s="827"/>
      <c r="BY17" s="827"/>
      <c r="BZ17" s="827"/>
      <c r="CA17" s="827"/>
      <c r="CB17" s="827"/>
      <c r="CC17" s="827"/>
      <c r="CD17" s="827"/>
      <c r="CE17" s="827"/>
      <c r="CF17" s="827"/>
      <c r="CG17" s="827"/>
      <c r="CH17" s="827"/>
      <c r="CI17" s="827"/>
      <c r="CJ17" s="827"/>
      <c r="CK17" s="827"/>
      <c r="CL17" s="827"/>
      <c r="CM17" s="827"/>
      <c r="CN17" s="827"/>
      <c r="CO17" s="827"/>
      <c r="CP17" s="827"/>
      <c r="CQ17" s="827"/>
      <c r="CR17" s="827"/>
      <c r="CS17" s="827"/>
      <c r="CT17" s="827"/>
      <c r="CU17" s="827"/>
      <c r="CV17" s="827"/>
      <c r="CW17" s="827"/>
      <c r="CX17" s="827"/>
      <c r="CY17" s="827"/>
      <c r="CZ17" s="827"/>
      <c r="DA17" s="827"/>
      <c r="DB17" s="827"/>
      <c r="DC17" s="827"/>
      <c r="DD17" s="827"/>
      <c r="DE17" s="827"/>
      <c r="DF17" s="827"/>
      <c r="DG17" s="827"/>
      <c r="DH17" s="827"/>
      <c r="DI17" s="827"/>
      <c r="DJ17" s="827"/>
      <c r="DK17" s="827"/>
      <c r="DL17" s="827"/>
      <c r="DM17" s="827"/>
      <c r="DN17" s="827"/>
      <c r="DO17" s="827"/>
      <c r="DP17" s="827"/>
      <c r="DQ17" s="827"/>
      <c r="DR17" s="827"/>
      <c r="DS17" s="827"/>
      <c r="DT17" s="827"/>
      <c r="DU17" s="827"/>
      <c r="DV17" s="827"/>
      <c r="DW17" s="827"/>
      <c r="DX17" s="827"/>
      <c r="DY17" s="827"/>
      <c r="DZ17" s="827"/>
      <c r="EA17" s="827"/>
      <c r="EB17" s="827"/>
      <c r="EC17" s="827"/>
      <c r="ED17" s="827"/>
      <c r="EE17" s="827"/>
      <c r="EF17" s="827"/>
      <c r="EG17" s="827"/>
      <c r="EH17" s="827"/>
      <c r="EI17" s="827"/>
      <c r="EJ17" s="827"/>
      <c r="EK17" s="827"/>
      <c r="EL17" s="827"/>
      <c r="EM17" s="827"/>
      <c r="EN17" s="827"/>
      <c r="EO17" s="827"/>
      <c r="EP17" s="827"/>
      <c r="EQ17" s="827"/>
      <c r="ER17" s="827"/>
      <c r="ES17" s="827"/>
      <c r="ET17" s="827"/>
      <c r="EU17" s="827"/>
      <c r="EV17" s="827"/>
      <c r="EW17" s="827"/>
      <c r="EX17" s="827"/>
      <c r="EY17" s="827"/>
      <c r="EZ17" s="827"/>
      <c r="FA17" s="827"/>
      <c r="FB17" s="827"/>
      <c r="FC17" s="827"/>
      <c r="FD17" s="827"/>
      <c r="FE17" s="827"/>
      <c r="FF17" s="827"/>
      <c r="FG17" s="827"/>
      <c r="FH17" s="827"/>
      <c r="FI17" s="827"/>
      <c r="FJ17" s="827"/>
      <c r="FK17" s="827"/>
      <c r="FL17" s="827"/>
      <c r="FM17" s="827"/>
      <c r="FN17" s="827"/>
      <c r="FO17" s="827"/>
      <c r="FP17" s="827"/>
      <c r="FQ17" s="827"/>
      <c r="FR17" s="827"/>
      <c r="FS17" s="827"/>
      <c r="FT17" s="827"/>
      <c r="FU17" s="827"/>
      <c r="FV17" s="827"/>
      <c r="FW17" s="827"/>
      <c r="FX17" s="827"/>
      <c r="FY17" s="827"/>
      <c r="FZ17" s="827"/>
      <c r="GA17" s="827"/>
      <c r="GB17" s="827"/>
      <c r="GC17" s="827"/>
      <c r="GD17" s="827"/>
      <c r="GE17" s="827"/>
      <c r="GF17" s="827"/>
      <c r="GG17" s="827"/>
      <c r="GH17" s="827"/>
      <c r="GI17" s="827"/>
      <c r="GJ17" s="827"/>
      <c r="GK17" s="827"/>
      <c r="GL17" s="827"/>
      <c r="GM17" s="827"/>
      <c r="GN17" s="827"/>
      <c r="GO17" s="827"/>
      <c r="GP17" s="827"/>
      <c r="GQ17" s="827"/>
      <c r="GR17" s="827"/>
      <c r="GS17" s="827"/>
      <c r="GT17" s="827"/>
      <c r="GU17" s="827"/>
      <c r="GV17" s="827"/>
      <c r="GW17" s="827"/>
      <c r="GX17" s="827"/>
      <c r="GY17" s="827"/>
      <c r="GZ17" s="827"/>
      <c r="HA17" s="827"/>
      <c r="HB17" s="827"/>
      <c r="HC17" s="827"/>
      <c r="HD17" s="827"/>
      <c r="HE17" s="827"/>
      <c r="HF17" s="827"/>
      <c r="HG17" s="827"/>
      <c r="HH17" s="827"/>
      <c r="HI17" s="827"/>
      <c r="HJ17" s="827"/>
      <c r="HK17" s="827"/>
      <c r="HL17" s="827"/>
      <c r="HM17" s="827"/>
      <c r="HN17" s="827"/>
      <c r="HO17" s="827"/>
      <c r="HP17" s="827"/>
      <c r="HQ17" s="827"/>
      <c r="HR17" s="827"/>
      <c r="HS17" s="827"/>
      <c r="HT17" s="827"/>
      <c r="HU17" s="827"/>
      <c r="HV17" s="827"/>
      <c r="HW17" s="827"/>
      <c r="HX17" s="827"/>
      <c r="HY17" s="827"/>
      <c r="HZ17" s="827"/>
      <c r="IA17" s="827"/>
      <c r="IB17" s="827"/>
      <c r="IC17" s="827"/>
      <c r="ID17" s="827"/>
      <c r="IE17" s="827"/>
      <c r="IF17" s="827"/>
      <c r="IG17" s="827"/>
      <c r="IH17" s="827"/>
      <c r="II17" s="827"/>
      <c r="IJ17" s="827"/>
      <c r="IK17" s="827"/>
      <c r="IL17" s="827"/>
      <c r="IM17" s="827"/>
      <c r="IN17" s="827"/>
      <c r="IO17" s="827"/>
      <c r="IP17" s="827"/>
      <c r="IQ17" s="827"/>
      <c r="IR17" s="827"/>
      <c r="IS17" s="827"/>
      <c r="IT17" s="827"/>
      <c r="IU17" s="827"/>
      <c r="IV17" s="827"/>
      <c r="IW17" s="827"/>
      <c r="IX17" s="827"/>
      <c r="IY17" s="827"/>
      <c r="IZ17" s="827"/>
      <c r="JA17" s="827"/>
      <c r="JB17" s="827"/>
      <c r="JC17" s="827"/>
      <c r="JD17" s="827"/>
      <c r="JE17" s="827"/>
      <c r="JF17" s="827"/>
      <c r="JG17" s="827"/>
      <c r="JH17" s="827"/>
      <c r="JI17" s="827"/>
      <c r="JJ17" s="827"/>
      <c r="JK17" s="827"/>
      <c r="JL17" s="827"/>
      <c r="JM17" s="827"/>
      <c r="JN17" s="827"/>
      <c r="JO17" s="827"/>
      <c r="JP17" s="827"/>
      <c r="JQ17" s="827"/>
      <c r="JR17" s="827"/>
      <c r="JS17" s="827"/>
      <c r="JT17" s="827"/>
      <c r="JU17" s="827"/>
      <c r="JV17" s="827"/>
      <c r="JW17" s="827"/>
      <c r="JX17" s="827"/>
      <c r="JY17" s="827"/>
      <c r="JZ17" s="827"/>
      <c r="KA17" s="827"/>
      <c r="KB17" s="827"/>
      <c r="KC17" s="827"/>
      <c r="KD17" s="827"/>
      <c r="KE17" s="827"/>
      <c r="KF17" s="827"/>
      <c r="KG17" s="827"/>
      <c r="KH17" s="827"/>
      <c r="KI17" s="827"/>
      <c r="KJ17" s="827"/>
      <c r="KK17" s="827"/>
      <c r="KL17" s="827"/>
      <c r="KM17" s="827"/>
      <c r="KN17" s="827"/>
      <c r="KO17" s="827"/>
      <c r="KP17" s="827"/>
      <c r="KQ17" s="827"/>
      <c r="KR17" s="827"/>
      <c r="KS17" s="827"/>
      <c r="KT17" s="827"/>
      <c r="KU17" s="827"/>
      <c r="KV17" s="827"/>
      <c r="KW17" s="827"/>
      <c r="KX17" s="827"/>
      <c r="KY17" s="827"/>
      <c r="KZ17" s="827"/>
      <c r="LA17" s="827"/>
      <c r="LB17" s="827"/>
      <c r="LC17" s="827"/>
      <c r="LD17" s="827"/>
      <c r="LE17" s="827"/>
      <c r="LF17" s="827"/>
      <c r="LG17" s="827"/>
      <c r="LH17" s="827"/>
      <c r="LI17" s="827"/>
      <c r="LJ17" s="827"/>
      <c r="LK17" s="827"/>
      <c r="LL17" s="827"/>
      <c r="LM17" s="827"/>
      <c r="LN17" s="827"/>
      <c r="LO17" s="827"/>
      <c r="LP17" s="827"/>
      <c r="LQ17" s="827"/>
      <c r="LR17" s="827"/>
      <c r="LS17" s="827"/>
      <c r="LT17" s="827"/>
      <c r="LU17" s="827"/>
      <c r="LV17" s="827"/>
      <c r="LW17" s="827"/>
      <c r="LX17" s="827"/>
      <c r="LY17" s="827"/>
      <c r="LZ17" s="827"/>
      <c r="MA17" s="827"/>
      <c r="MB17" s="827"/>
      <c r="MC17" s="827"/>
      <c r="MD17" s="827"/>
      <c r="ME17" s="827"/>
      <c r="MF17" s="827"/>
      <c r="MG17" s="827"/>
      <c r="MH17" s="827"/>
      <c r="MI17" s="827"/>
      <c r="MJ17" s="827"/>
      <c r="MK17" s="827"/>
      <c r="ML17" s="827"/>
      <c r="MM17" s="827"/>
      <c r="MN17" s="827"/>
      <c r="MO17" s="827"/>
      <c r="MP17" s="827"/>
      <c r="MQ17" s="827"/>
      <c r="MR17" s="827"/>
      <c r="MS17" s="827"/>
      <c r="MT17" s="827"/>
      <c r="MU17" s="827"/>
      <c r="MV17" s="827"/>
      <c r="MW17" s="827"/>
      <c r="MX17" s="827"/>
      <c r="MY17" s="827"/>
      <c r="MZ17" s="827"/>
      <c r="NA17" s="827"/>
      <c r="NB17" s="827"/>
      <c r="NC17" s="827"/>
      <c r="ND17" s="827"/>
      <c r="NE17" s="827"/>
      <c r="NF17" s="827"/>
      <c r="NG17" s="827"/>
      <c r="NH17" s="827"/>
      <c r="NI17" s="827"/>
      <c r="NJ17" s="827"/>
      <c r="NK17" s="827"/>
      <c r="NL17" s="827"/>
      <c r="NM17" s="827"/>
      <c r="NN17" s="827"/>
      <c r="NO17" s="827"/>
      <c r="NP17" s="827"/>
      <c r="NQ17" s="827"/>
      <c r="NR17" s="827"/>
      <c r="NS17" s="827"/>
      <c r="NT17" s="827"/>
      <c r="NU17" s="827"/>
      <c r="NV17" s="827"/>
      <c r="NW17" s="827"/>
      <c r="NX17" s="827"/>
      <c r="NY17" s="827"/>
      <c r="NZ17" s="827"/>
      <c r="OA17" s="827"/>
      <c r="OB17" s="827"/>
      <c r="OC17" s="827"/>
      <c r="OD17" s="827"/>
      <c r="OE17" s="827"/>
      <c r="OF17" s="827"/>
      <c r="OG17" s="827"/>
      <c r="OH17" s="827"/>
      <c r="OI17" s="827"/>
      <c r="OJ17" s="827"/>
      <c r="OK17" s="827"/>
      <c r="OL17" s="827"/>
      <c r="OM17" s="827"/>
      <c r="ON17" s="827"/>
      <c r="OO17" s="827"/>
      <c r="OP17" s="827"/>
      <c r="OQ17" s="827"/>
      <c r="OR17" s="827"/>
      <c r="OS17" s="827"/>
      <c r="OT17" s="827"/>
      <c r="OU17" s="827"/>
      <c r="OV17" s="827"/>
      <c r="OW17" s="827"/>
      <c r="OX17" s="827"/>
      <c r="OY17" s="827"/>
      <c r="OZ17" s="827"/>
      <c r="PA17" s="827"/>
      <c r="PB17" s="827"/>
      <c r="PC17" s="827"/>
      <c r="PD17" s="827"/>
      <c r="PE17" s="827"/>
      <c r="PF17" s="827"/>
      <c r="PG17" s="827"/>
      <c r="PH17" s="827"/>
      <c r="PI17" s="827"/>
      <c r="PJ17" s="827"/>
      <c r="PK17" s="827"/>
      <c r="PL17" s="827"/>
      <c r="PM17" s="827"/>
      <c r="PN17" s="827"/>
      <c r="PO17" s="827"/>
      <c r="PP17" s="827"/>
      <c r="PQ17" s="827"/>
      <c r="PR17" s="827"/>
      <c r="PS17" s="827"/>
      <c r="PT17" s="827"/>
      <c r="PU17" s="827"/>
      <c r="PV17" s="827"/>
      <c r="PW17" s="827"/>
      <c r="PX17" s="827"/>
      <c r="PY17" s="827"/>
      <c r="PZ17" s="827"/>
      <c r="QA17" s="827"/>
      <c r="QB17" s="827"/>
      <c r="QC17" s="827"/>
      <c r="QD17" s="827"/>
      <c r="QE17" s="827"/>
      <c r="QF17" s="827"/>
      <c r="QG17" s="827"/>
      <c r="QH17" s="827"/>
      <c r="QI17" s="827"/>
      <c r="QJ17" s="827"/>
      <c r="QK17" s="827"/>
      <c r="QL17" s="827"/>
      <c r="QM17" s="827"/>
      <c r="QN17" s="827"/>
      <c r="QO17" s="827"/>
      <c r="QP17" s="827"/>
      <c r="QQ17" s="827"/>
      <c r="QR17" s="827"/>
      <c r="QS17" s="827"/>
      <c r="QT17" s="827"/>
      <c r="QU17" s="827"/>
      <c r="QV17" s="827"/>
      <c r="QW17" s="827"/>
      <c r="QX17" s="827"/>
      <c r="QY17" s="827"/>
      <c r="QZ17" s="827"/>
      <c r="RA17" s="827"/>
      <c r="RB17" s="827"/>
      <c r="RC17" s="827"/>
      <c r="RD17" s="827"/>
      <c r="RE17" s="827"/>
      <c r="RF17" s="827"/>
      <c r="RG17" s="827"/>
      <c r="RH17" s="827"/>
      <c r="RI17" s="827"/>
      <c r="RJ17" s="827"/>
      <c r="RK17" s="827"/>
      <c r="RL17" s="827"/>
      <c r="RM17" s="827"/>
      <c r="RN17" s="827"/>
      <c r="RO17" s="827"/>
      <c r="RP17" s="827"/>
      <c r="RQ17" s="827"/>
      <c r="RR17" s="827"/>
      <c r="RS17" s="827"/>
      <c r="RT17" s="827"/>
      <c r="RU17" s="827"/>
      <c r="RV17" s="827"/>
      <c r="RW17" s="827"/>
      <c r="RX17" s="827"/>
      <c r="RY17" s="827"/>
      <c r="RZ17" s="827"/>
      <c r="SA17" s="827"/>
      <c r="SB17" s="827"/>
      <c r="SC17" s="827"/>
      <c r="SD17" s="827"/>
      <c r="SE17" s="827"/>
      <c r="SF17" s="827"/>
      <c r="SG17" s="827"/>
      <c r="SH17" s="827"/>
      <c r="SI17" s="827"/>
      <c r="SJ17" s="827"/>
      <c r="SK17" s="827"/>
      <c r="SL17" s="827"/>
      <c r="SM17" s="827"/>
      <c r="SN17" s="827"/>
      <c r="SO17" s="827"/>
      <c r="SP17" s="827"/>
      <c r="SQ17" s="827"/>
      <c r="SR17" s="827"/>
      <c r="SS17" s="827"/>
      <c r="ST17" s="827"/>
      <c r="SU17" s="827"/>
      <c r="SV17" s="827"/>
      <c r="SW17" s="827"/>
      <c r="SX17" s="827"/>
      <c r="SY17" s="827"/>
      <c r="SZ17" s="827"/>
      <c r="TA17" s="827"/>
      <c r="TB17" s="827"/>
      <c r="TC17" s="827"/>
      <c r="TD17" s="827"/>
      <c r="TE17" s="827"/>
      <c r="TF17" s="827"/>
      <c r="TG17" s="827"/>
      <c r="TH17" s="827"/>
      <c r="TI17" s="827"/>
      <c r="TJ17" s="827"/>
      <c r="TK17" s="827"/>
      <c r="TL17" s="827"/>
      <c r="TM17" s="827"/>
      <c r="TN17" s="827"/>
      <c r="TO17" s="827"/>
      <c r="TP17" s="827"/>
      <c r="TQ17" s="827"/>
      <c r="TR17" s="827"/>
      <c r="TS17" s="827"/>
      <c r="TT17" s="827"/>
      <c r="TU17" s="827"/>
      <c r="TV17" s="827"/>
      <c r="TW17" s="827"/>
      <c r="TX17" s="827"/>
      <c r="TY17" s="827"/>
      <c r="TZ17" s="827"/>
      <c r="UA17" s="827"/>
      <c r="UB17" s="827"/>
      <c r="UC17" s="827"/>
      <c r="UD17" s="827"/>
      <c r="UE17" s="827"/>
      <c r="UF17" s="827"/>
      <c r="UG17" s="827"/>
      <c r="UH17" s="827"/>
      <c r="UI17" s="827"/>
      <c r="UJ17" s="827"/>
      <c r="UK17" s="827"/>
      <c r="UL17" s="827"/>
      <c r="UM17" s="827"/>
      <c r="UN17" s="827"/>
      <c r="UO17" s="827"/>
      <c r="UP17" s="827"/>
      <c r="UQ17" s="827"/>
      <c r="UR17" s="827"/>
      <c r="US17" s="827"/>
      <c r="UT17" s="827"/>
      <c r="UU17" s="827"/>
      <c r="UV17" s="827"/>
      <c r="UW17" s="827"/>
      <c r="UX17" s="827"/>
      <c r="UY17" s="827"/>
      <c r="UZ17" s="827"/>
      <c r="VA17" s="827"/>
      <c r="VB17" s="827"/>
      <c r="VC17" s="827"/>
      <c r="VD17" s="827"/>
      <c r="VE17" s="827"/>
      <c r="VF17" s="827"/>
      <c r="VG17" s="827"/>
      <c r="VH17" s="827"/>
      <c r="VI17" s="827"/>
      <c r="VJ17" s="827"/>
      <c r="VK17" s="827"/>
      <c r="VL17" s="827"/>
      <c r="VM17" s="827"/>
      <c r="VN17" s="827"/>
      <c r="VO17" s="827"/>
      <c r="VP17" s="827"/>
      <c r="VQ17" s="827"/>
      <c r="VR17" s="827"/>
      <c r="VS17" s="827"/>
      <c r="VT17" s="827"/>
      <c r="VU17" s="827"/>
      <c r="VV17" s="827"/>
      <c r="VW17" s="827"/>
      <c r="VX17" s="827"/>
      <c r="VY17" s="827"/>
      <c r="VZ17" s="827"/>
      <c r="WA17" s="827"/>
      <c r="WB17" s="827"/>
      <c r="WC17" s="827"/>
      <c r="WD17" s="827"/>
      <c r="WE17" s="827"/>
      <c r="WF17" s="827"/>
      <c r="WG17" s="827"/>
      <c r="WH17" s="827"/>
      <c r="WI17" s="827"/>
      <c r="WJ17" s="827"/>
      <c r="WK17" s="827"/>
      <c r="WL17" s="827"/>
      <c r="WM17" s="827"/>
      <c r="WN17" s="827"/>
      <c r="WO17" s="827"/>
      <c r="WP17" s="827"/>
      <c r="WQ17" s="827"/>
      <c r="WR17" s="827"/>
      <c r="WS17" s="827"/>
      <c r="WT17" s="827"/>
      <c r="WU17" s="827"/>
      <c r="WV17" s="827"/>
      <c r="WW17" s="827"/>
      <c r="WX17" s="827"/>
      <c r="WY17" s="827"/>
      <c r="WZ17" s="827"/>
      <c r="XA17" s="827"/>
      <c r="XB17" s="827"/>
      <c r="XC17" s="827"/>
      <c r="XD17" s="827"/>
      <c r="XE17" s="827"/>
      <c r="XF17" s="827"/>
      <c r="XG17" s="827"/>
      <c r="XH17" s="827"/>
      <c r="XI17" s="827"/>
      <c r="XJ17" s="827"/>
      <c r="XK17" s="827"/>
      <c r="XL17" s="827"/>
      <c r="XM17" s="827"/>
      <c r="XN17" s="827"/>
      <c r="XO17" s="827"/>
      <c r="XP17" s="827"/>
      <c r="XQ17" s="827"/>
      <c r="XR17" s="827"/>
      <c r="XS17" s="827"/>
      <c r="XT17" s="827"/>
      <c r="XU17" s="827"/>
      <c r="XV17" s="827"/>
      <c r="XW17" s="827"/>
      <c r="XX17" s="827"/>
      <c r="XY17" s="827"/>
      <c r="XZ17" s="827"/>
      <c r="YA17" s="827"/>
      <c r="YB17" s="827"/>
      <c r="YC17" s="827"/>
      <c r="YD17" s="827"/>
      <c r="YE17" s="827"/>
      <c r="YF17" s="827"/>
      <c r="YG17" s="827"/>
      <c r="YH17" s="827"/>
      <c r="YI17" s="827"/>
      <c r="YJ17" s="827"/>
      <c r="YK17" s="827"/>
      <c r="YL17" s="827"/>
      <c r="YM17" s="827"/>
      <c r="YN17" s="827"/>
      <c r="YO17" s="827"/>
      <c r="YP17" s="827"/>
      <c r="YQ17" s="827"/>
      <c r="YR17" s="827"/>
      <c r="YS17" s="827"/>
      <c r="YT17" s="827"/>
      <c r="YU17" s="827"/>
      <c r="YV17" s="827"/>
      <c r="YW17" s="827"/>
      <c r="YX17" s="827"/>
      <c r="YY17" s="827"/>
      <c r="YZ17" s="827"/>
      <c r="ZA17" s="827"/>
      <c r="ZB17" s="827"/>
      <c r="ZC17" s="827"/>
      <c r="ZD17" s="827"/>
      <c r="ZE17" s="827"/>
      <c r="ZF17" s="827"/>
      <c r="ZG17" s="827"/>
      <c r="ZH17" s="827"/>
      <c r="ZI17" s="827"/>
      <c r="ZJ17" s="827"/>
      <c r="ZK17" s="827"/>
      <c r="ZL17" s="827"/>
      <c r="ZM17" s="827"/>
      <c r="ZN17" s="827"/>
      <c r="ZO17" s="827"/>
      <c r="ZP17" s="827"/>
      <c r="ZQ17" s="827"/>
      <c r="ZR17" s="827"/>
      <c r="ZS17" s="827"/>
      <c r="ZT17" s="827"/>
      <c r="ZU17" s="827"/>
      <c r="ZV17" s="827"/>
      <c r="ZW17" s="827"/>
      <c r="ZX17" s="827"/>
      <c r="ZY17" s="827"/>
      <c r="ZZ17" s="827"/>
      <c r="AAA17" s="827"/>
      <c r="AAB17" s="827"/>
      <c r="AAC17" s="827"/>
      <c r="AAD17" s="827"/>
      <c r="AAE17" s="827"/>
      <c r="AAF17" s="827"/>
      <c r="AAG17" s="827"/>
      <c r="AAH17" s="827"/>
      <c r="AAI17" s="827"/>
      <c r="AAJ17" s="827"/>
      <c r="AAK17" s="827"/>
      <c r="AAL17" s="827"/>
      <c r="AAM17" s="827"/>
      <c r="AAN17" s="827"/>
      <c r="AAO17" s="827"/>
      <c r="AAP17" s="827"/>
      <c r="AAQ17" s="827"/>
      <c r="AAR17" s="827"/>
      <c r="AAS17" s="827"/>
      <c r="AAT17" s="827"/>
      <c r="AAU17" s="827"/>
      <c r="AAV17" s="827"/>
      <c r="AAW17" s="827"/>
      <c r="AAX17" s="827"/>
      <c r="AAY17" s="827"/>
      <c r="AAZ17" s="827"/>
      <c r="ABA17" s="827"/>
      <c r="ABB17" s="827"/>
      <c r="ABC17" s="827"/>
      <c r="ABD17" s="827"/>
      <c r="ABE17" s="827"/>
      <c r="ABF17" s="827"/>
      <c r="ABG17" s="827"/>
      <c r="ABH17" s="827"/>
      <c r="ABI17" s="827"/>
      <c r="ABJ17" s="827"/>
      <c r="ABK17" s="827"/>
      <c r="ABL17" s="827"/>
      <c r="ABM17" s="827"/>
      <c r="ABN17" s="827"/>
      <c r="ABO17" s="827"/>
      <c r="ABP17" s="827"/>
      <c r="ABQ17" s="827"/>
      <c r="ABR17" s="827"/>
      <c r="ABS17" s="827"/>
      <c r="ABT17" s="827"/>
      <c r="ABU17" s="827"/>
      <c r="ABV17" s="827"/>
      <c r="ABW17" s="827"/>
      <c r="ABX17" s="827"/>
      <c r="ABY17" s="827"/>
      <c r="ABZ17" s="827"/>
      <c r="ACA17" s="827"/>
      <c r="ACB17" s="827"/>
      <c r="ACC17" s="827"/>
      <c r="ACD17" s="827"/>
      <c r="ACE17" s="827"/>
      <c r="ACF17" s="827"/>
      <c r="ACG17" s="827"/>
      <c r="ACH17" s="827"/>
      <c r="ACI17" s="827"/>
      <c r="ACJ17" s="827"/>
      <c r="ACK17" s="827"/>
      <c r="ACL17" s="827"/>
      <c r="ACM17" s="827"/>
      <c r="ACN17" s="827"/>
      <c r="ACO17" s="827"/>
      <c r="ACP17" s="827"/>
      <c r="ACQ17" s="827"/>
      <c r="ACR17" s="827"/>
      <c r="ACS17" s="827"/>
      <c r="ACT17" s="827"/>
      <c r="ACU17" s="827"/>
      <c r="ACV17" s="827"/>
      <c r="ACW17" s="827"/>
      <c r="ACX17" s="827"/>
      <c r="ACY17" s="827"/>
      <c r="ACZ17" s="827"/>
      <c r="ADA17" s="827"/>
      <c r="ADB17" s="827"/>
      <c r="ADC17" s="827"/>
      <c r="ADD17" s="827"/>
      <c r="ADE17" s="827"/>
      <c r="ADF17" s="827"/>
      <c r="ADG17" s="827"/>
      <c r="ADH17" s="827"/>
      <c r="ADI17" s="827"/>
      <c r="ADJ17" s="827"/>
      <c r="ADK17" s="827"/>
      <c r="ADL17" s="827"/>
      <c r="ADM17" s="827"/>
      <c r="ADN17" s="827"/>
      <c r="ADO17" s="827"/>
      <c r="ADP17" s="827"/>
      <c r="ADQ17" s="827"/>
      <c r="ADR17" s="827"/>
      <c r="ADS17" s="827"/>
      <c r="ADT17" s="827"/>
      <c r="ADU17" s="827"/>
      <c r="ADV17" s="827"/>
      <c r="ADW17" s="827"/>
      <c r="ADX17" s="827"/>
      <c r="ADY17" s="827"/>
      <c r="ADZ17" s="827"/>
      <c r="AEA17" s="827"/>
      <c r="AEB17" s="827"/>
      <c r="AEC17" s="827"/>
      <c r="AED17" s="827"/>
      <c r="AEE17" s="827"/>
      <c r="AEF17" s="827"/>
      <c r="AEG17" s="827"/>
      <c r="AEH17" s="827"/>
      <c r="AEI17" s="827"/>
      <c r="AEJ17" s="827"/>
      <c r="AEK17" s="827"/>
      <c r="AEL17" s="827"/>
      <c r="AEM17" s="827"/>
      <c r="AEN17" s="827"/>
      <c r="AEO17" s="827"/>
      <c r="AEP17" s="827"/>
      <c r="AEQ17" s="827"/>
      <c r="AER17" s="827"/>
      <c r="AES17" s="827"/>
      <c r="AET17" s="827"/>
      <c r="AEU17" s="827"/>
      <c r="AEV17" s="827"/>
      <c r="AEW17" s="827"/>
      <c r="AEX17" s="827"/>
      <c r="AEY17" s="827"/>
      <c r="AEZ17" s="827"/>
      <c r="AFA17" s="827"/>
      <c r="AFB17" s="827"/>
      <c r="AFC17" s="827"/>
      <c r="AFD17" s="827"/>
      <c r="AFE17" s="827"/>
      <c r="AFF17" s="827"/>
      <c r="AFG17" s="827"/>
      <c r="AFH17" s="827"/>
      <c r="AFI17" s="827"/>
      <c r="AFJ17" s="827"/>
      <c r="AFK17" s="827"/>
      <c r="AFL17" s="827"/>
      <c r="AFM17" s="827"/>
      <c r="AFN17" s="827"/>
      <c r="AFO17" s="827"/>
      <c r="AFP17" s="827"/>
      <c r="AFQ17" s="827"/>
      <c r="AFR17" s="827"/>
      <c r="AFS17" s="827"/>
      <c r="AFT17" s="827"/>
      <c r="AFU17" s="827"/>
      <c r="AFV17" s="827"/>
      <c r="AFW17" s="827"/>
      <c r="AFX17" s="827"/>
      <c r="AFY17" s="827"/>
      <c r="AFZ17" s="827"/>
      <c r="AGA17" s="827"/>
      <c r="AGB17" s="827"/>
      <c r="AGC17" s="827"/>
      <c r="AGD17" s="827"/>
      <c r="AGE17" s="827"/>
      <c r="AGF17" s="827"/>
      <c r="AGG17" s="827"/>
      <c r="AGH17" s="827"/>
      <c r="AGI17" s="827"/>
      <c r="AGJ17" s="827"/>
      <c r="AGK17" s="827"/>
      <c r="AGL17" s="827"/>
      <c r="AGM17" s="827"/>
      <c r="AGN17" s="827"/>
      <c r="AGO17" s="827"/>
      <c r="AGP17" s="827"/>
      <c r="AGQ17" s="827"/>
      <c r="AGR17" s="827"/>
      <c r="AGS17" s="827"/>
      <c r="AGT17" s="827"/>
      <c r="AGU17" s="827"/>
      <c r="AGV17" s="827"/>
      <c r="AGW17" s="827"/>
      <c r="AGX17" s="827"/>
      <c r="AGY17" s="827"/>
      <c r="AGZ17" s="827"/>
      <c r="AHA17" s="827"/>
      <c r="AHB17" s="827"/>
      <c r="AHC17" s="827"/>
      <c r="AHD17" s="827"/>
      <c r="AHE17" s="827"/>
      <c r="AHF17" s="827"/>
      <c r="AHG17" s="827"/>
      <c r="AHH17" s="827"/>
      <c r="AHI17" s="827"/>
      <c r="AHJ17" s="827"/>
      <c r="AHK17" s="827"/>
      <c r="AHL17" s="827"/>
      <c r="AHM17" s="827"/>
      <c r="AHN17" s="827"/>
      <c r="AHO17" s="827"/>
      <c r="AHP17" s="827"/>
      <c r="AHQ17" s="827"/>
      <c r="AHR17" s="827"/>
      <c r="AHS17" s="827"/>
      <c r="AHT17" s="827"/>
      <c r="AHU17" s="827"/>
      <c r="AHV17" s="827"/>
      <c r="AHW17" s="827"/>
      <c r="AHX17" s="827"/>
      <c r="AHY17" s="827"/>
      <c r="AHZ17" s="827"/>
      <c r="AIA17" s="827"/>
      <c r="AIB17" s="827"/>
      <c r="AIC17" s="827"/>
      <c r="AID17" s="827"/>
      <c r="AIE17" s="827"/>
      <c r="AIF17" s="827"/>
      <c r="AIG17" s="827"/>
      <c r="AIH17" s="827"/>
      <c r="AII17" s="827"/>
      <c r="AIJ17" s="827"/>
      <c r="AIK17" s="827"/>
      <c r="AIL17" s="827"/>
      <c r="AIM17" s="827"/>
      <c r="AIN17" s="827"/>
      <c r="AIO17" s="827"/>
      <c r="AIP17" s="827"/>
      <c r="AIQ17" s="827"/>
      <c r="AIR17" s="827"/>
      <c r="AIS17" s="827"/>
      <c r="AIT17" s="827"/>
      <c r="AIU17" s="827"/>
      <c r="AIV17" s="827"/>
      <c r="AIW17" s="827"/>
      <c r="AIX17" s="827"/>
      <c r="AIY17" s="827"/>
      <c r="AIZ17" s="827"/>
      <c r="AJA17" s="827"/>
      <c r="AJB17" s="827"/>
      <c r="AJC17" s="827"/>
      <c r="AJD17" s="827"/>
      <c r="AJE17" s="827"/>
      <c r="AJF17" s="827"/>
      <c r="AJG17" s="827"/>
      <c r="AJH17" s="827"/>
      <c r="AJI17" s="827"/>
      <c r="AJJ17" s="827"/>
      <c r="AJK17" s="827"/>
      <c r="AJL17" s="827"/>
      <c r="AJM17" s="827"/>
      <c r="AJN17" s="827"/>
      <c r="AJO17" s="827"/>
      <c r="AJP17" s="827"/>
      <c r="AJQ17" s="827"/>
      <c r="AJR17" s="827"/>
      <c r="AJS17" s="827"/>
      <c r="AJT17" s="827"/>
      <c r="AJU17" s="827"/>
      <c r="AJV17" s="827"/>
      <c r="AJW17" s="827"/>
      <c r="AJX17" s="827"/>
      <c r="AJY17" s="827"/>
      <c r="AJZ17" s="827"/>
      <c r="AKA17" s="827"/>
      <c r="AKB17" s="827"/>
      <c r="AKC17" s="827"/>
      <c r="AKD17" s="827"/>
      <c r="AKE17" s="827"/>
      <c r="AKF17" s="827"/>
      <c r="AKG17" s="827"/>
      <c r="AKH17" s="827"/>
      <c r="AKI17" s="827"/>
      <c r="AKJ17" s="827"/>
      <c r="AKK17" s="827"/>
      <c r="AKL17" s="827"/>
      <c r="AKM17" s="827"/>
      <c r="AKN17" s="827"/>
      <c r="AKO17" s="827"/>
      <c r="AKP17" s="827"/>
      <c r="AKQ17" s="827"/>
      <c r="AKR17" s="827"/>
      <c r="AKS17" s="827"/>
      <c r="AKT17" s="827"/>
      <c r="AKU17" s="827"/>
      <c r="AKV17" s="827"/>
      <c r="AKW17" s="827"/>
      <c r="AKX17" s="827"/>
      <c r="AKY17" s="827"/>
      <c r="AKZ17" s="827"/>
      <c r="ALA17" s="827"/>
      <c r="ALB17" s="827"/>
      <c r="ALC17" s="827"/>
      <c r="ALD17" s="827"/>
      <c r="ALE17" s="827"/>
      <c r="ALF17" s="827"/>
      <c r="ALG17" s="827"/>
      <c r="ALH17" s="827"/>
      <c r="ALI17" s="827"/>
      <c r="ALJ17" s="827"/>
      <c r="ALK17" s="827"/>
      <c r="ALL17" s="827"/>
      <c r="ALM17" s="827"/>
      <c r="ALN17" s="827"/>
      <c r="ALO17" s="827"/>
      <c r="ALP17" s="827"/>
      <c r="ALQ17" s="827"/>
      <c r="ALR17" s="827"/>
      <c r="ALS17" s="827"/>
      <c r="ALT17" s="827"/>
      <c r="ALU17" s="827"/>
      <c r="ALV17" s="827"/>
      <c r="ALW17" s="827"/>
      <c r="ALX17" s="827"/>
      <c r="ALY17" s="827"/>
      <c r="ALZ17" s="827"/>
      <c r="AMA17" s="827"/>
      <c r="AMB17" s="827"/>
      <c r="AMC17" s="827"/>
      <c r="AMD17" s="827"/>
      <c r="AME17" s="827"/>
      <c r="AMF17" s="827"/>
      <c r="AMG17" s="827"/>
      <c r="AMH17" s="827"/>
      <c r="AMI17" s="827"/>
      <c r="AMJ17" s="827"/>
      <c r="AMK17" s="827"/>
      <c r="AML17" s="827"/>
      <c r="AMM17" s="827"/>
      <c r="AMN17" s="827"/>
      <c r="AMO17" s="827"/>
      <c r="AMP17" s="827"/>
      <c r="AMQ17" s="827"/>
      <c r="AMR17" s="827"/>
      <c r="AMS17" s="827"/>
      <c r="AMT17" s="827"/>
      <c r="AMU17" s="827"/>
      <c r="AMV17" s="827"/>
      <c r="AMW17" s="827"/>
      <c r="AMX17" s="827"/>
      <c r="AMY17" s="827"/>
      <c r="AMZ17" s="827"/>
      <c r="ANA17" s="827"/>
      <c r="ANB17" s="827"/>
      <c r="ANC17" s="827"/>
      <c r="AND17" s="827"/>
      <c r="ANE17" s="827"/>
      <c r="ANF17" s="827"/>
      <c r="ANG17" s="827"/>
      <c r="ANH17" s="827"/>
      <c r="ANI17" s="827"/>
      <c r="ANJ17" s="827"/>
      <c r="ANK17" s="827"/>
      <c r="ANL17" s="827"/>
      <c r="ANM17" s="827"/>
      <c r="ANN17" s="827"/>
      <c r="ANO17" s="827"/>
      <c r="ANP17" s="827"/>
      <c r="ANQ17" s="827"/>
      <c r="ANR17" s="827"/>
      <c r="ANS17" s="827"/>
      <c r="ANT17" s="827"/>
      <c r="ANU17" s="827"/>
      <c r="ANV17" s="827"/>
      <c r="ANW17" s="827"/>
      <c r="ANX17" s="827"/>
      <c r="ANY17" s="827"/>
      <c r="ANZ17" s="827"/>
      <c r="AOA17" s="827"/>
      <c r="AOB17" s="827"/>
      <c r="AOC17" s="827"/>
      <c r="AOD17" s="827"/>
      <c r="AOE17" s="827"/>
      <c r="AOF17" s="827"/>
      <c r="AOG17" s="827"/>
      <c r="AOH17" s="827"/>
      <c r="AOI17" s="827"/>
      <c r="AOJ17" s="827"/>
      <c r="AOK17" s="827"/>
      <c r="AOL17" s="827"/>
      <c r="AOM17" s="827"/>
      <c r="AON17" s="827"/>
      <c r="AOO17" s="827"/>
      <c r="AOP17" s="827"/>
      <c r="AOQ17" s="827"/>
      <c r="AOR17" s="827"/>
      <c r="AOS17" s="827"/>
      <c r="AOT17" s="827"/>
      <c r="AOU17" s="827"/>
      <c r="AOV17" s="827"/>
      <c r="AOW17" s="827"/>
      <c r="AOX17" s="827"/>
      <c r="AOY17" s="827"/>
      <c r="AOZ17" s="827"/>
      <c r="APA17" s="827"/>
      <c r="APB17" s="827"/>
      <c r="APC17" s="827"/>
      <c r="APD17" s="827"/>
      <c r="APE17" s="827"/>
      <c r="APF17" s="827"/>
      <c r="APG17" s="827"/>
      <c r="APH17" s="827"/>
      <c r="API17" s="827"/>
      <c r="APJ17" s="827"/>
      <c r="APK17" s="827"/>
      <c r="APL17" s="827"/>
      <c r="APM17" s="827"/>
      <c r="APN17" s="827"/>
      <c r="APO17" s="827"/>
      <c r="APP17" s="827"/>
      <c r="APQ17" s="827"/>
      <c r="APR17" s="827"/>
      <c r="APS17" s="827"/>
      <c r="APT17" s="827"/>
      <c r="APU17" s="827"/>
      <c r="APV17" s="827"/>
      <c r="APW17" s="827"/>
      <c r="APX17" s="827"/>
      <c r="APY17" s="827"/>
      <c r="APZ17" s="827"/>
      <c r="AQA17" s="827"/>
      <c r="AQB17" s="827"/>
      <c r="AQC17" s="827"/>
      <c r="AQD17" s="827"/>
      <c r="AQE17" s="827"/>
      <c r="AQF17" s="827"/>
      <c r="AQG17" s="827"/>
      <c r="AQH17" s="827"/>
      <c r="AQI17" s="827"/>
      <c r="AQJ17" s="827"/>
      <c r="AQK17" s="827"/>
      <c r="AQL17" s="827"/>
      <c r="AQM17" s="827"/>
      <c r="AQN17" s="827"/>
      <c r="AQO17" s="827"/>
      <c r="AQP17" s="827"/>
      <c r="AQQ17" s="827"/>
      <c r="AQR17" s="827"/>
      <c r="AQS17" s="827"/>
      <c r="AQT17" s="827"/>
      <c r="AQU17" s="827"/>
      <c r="AQV17" s="827"/>
      <c r="AQW17" s="827"/>
      <c r="AQX17" s="827"/>
      <c r="AQY17" s="827"/>
      <c r="AQZ17" s="827"/>
      <c r="ARA17" s="827"/>
      <c r="ARB17" s="827"/>
      <c r="ARC17" s="827"/>
      <c r="ARD17" s="827"/>
      <c r="ARE17" s="827"/>
      <c r="ARF17" s="827"/>
      <c r="ARG17" s="827"/>
      <c r="ARH17" s="827"/>
      <c r="ARI17" s="827"/>
      <c r="ARJ17" s="827"/>
      <c r="ARK17" s="827"/>
      <c r="ARL17" s="827"/>
      <c r="ARM17" s="827"/>
      <c r="ARN17" s="827"/>
      <c r="ARO17" s="827"/>
      <c r="ARP17" s="827"/>
      <c r="ARQ17" s="827"/>
      <c r="ARR17" s="827"/>
      <c r="ARS17" s="827"/>
      <c r="ART17" s="827"/>
      <c r="ARU17" s="827"/>
      <c r="ARV17" s="827"/>
      <c r="ARW17" s="827"/>
      <c r="ARX17" s="827"/>
      <c r="ARY17" s="827"/>
      <c r="ARZ17" s="827"/>
      <c r="ASA17" s="827"/>
      <c r="ASB17" s="827"/>
      <c r="ASC17" s="827"/>
      <c r="ASD17" s="827"/>
      <c r="ASE17" s="827"/>
      <c r="ASF17" s="827"/>
      <c r="ASG17" s="827"/>
      <c r="ASH17" s="827"/>
      <c r="ASI17" s="827"/>
      <c r="ASJ17" s="827"/>
      <c r="ASK17" s="827"/>
      <c r="ASL17" s="827"/>
      <c r="ASM17" s="827"/>
      <c r="ASN17" s="827"/>
      <c r="ASO17" s="827"/>
      <c r="ASP17" s="827"/>
      <c r="ASQ17" s="827"/>
      <c r="ASR17" s="827"/>
      <c r="ASS17" s="827"/>
      <c r="AST17" s="827"/>
      <c r="ASU17" s="827"/>
      <c r="ASV17" s="827"/>
      <c r="ASW17" s="827"/>
      <c r="ASX17" s="827"/>
      <c r="ASY17" s="827"/>
      <c r="ASZ17" s="827"/>
      <c r="ATA17" s="827"/>
      <c r="ATB17" s="827"/>
      <c r="ATC17" s="827"/>
      <c r="ATD17" s="827"/>
      <c r="ATE17" s="827"/>
      <c r="ATF17" s="827"/>
      <c r="ATG17" s="827"/>
      <c r="ATH17" s="827"/>
      <c r="ATI17" s="827"/>
      <c r="ATJ17" s="827"/>
      <c r="ATK17" s="827"/>
      <c r="ATL17" s="827"/>
      <c r="ATM17" s="827"/>
      <c r="ATN17" s="827"/>
      <c r="ATO17" s="827"/>
      <c r="ATP17" s="827"/>
      <c r="ATQ17" s="827"/>
      <c r="ATR17" s="827"/>
      <c r="ATS17" s="827"/>
      <c r="ATT17" s="827"/>
      <c r="ATU17" s="827"/>
      <c r="ATV17" s="827"/>
      <c r="ATW17" s="827"/>
      <c r="ATX17" s="827"/>
      <c r="ATY17" s="827"/>
      <c r="ATZ17" s="827"/>
      <c r="AUA17" s="827"/>
      <c r="AUB17" s="827"/>
      <c r="AUC17" s="827"/>
      <c r="AUD17" s="827"/>
      <c r="AUE17" s="827"/>
      <c r="AUF17" s="827"/>
      <c r="AUG17" s="827"/>
      <c r="AUH17" s="827"/>
      <c r="AUI17" s="827"/>
      <c r="AUJ17" s="827"/>
      <c r="AUK17" s="827"/>
      <c r="AUL17" s="827"/>
      <c r="AUM17" s="827"/>
      <c r="AUN17" s="827"/>
      <c r="AUO17" s="827"/>
      <c r="AUP17" s="827"/>
      <c r="AUQ17" s="827"/>
      <c r="AUR17" s="827"/>
      <c r="AUS17" s="827"/>
      <c r="AUT17" s="827"/>
      <c r="AUU17" s="827"/>
      <c r="AUV17" s="827"/>
      <c r="AUW17" s="827"/>
      <c r="AUX17" s="827"/>
      <c r="AUY17" s="827"/>
      <c r="AUZ17" s="827"/>
      <c r="AVA17" s="827"/>
      <c r="AVB17" s="827"/>
      <c r="AVC17" s="827"/>
      <c r="AVD17" s="827"/>
      <c r="AVE17" s="827"/>
      <c r="AVF17" s="827"/>
      <c r="AVG17" s="827"/>
      <c r="AVH17" s="827"/>
      <c r="AVI17" s="827"/>
      <c r="AVJ17" s="827"/>
      <c r="AVK17" s="827"/>
      <c r="AVL17" s="827"/>
      <c r="AVM17" s="827"/>
      <c r="AVN17" s="827"/>
      <c r="AVO17" s="827"/>
      <c r="AVP17" s="827"/>
      <c r="AVQ17" s="827"/>
      <c r="AVR17" s="827"/>
      <c r="AVS17" s="827"/>
      <c r="AVT17" s="827"/>
      <c r="AVU17" s="827"/>
      <c r="AVV17" s="827"/>
      <c r="AVW17" s="827"/>
      <c r="AVX17" s="827"/>
      <c r="AVY17" s="827"/>
      <c r="AVZ17" s="827"/>
      <c r="AWA17" s="827"/>
      <c r="AWB17" s="827"/>
      <c r="AWC17" s="827"/>
      <c r="AWD17" s="827"/>
      <c r="AWE17" s="827"/>
      <c r="AWF17" s="827"/>
      <c r="AWG17" s="827"/>
      <c r="AWH17" s="827"/>
      <c r="AWI17" s="827"/>
      <c r="AWJ17" s="827"/>
      <c r="AWK17" s="827"/>
      <c r="AWL17" s="827"/>
      <c r="AWM17" s="827"/>
      <c r="AWN17" s="827"/>
      <c r="AWO17" s="827"/>
      <c r="AWP17" s="827"/>
      <c r="AWQ17" s="827"/>
      <c r="AWR17" s="827"/>
      <c r="AWS17" s="827"/>
      <c r="AWT17" s="827"/>
      <c r="AWU17" s="827"/>
      <c r="AWV17" s="827"/>
      <c r="AWW17" s="827"/>
      <c r="AWX17" s="827"/>
      <c r="AWY17" s="827"/>
      <c r="AWZ17" s="827"/>
      <c r="AXA17" s="827"/>
      <c r="AXB17" s="827"/>
      <c r="AXC17" s="827"/>
      <c r="AXD17" s="827"/>
      <c r="AXE17" s="827"/>
      <c r="AXF17" s="827"/>
      <c r="AXG17" s="827"/>
      <c r="AXH17" s="827"/>
      <c r="AXI17" s="827"/>
      <c r="AXJ17" s="827"/>
      <c r="AXK17" s="827"/>
      <c r="AXL17" s="827"/>
      <c r="AXM17" s="827"/>
      <c r="AXN17" s="827"/>
      <c r="AXO17" s="827"/>
      <c r="AXP17" s="827"/>
      <c r="AXQ17" s="827"/>
      <c r="AXR17" s="827"/>
      <c r="AXS17" s="827"/>
      <c r="AXT17" s="827"/>
      <c r="AXU17" s="827"/>
      <c r="AXV17" s="827"/>
      <c r="AXW17" s="827"/>
      <c r="AXX17" s="827"/>
      <c r="AXY17" s="827"/>
      <c r="AXZ17" s="827"/>
      <c r="AYA17" s="827"/>
      <c r="AYB17" s="827"/>
      <c r="AYC17" s="827"/>
      <c r="AYD17" s="827"/>
      <c r="AYE17" s="827"/>
      <c r="AYF17" s="827"/>
      <c r="AYG17" s="827"/>
      <c r="AYH17" s="827"/>
      <c r="AYI17" s="827"/>
      <c r="AYJ17" s="827"/>
      <c r="AYK17" s="827"/>
      <c r="AYL17" s="827"/>
      <c r="AYM17" s="827"/>
      <c r="AYN17" s="827"/>
      <c r="AYO17" s="827"/>
      <c r="AYP17" s="827"/>
      <c r="AYQ17" s="827"/>
      <c r="AYR17" s="827"/>
      <c r="AYS17" s="827"/>
      <c r="AYT17" s="827"/>
      <c r="AYU17" s="827"/>
      <c r="AYV17" s="827"/>
      <c r="AYW17" s="827"/>
      <c r="AYX17" s="827"/>
      <c r="AYY17" s="827"/>
      <c r="AYZ17" s="827"/>
      <c r="AZA17" s="827"/>
      <c r="AZB17" s="827"/>
      <c r="AZC17" s="827"/>
      <c r="AZD17" s="827"/>
      <c r="AZE17" s="827"/>
      <c r="AZF17" s="827"/>
      <c r="AZG17" s="827"/>
      <c r="AZH17" s="827"/>
      <c r="AZI17" s="827"/>
      <c r="AZJ17" s="827"/>
      <c r="AZK17" s="827"/>
      <c r="AZL17" s="827"/>
      <c r="AZM17" s="827"/>
      <c r="AZN17" s="827"/>
      <c r="AZO17" s="827"/>
      <c r="AZP17" s="827"/>
      <c r="AZQ17" s="827"/>
      <c r="AZR17" s="827"/>
      <c r="AZS17" s="827"/>
      <c r="AZT17" s="827"/>
      <c r="AZU17" s="827"/>
      <c r="AZV17" s="827"/>
      <c r="AZW17" s="827"/>
      <c r="AZX17" s="827"/>
      <c r="AZY17" s="827"/>
      <c r="AZZ17" s="827"/>
      <c r="BAA17" s="827"/>
      <c r="BAB17" s="827"/>
      <c r="BAC17" s="827"/>
      <c r="BAD17" s="827"/>
      <c r="BAE17" s="827"/>
      <c r="BAF17" s="827"/>
      <c r="BAG17" s="827"/>
      <c r="BAH17" s="827"/>
      <c r="BAI17" s="827"/>
      <c r="BAJ17" s="827"/>
      <c r="BAK17" s="827"/>
      <c r="BAL17" s="827"/>
      <c r="BAM17" s="827"/>
      <c r="BAN17" s="827"/>
      <c r="BAO17" s="827"/>
      <c r="BAP17" s="827"/>
      <c r="BAQ17" s="827"/>
      <c r="BAR17" s="827"/>
      <c r="BAS17" s="827"/>
      <c r="BAT17" s="827"/>
      <c r="BAU17" s="827"/>
      <c r="BAV17" s="827"/>
      <c r="BAW17" s="827"/>
      <c r="BAX17" s="827"/>
      <c r="BAY17" s="827"/>
      <c r="BAZ17" s="827"/>
      <c r="BBA17" s="827"/>
      <c r="BBB17" s="827"/>
      <c r="BBC17" s="827"/>
      <c r="BBD17" s="827"/>
      <c r="BBE17" s="827"/>
      <c r="BBF17" s="827"/>
      <c r="BBG17" s="827"/>
      <c r="BBH17" s="827"/>
      <c r="BBI17" s="827"/>
      <c r="BBJ17" s="827"/>
      <c r="BBK17" s="827"/>
      <c r="BBL17" s="827"/>
      <c r="BBM17" s="827"/>
      <c r="BBN17" s="827"/>
      <c r="BBO17" s="827"/>
      <c r="BBP17" s="827"/>
      <c r="BBQ17" s="827"/>
      <c r="BBR17" s="827"/>
      <c r="BBS17" s="827"/>
      <c r="BBT17" s="827"/>
      <c r="BBU17" s="827"/>
      <c r="BBV17" s="827"/>
      <c r="BBW17" s="827"/>
      <c r="BBX17" s="827"/>
      <c r="BBY17" s="827"/>
      <c r="BBZ17" s="827"/>
      <c r="BCA17" s="827"/>
      <c r="BCB17" s="827"/>
      <c r="BCC17" s="827"/>
      <c r="BCD17" s="827"/>
      <c r="BCE17" s="827"/>
      <c r="BCF17" s="827"/>
      <c r="BCG17" s="827"/>
      <c r="BCH17" s="827"/>
      <c r="BCI17" s="827"/>
      <c r="BCJ17" s="827"/>
      <c r="BCK17" s="827"/>
      <c r="BCL17" s="827"/>
      <c r="BCM17" s="827"/>
      <c r="BCN17" s="827"/>
      <c r="BCO17" s="827"/>
      <c r="BCP17" s="827"/>
      <c r="BCQ17" s="827"/>
      <c r="BCR17" s="827"/>
      <c r="BCS17" s="827"/>
      <c r="BCT17" s="827"/>
      <c r="BCU17" s="827"/>
      <c r="BCV17" s="827"/>
      <c r="BCW17" s="827"/>
      <c r="BCX17" s="827"/>
      <c r="BCY17" s="827"/>
      <c r="BCZ17" s="827"/>
      <c r="BDA17" s="827"/>
      <c r="BDB17" s="827"/>
      <c r="BDC17" s="827"/>
      <c r="BDD17" s="827"/>
      <c r="BDE17" s="827"/>
      <c r="BDF17" s="827"/>
      <c r="BDG17" s="827"/>
      <c r="BDH17" s="827"/>
      <c r="BDI17" s="827"/>
      <c r="BDJ17" s="827"/>
      <c r="BDK17" s="827"/>
      <c r="BDL17" s="827"/>
      <c r="BDM17" s="827"/>
      <c r="BDN17" s="827"/>
      <c r="BDO17" s="827"/>
      <c r="BDP17" s="827"/>
      <c r="BDQ17" s="827"/>
      <c r="BDR17" s="827"/>
      <c r="BDS17" s="827"/>
      <c r="BDT17" s="827"/>
      <c r="BDU17" s="827"/>
      <c r="BDV17" s="827"/>
      <c r="BDW17" s="827"/>
      <c r="BDX17" s="827"/>
      <c r="BDY17" s="827"/>
      <c r="BDZ17" s="827"/>
      <c r="BEA17" s="827"/>
      <c r="BEB17" s="827"/>
      <c r="BEC17" s="827"/>
      <c r="BED17" s="827"/>
      <c r="BEE17" s="827"/>
      <c r="BEF17" s="827"/>
      <c r="BEG17" s="827"/>
      <c r="BEH17" s="827"/>
      <c r="BEI17" s="827"/>
      <c r="BEJ17" s="827"/>
      <c r="BEK17" s="827"/>
      <c r="BEL17" s="827"/>
      <c r="BEM17" s="827"/>
      <c r="BEN17" s="827"/>
      <c r="BEO17" s="827"/>
      <c r="BEP17" s="827"/>
      <c r="BEQ17" s="827"/>
      <c r="BER17" s="827"/>
      <c r="BES17" s="827"/>
      <c r="BET17" s="827"/>
      <c r="BEU17" s="827"/>
      <c r="BEV17" s="827"/>
      <c r="BEW17" s="827"/>
      <c r="BEX17" s="827"/>
      <c r="BEY17" s="827"/>
      <c r="BEZ17" s="827"/>
      <c r="BFA17" s="827"/>
      <c r="BFB17" s="827"/>
      <c r="BFC17" s="827"/>
      <c r="BFD17" s="827"/>
      <c r="BFE17" s="827"/>
      <c r="BFF17" s="827"/>
      <c r="BFG17" s="827"/>
      <c r="BFH17" s="827"/>
      <c r="BFI17" s="827"/>
      <c r="BFJ17" s="827"/>
      <c r="BFK17" s="827"/>
      <c r="BFL17" s="827"/>
      <c r="BFM17" s="827"/>
      <c r="BFN17" s="827"/>
      <c r="BFO17" s="827"/>
      <c r="BFP17" s="827"/>
      <c r="BFQ17" s="827"/>
      <c r="BFR17" s="827"/>
      <c r="BFS17" s="827"/>
      <c r="BFT17" s="827"/>
      <c r="BFU17" s="827"/>
      <c r="BFV17" s="827"/>
      <c r="BFW17" s="827"/>
      <c r="BFX17" s="827"/>
      <c r="BFY17" s="827"/>
      <c r="BFZ17" s="827"/>
      <c r="BGA17" s="827"/>
      <c r="BGB17" s="827"/>
      <c r="BGC17" s="827"/>
      <c r="BGD17" s="827"/>
      <c r="BGE17" s="827"/>
      <c r="BGF17" s="827"/>
      <c r="BGG17" s="827"/>
      <c r="BGH17" s="827"/>
      <c r="BGI17" s="827"/>
      <c r="BGJ17" s="827"/>
      <c r="BGK17" s="827"/>
      <c r="BGL17" s="827"/>
      <c r="BGM17" s="827"/>
      <c r="BGN17" s="827"/>
      <c r="BGO17" s="827"/>
      <c r="BGP17" s="827"/>
      <c r="BGQ17" s="827"/>
      <c r="BGR17" s="827"/>
      <c r="BGS17" s="827"/>
      <c r="BGT17" s="827"/>
      <c r="BGU17" s="827"/>
      <c r="BGV17" s="827"/>
      <c r="BGW17" s="827"/>
      <c r="BGX17" s="827"/>
      <c r="BGY17" s="827"/>
      <c r="BGZ17" s="827"/>
      <c r="BHA17" s="827"/>
      <c r="BHB17" s="827"/>
      <c r="BHC17" s="827"/>
      <c r="BHD17" s="827"/>
      <c r="BHE17" s="827"/>
      <c r="BHF17" s="827"/>
      <c r="BHG17" s="827"/>
      <c r="BHH17" s="827"/>
      <c r="BHI17" s="827"/>
      <c r="BHJ17" s="827"/>
      <c r="BHK17" s="827"/>
      <c r="BHL17" s="827"/>
      <c r="BHM17" s="827"/>
      <c r="BHN17" s="827"/>
      <c r="BHO17" s="827"/>
      <c r="BHP17" s="827"/>
      <c r="BHQ17" s="827"/>
      <c r="BHR17" s="827"/>
      <c r="BHS17" s="827"/>
      <c r="BHT17" s="827"/>
      <c r="BHU17" s="827"/>
      <c r="BHV17" s="827"/>
      <c r="BHW17" s="827"/>
      <c r="BHX17" s="827"/>
      <c r="BHY17" s="827"/>
      <c r="BHZ17" s="827"/>
      <c r="BIA17" s="827"/>
      <c r="BIB17" s="827"/>
      <c r="BIC17" s="827"/>
      <c r="BID17" s="827"/>
      <c r="BIE17" s="827"/>
      <c r="BIF17" s="827"/>
      <c r="BIG17" s="827"/>
      <c r="BIH17" s="827"/>
      <c r="BII17" s="827"/>
      <c r="BIJ17" s="827"/>
      <c r="BIK17" s="827"/>
      <c r="BIL17" s="827"/>
      <c r="BIM17" s="827"/>
      <c r="BIN17" s="827"/>
      <c r="BIO17" s="827"/>
      <c r="BIP17" s="827"/>
      <c r="BIQ17" s="827"/>
      <c r="BIR17" s="827"/>
      <c r="BIS17" s="827"/>
      <c r="BIT17" s="827"/>
      <c r="BIU17" s="827"/>
      <c r="BIV17" s="827"/>
      <c r="BIW17" s="827"/>
      <c r="BIX17" s="827"/>
      <c r="BIY17" s="827"/>
      <c r="BIZ17" s="827"/>
      <c r="BJA17" s="827"/>
      <c r="BJB17" s="827"/>
      <c r="BJC17" s="827"/>
      <c r="BJD17" s="827"/>
      <c r="BJE17" s="827"/>
      <c r="BJF17" s="827"/>
      <c r="BJG17" s="827"/>
      <c r="BJH17" s="827"/>
      <c r="BJI17" s="827"/>
      <c r="BJJ17" s="827"/>
      <c r="BJK17" s="827"/>
      <c r="BJL17" s="827"/>
      <c r="BJM17" s="827"/>
      <c r="BJN17" s="827"/>
      <c r="BJO17" s="827"/>
      <c r="BJP17" s="827"/>
      <c r="BJQ17" s="827"/>
      <c r="BJR17" s="827"/>
      <c r="BJS17" s="827"/>
      <c r="BJT17" s="827"/>
      <c r="BJU17" s="827"/>
      <c r="BJV17" s="827"/>
      <c r="BJW17" s="827"/>
      <c r="BJX17" s="827"/>
      <c r="BJY17" s="827"/>
      <c r="BJZ17" s="827"/>
      <c r="BKA17" s="827"/>
      <c r="BKB17" s="827"/>
      <c r="BKC17" s="827"/>
      <c r="BKD17" s="827"/>
      <c r="BKE17" s="827"/>
      <c r="BKF17" s="827"/>
      <c r="BKG17" s="827"/>
      <c r="BKH17" s="827"/>
      <c r="BKI17" s="827"/>
      <c r="BKJ17" s="827"/>
      <c r="BKK17" s="827"/>
      <c r="BKL17" s="827"/>
      <c r="BKM17" s="827"/>
      <c r="BKN17" s="827"/>
      <c r="BKO17" s="827"/>
      <c r="BKP17" s="827"/>
      <c r="BKQ17" s="827"/>
      <c r="BKR17" s="827"/>
      <c r="BKS17" s="827"/>
      <c r="BKT17" s="827"/>
      <c r="BKU17" s="827"/>
      <c r="BKV17" s="827"/>
      <c r="BKW17" s="827"/>
      <c r="BKX17" s="827"/>
      <c r="BKY17" s="827"/>
      <c r="BKZ17" s="827"/>
      <c r="BLA17" s="827"/>
      <c r="BLB17" s="827"/>
      <c r="BLC17" s="827"/>
      <c r="BLD17" s="827"/>
      <c r="BLE17" s="827"/>
      <c r="BLF17" s="827"/>
      <c r="BLG17" s="827"/>
      <c r="BLH17" s="827"/>
      <c r="BLI17" s="827"/>
      <c r="BLJ17" s="827"/>
      <c r="BLK17" s="827"/>
      <c r="BLL17" s="827"/>
      <c r="BLM17" s="827"/>
      <c r="BLN17" s="827"/>
      <c r="BLO17" s="827"/>
      <c r="BLP17" s="827"/>
      <c r="BLQ17" s="827"/>
      <c r="BLR17" s="827"/>
      <c r="BLS17" s="827"/>
      <c r="BLT17" s="827"/>
      <c r="BLU17" s="827"/>
      <c r="BLV17" s="827"/>
      <c r="BLW17" s="827"/>
      <c r="BLX17" s="827"/>
      <c r="BLY17" s="827"/>
      <c r="BLZ17" s="827"/>
      <c r="BMA17" s="827"/>
      <c r="BMB17" s="827"/>
      <c r="BMC17" s="827"/>
      <c r="BMD17" s="827"/>
      <c r="BME17" s="827"/>
      <c r="BMF17" s="827"/>
      <c r="BMG17" s="827"/>
      <c r="BMH17" s="827"/>
      <c r="BMI17" s="827"/>
      <c r="BMJ17" s="827"/>
      <c r="BMK17" s="827"/>
      <c r="BML17" s="827"/>
      <c r="BMM17" s="827"/>
      <c r="BMN17" s="827"/>
      <c r="BMO17" s="827"/>
      <c r="BMP17" s="827"/>
      <c r="BMQ17" s="827"/>
      <c r="BMR17" s="827"/>
      <c r="BMS17" s="827"/>
      <c r="BMT17" s="827"/>
      <c r="BMU17" s="827"/>
      <c r="BMV17" s="827"/>
      <c r="BMW17" s="827"/>
      <c r="BMX17" s="827"/>
      <c r="BMY17" s="827"/>
      <c r="BMZ17" s="827"/>
      <c r="BNA17" s="827"/>
      <c r="BNB17" s="827"/>
      <c r="BNC17" s="827"/>
      <c r="BND17" s="827"/>
      <c r="BNE17" s="827"/>
      <c r="BNF17" s="827"/>
      <c r="BNG17" s="827"/>
      <c r="BNH17" s="827"/>
      <c r="BNI17" s="827"/>
      <c r="BNJ17" s="827"/>
      <c r="BNK17" s="827"/>
      <c r="BNL17" s="827"/>
      <c r="BNM17" s="827"/>
      <c r="BNN17" s="827"/>
      <c r="BNO17" s="827"/>
      <c r="BNP17" s="827"/>
      <c r="BNQ17" s="827"/>
      <c r="BNR17" s="827"/>
      <c r="BNS17" s="827"/>
      <c r="BNT17" s="827"/>
      <c r="BNU17" s="827"/>
      <c r="BNV17" s="827"/>
      <c r="BNW17" s="827"/>
      <c r="BNX17" s="827"/>
      <c r="BNY17" s="827"/>
      <c r="BNZ17" s="827"/>
      <c r="BOA17" s="827"/>
      <c r="BOB17" s="827"/>
      <c r="BOC17" s="827"/>
      <c r="BOD17" s="827"/>
      <c r="BOE17" s="827"/>
      <c r="BOF17" s="827"/>
      <c r="BOG17" s="827"/>
      <c r="BOH17" s="827"/>
      <c r="BOI17" s="827"/>
      <c r="BOJ17" s="827"/>
      <c r="BOK17" s="827"/>
      <c r="BOL17" s="827"/>
      <c r="BOM17" s="827"/>
      <c r="BON17" s="827"/>
      <c r="BOO17" s="827"/>
      <c r="BOP17" s="827"/>
      <c r="BOQ17" s="827"/>
      <c r="BOR17" s="827"/>
      <c r="BOS17" s="827"/>
      <c r="BOT17" s="827"/>
      <c r="BOU17" s="827"/>
      <c r="BOV17" s="827"/>
      <c r="BOW17" s="827"/>
      <c r="BOX17" s="827"/>
      <c r="BOY17" s="827"/>
      <c r="BOZ17" s="827"/>
      <c r="BPA17" s="827"/>
      <c r="BPB17" s="827"/>
      <c r="BPC17" s="827"/>
      <c r="BPD17" s="827"/>
      <c r="BPE17" s="827"/>
      <c r="BPF17" s="827"/>
      <c r="BPG17" s="827"/>
      <c r="BPH17" s="827"/>
      <c r="BPI17" s="827"/>
      <c r="BPJ17" s="827"/>
      <c r="BPK17" s="827"/>
      <c r="BPL17" s="827"/>
      <c r="BPM17" s="827"/>
      <c r="BPN17" s="827"/>
      <c r="BPO17" s="827"/>
      <c r="BPP17" s="827"/>
      <c r="BPQ17" s="827"/>
      <c r="BPR17" s="827"/>
      <c r="BPS17" s="827"/>
      <c r="BPT17" s="827"/>
      <c r="BPU17" s="827"/>
      <c r="BPV17" s="827"/>
      <c r="BPW17" s="827"/>
      <c r="BPX17" s="827"/>
      <c r="BPY17" s="827"/>
      <c r="BPZ17" s="827"/>
      <c r="BQA17" s="827"/>
      <c r="BQB17" s="827"/>
      <c r="BQC17" s="827"/>
      <c r="BQD17" s="827"/>
      <c r="BQE17" s="827"/>
      <c r="BQF17" s="827"/>
      <c r="BQG17" s="827"/>
      <c r="BQH17" s="827"/>
      <c r="BQI17" s="827"/>
      <c r="BQJ17" s="827"/>
      <c r="BQK17" s="827"/>
      <c r="BQL17" s="827"/>
      <c r="BQM17" s="827"/>
      <c r="BQN17" s="827"/>
      <c r="BQO17" s="827"/>
      <c r="BQP17" s="827"/>
      <c r="BQQ17" s="827"/>
      <c r="BQR17" s="827"/>
      <c r="BQS17" s="827"/>
      <c r="BQT17" s="827"/>
      <c r="BQU17" s="827"/>
      <c r="BQV17" s="827"/>
      <c r="BQW17" s="827"/>
      <c r="BQX17" s="827"/>
      <c r="BQY17" s="827"/>
      <c r="BQZ17" s="827"/>
      <c r="BRA17" s="827"/>
      <c r="BRB17" s="827"/>
      <c r="BRC17" s="827"/>
      <c r="BRD17" s="827"/>
      <c r="BRE17" s="827"/>
      <c r="BRF17" s="827"/>
      <c r="BRG17" s="827"/>
      <c r="BRH17" s="827"/>
      <c r="BRI17" s="827"/>
      <c r="BRJ17" s="827"/>
      <c r="BRK17" s="827"/>
      <c r="BRL17" s="827"/>
      <c r="BRM17" s="827"/>
      <c r="BRN17" s="827"/>
      <c r="BRO17" s="827"/>
      <c r="BRP17" s="827"/>
      <c r="BRQ17" s="827"/>
      <c r="BRR17" s="827"/>
      <c r="BRS17" s="827"/>
      <c r="BRT17" s="827"/>
      <c r="BRU17" s="827"/>
      <c r="BRV17" s="827"/>
      <c r="BRW17" s="827"/>
      <c r="BRX17" s="827"/>
      <c r="BRY17" s="827"/>
      <c r="BRZ17" s="827"/>
      <c r="BSA17" s="827"/>
      <c r="BSB17" s="827"/>
      <c r="BSC17" s="827"/>
      <c r="BSD17" s="827"/>
      <c r="BSE17" s="827"/>
      <c r="BSF17" s="827"/>
      <c r="BSG17" s="827"/>
      <c r="BSH17" s="827"/>
      <c r="BSI17" s="827"/>
      <c r="BSJ17" s="827"/>
      <c r="BSK17" s="827"/>
      <c r="BSL17" s="827"/>
      <c r="BSM17" s="827"/>
      <c r="BSN17" s="827"/>
      <c r="BSO17" s="827"/>
      <c r="BSP17" s="827"/>
      <c r="BSQ17" s="827"/>
      <c r="BSR17" s="827"/>
      <c r="BSS17" s="827"/>
      <c r="BST17" s="827"/>
    </row>
    <row r="18" spans="1:1866" s="824" customFormat="1" ht="21.9" customHeight="1" x14ac:dyDescent="0.25">
      <c r="A18" s="827"/>
      <c r="B18" s="3157" t="s">
        <v>851</v>
      </c>
      <c r="C18" s="3158"/>
      <c r="D18" s="3159"/>
      <c r="E18" s="1477"/>
      <c r="F18" s="1477"/>
      <c r="G18" s="1477"/>
      <c r="H18" s="1477"/>
      <c r="I18" s="1477"/>
      <c r="J18" s="1477"/>
      <c r="K18" s="1477"/>
      <c r="L18" s="1477"/>
      <c r="M18" s="1477"/>
      <c r="N18" s="1477"/>
      <c r="O18" s="1477"/>
      <c r="P18" s="1477"/>
      <c r="Q18" s="1477"/>
      <c r="R18" s="1477"/>
      <c r="S18" s="1477"/>
      <c r="T18" s="1477"/>
      <c r="U18" s="1477"/>
      <c r="V18" s="1478"/>
      <c r="W18" s="834"/>
      <c r="X18" s="834"/>
      <c r="Y18" s="834"/>
      <c r="Z18" s="834"/>
      <c r="AA18" s="867"/>
      <c r="AB18" s="834"/>
      <c r="AC18" s="834"/>
      <c r="AD18" s="834"/>
      <c r="AE18" s="834"/>
      <c r="AF18" s="834"/>
      <c r="AG18" s="834"/>
      <c r="AH18" s="834"/>
      <c r="AI18" s="834"/>
      <c r="AJ18" s="834"/>
      <c r="AK18" s="834"/>
      <c r="AL18" s="834"/>
      <c r="AM18" s="827"/>
      <c r="AN18" s="827"/>
      <c r="AO18" s="827"/>
      <c r="AP18" s="827"/>
      <c r="AQ18" s="827"/>
      <c r="AR18" s="827"/>
      <c r="AS18" s="827"/>
      <c r="AT18" s="827"/>
      <c r="AU18" s="827"/>
      <c r="AV18" s="827"/>
      <c r="AW18" s="827"/>
      <c r="AX18" s="827"/>
      <c r="AY18" s="827"/>
      <c r="AZ18" s="827"/>
      <c r="BA18" s="827"/>
      <c r="BB18" s="827"/>
      <c r="BC18" s="827"/>
      <c r="BD18" s="827"/>
      <c r="BE18" s="827"/>
      <c r="BF18" s="827"/>
      <c r="BG18" s="827"/>
      <c r="BH18" s="827"/>
      <c r="BI18" s="827"/>
      <c r="BJ18" s="827"/>
      <c r="BK18" s="827"/>
      <c r="BL18" s="827"/>
      <c r="BM18" s="827"/>
      <c r="BN18" s="827"/>
      <c r="BO18" s="827"/>
      <c r="BP18" s="827"/>
      <c r="BQ18" s="827"/>
      <c r="BR18" s="827"/>
      <c r="BS18" s="827"/>
      <c r="BT18" s="827"/>
      <c r="BU18" s="827"/>
      <c r="BV18" s="827"/>
      <c r="BW18" s="827"/>
      <c r="BX18" s="827"/>
      <c r="BY18" s="827"/>
      <c r="BZ18" s="827"/>
      <c r="CA18" s="827"/>
      <c r="CB18" s="827"/>
      <c r="CC18" s="827"/>
      <c r="CD18" s="827"/>
      <c r="CE18" s="827"/>
      <c r="CF18" s="827"/>
      <c r="CG18" s="827"/>
      <c r="CH18" s="827"/>
      <c r="CI18" s="827"/>
      <c r="CJ18" s="827"/>
      <c r="CK18" s="827"/>
      <c r="CL18" s="827"/>
      <c r="CM18" s="827"/>
      <c r="CN18" s="827"/>
      <c r="CO18" s="827"/>
      <c r="CP18" s="827"/>
      <c r="CQ18" s="827"/>
      <c r="CR18" s="827"/>
      <c r="CS18" s="827"/>
      <c r="CT18" s="827"/>
      <c r="CU18" s="827"/>
      <c r="CV18" s="827"/>
      <c r="CW18" s="827"/>
      <c r="CX18" s="827"/>
      <c r="CY18" s="827"/>
      <c r="CZ18" s="827"/>
      <c r="DA18" s="827"/>
      <c r="DB18" s="827"/>
      <c r="DC18" s="827"/>
      <c r="DD18" s="827"/>
      <c r="DE18" s="827"/>
      <c r="DF18" s="827"/>
      <c r="DG18" s="827"/>
      <c r="DH18" s="827"/>
      <c r="DI18" s="827"/>
      <c r="DJ18" s="827"/>
      <c r="DK18" s="827"/>
      <c r="DL18" s="827"/>
      <c r="DM18" s="827"/>
      <c r="DN18" s="827"/>
      <c r="DO18" s="827"/>
      <c r="DP18" s="827"/>
      <c r="DQ18" s="827"/>
      <c r="DR18" s="827"/>
      <c r="DS18" s="827"/>
      <c r="DT18" s="827"/>
      <c r="DU18" s="827"/>
      <c r="DV18" s="827"/>
      <c r="DW18" s="827"/>
      <c r="DX18" s="827"/>
      <c r="DY18" s="827"/>
      <c r="DZ18" s="827"/>
      <c r="EA18" s="827"/>
      <c r="EB18" s="827"/>
      <c r="EC18" s="827"/>
      <c r="ED18" s="827"/>
      <c r="EE18" s="827"/>
      <c r="EF18" s="827"/>
      <c r="EG18" s="827"/>
      <c r="EH18" s="827"/>
      <c r="EI18" s="827"/>
      <c r="EJ18" s="827"/>
      <c r="EK18" s="827"/>
      <c r="EL18" s="827"/>
      <c r="EM18" s="827"/>
      <c r="EN18" s="827"/>
      <c r="EO18" s="827"/>
      <c r="EP18" s="827"/>
      <c r="EQ18" s="827"/>
      <c r="ER18" s="827"/>
      <c r="ES18" s="827"/>
      <c r="ET18" s="827"/>
      <c r="EU18" s="827"/>
      <c r="EV18" s="827"/>
      <c r="EW18" s="827"/>
      <c r="EX18" s="827"/>
      <c r="EY18" s="827"/>
      <c r="EZ18" s="827"/>
      <c r="FA18" s="827"/>
      <c r="FB18" s="827"/>
      <c r="FC18" s="827"/>
      <c r="FD18" s="827"/>
      <c r="FE18" s="827"/>
      <c r="FF18" s="827"/>
      <c r="FG18" s="827"/>
      <c r="FH18" s="827"/>
      <c r="FI18" s="827"/>
      <c r="FJ18" s="827"/>
      <c r="FK18" s="827"/>
      <c r="FL18" s="827"/>
      <c r="FM18" s="827"/>
      <c r="FN18" s="827"/>
      <c r="FO18" s="827"/>
      <c r="FP18" s="827"/>
      <c r="FQ18" s="827"/>
      <c r="FR18" s="827"/>
      <c r="FS18" s="827"/>
      <c r="FT18" s="827"/>
      <c r="FU18" s="827"/>
      <c r="FV18" s="827"/>
      <c r="FW18" s="827"/>
      <c r="FX18" s="827"/>
      <c r="FY18" s="827"/>
      <c r="FZ18" s="827"/>
      <c r="GA18" s="827"/>
      <c r="GB18" s="827"/>
      <c r="GC18" s="827"/>
      <c r="GD18" s="827"/>
      <c r="GE18" s="827"/>
      <c r="GF18" s="827"/>
      <c r="GG18" s="827"/>
      <c r="GH18" s="827"/>
      <c r="GI18" s="827"/>
      <c r="GJ18" s="827"/>
      <c r="GK18" s="827"/>
      <c r="GL18" s="827"/>
      <c r="GM18" s="827"/>
      <c r="GN18" s="827"/>
      <c r="GO18" s="827"/>
      <c r="GP18" s="827"/>
      <c r="GQ18" s="827"/>
      <c r="GR18" s="827"/>
      <c r="GS18" s="827"/>
      <c r="GT18" s="827"/>
      <c r="GU18" s="827"/>
      <c r="GV18" s="827"/>
      <c r="GW18" s="827"/>
      <c r="GX18" s="827"/>
      <c r="GY18" s="827"/>
      <c r="GZ18" s="827"/>
      <c r="HA18" s="827"/>
      <c r="HB18" s="827"/>
      <c r="HC18" s="827"/>
      <c r="HD18" s="827"/>
      <c r="HE18" s="827"/>
      <c r="HF18" s="827"/>
      <c r="HG18" s="827"/>
      <c r="HH18" s="827"/>
      <c r="HI18" s="827"/>
      <c r="HJ18" s="827"/>
      <c r="HK18" s="827"/>
      <c r="HL18" s="827"/>
      <c r="HM18" s="827"/>
      <c r="HN18" s="827"/>
      <c r="HO18" s="827"/>
      <c r="HP18" s="827"/>
      <c r="HQ18" s="827"/>
      <c r="HR18" s="827"/>
      <c r="HS18" s="827"/>
      <c r="HT18" s="827"/>
      <c r="HU18" s="827"/>
      <c r="HV18" s="827"/>
      <c r="HW18" s="827"/>
      <c r="HX18" s="827"/>
      <c r="HY18" s="827"/>
      <c r="HZ18" s="827"/>
      <c r="IA18" s="827"/>
      <c r="IB18" s="827"/>
      <c r="IC18" s="827"/>
      <c r="ID18" s="827"/>
      <c r="IE18" s="827"/>
      <c r="IF18" s="827"/>
      <c r="IG18" s="827"/>
      <c r="IH18" s="827"/>
      <c r="II18" s="827"/>
      <c r="IJ18" s="827"/>
      <c r="IK18" s="827"/>
      <c r="IL18" s="827"/>
      <c r="IM18" s="827"/>
      <c r="IN18" s="827"/>
      <c r="IO18" s="827"/>
      <c r="IP18" s="827"/>
      <c r="IQ18" s="827"/>
      <c r="IR18" s="827"/>
      <c r="IS18" s="827"/>
      <c r="IT18" s="827"/>
      <c r="IU18" s="827"/>
      <c r="IV18" s="827"/>
      <c r="IW18" s="827"/>
      <c r="IX18" s="827"/>
      <c r="IY18" s="827"/>
      <c r="IZ18" s="827"/>
      <c r="JA18" s="827"/>
      <c r="JB18" s="827"/>
      <c r="JC18" s="827"/>
      <c r="JD18" s="827"/>
      <c r="JE18" s="827"/>
      <c r="JF18" s="827"/>
      <c r="JG18" s="827"/>
      <c r="JH18" s="827"/>
      <c r="JI18" s="827"/>
      <c r="JJ18" s="827"/>
      <c r="JK18" s="827"/>
      <c r="JL18" s="827"/>
      <c r="JM18" s="827"/>
      <c r="JN18" s="827"/>
      <c r="JO18" s="827"/>
      <c r="JP18" s="827"/>
      <c r="JQ18" s="827"/>
      <c r="JR18" s="827"/>
      <c r="JS18" s="827"/>
      <c r="JT18" s="827"/>
      <c r="JU18" s="827"/>
      <c r="JV18" s="827"/>
      <c r="JW18" s="827"/>
      <c r="JX18" s="827"/>
      <c r="JY18" s="827"/>
      <c r="JZ18" s="827"/>
      <c r="KA18" s="827"/>
      <c r="KB18" s="827"/>
      <c r="KC18" s="827"/>
      <c r="KD18" s="827"/>
      <c r="KE18" s="827"/>
      <c r="KF18" s="827"/>
      <c r="KG18" s="827"/>
      <c r="KH18" s="827"/>
      <c r="KI18" s="827"/>
      <c r="KJ18" s="827"/>
      <c r="KK18" s="827"/>
      <c r="KL18" s="827"/>
      <c r="KM18" s="827"/>
      <c r="KN18" s="827"/>
      <c r="KO18" s="827"/>
      <c r="KP18" s="827"/>
      <c r="KQ18" s="827"/>
      <c r="KR18" s="827"/>
      <c r="KS18" s="827"/>
      <c r="KT18" s="827"/>
      <c r="KU18" s="827"/>
      <c r="KV18" s="827"/>
      <c r="KW18" s="827"/>
      <c r="KX18" s="827"/>
      <c r="KY18" s="827"/>
      <c r="KZ18" s="827"/>
      <c r="LA18" s="827"/>
      <c r="LB18" s="827"/>
      <c r="LC18" s="827"/>
      <c r="LD18" s="827"/>
      <c r="LE18" s="827"/>
      <c r="LF18" s="827"/>
      <c r="LG18" s="827"/>
      <c r="LH18" s="827"/>
      <c r="LI18" s="827"/>
      <c r="LJ18" s="827"/>
      <c r="LK18" s="827"/>
      <c r="LL18" s="827"/>
      <c r="LM18" s="827"/>
      <c r="LN18" s="827"/>
      <c r="LO18" s="827"/>
      <c r="LP18" s="827"/>
      <c r="LQ18" s="827"/>
      <c r="LR18" s="827"/>
      <c r="LS18" s="827"/>
      <c r="LT18" s="827"/>
      <c r="LU18" s="827"/>
      <c r="LV18" s="827"/>
      <c r="LW18" s="827"/>
      <c r="LX18" s="827"/>
      <c r="LY18" s="827"/>
      <c r="LZ18" s="827"/>
      <c r="MA18" s="827"/>
      <c r="MB18" s="827"/>
      <c r="MC18" s="827"/>
      <c r="MD18" s="827"/>
      <c r="ME18" s="827"/>
      <c r="MF18" s="827"/>
      <c r="MG18" s="827"/>
      <c r="MH18" s="827"/>
      <c r="MI18" s="827"/>
      <c r="MJ18" s="827"/>
      <c r="MK18" s="827"/>
      <c r="ML18" s="827"/>
      <c r="MM18" s="827"/>
      <c r="MN18" s="827"/>
      <c r="MO18" s="827"/>
      <c r="MP18" s="827"/>
      <c r="MQ18" s="827"/>
      <c r="MR18" s="827"/>
      <c r="MS18" s="827"/>
      <c r="MT18" s="827"/>
      <c r="MU18" s="827"/>
      <c r="MV18" s="827"/>
      <c r="MW18" s="827"/>
      <c r="MX18" s="827"/>
      <c r="MY18" s="827"/>
      <c r="MZ18" s="827"/>
      <c r="NA18" s="827"/>
      <c r="NB18" s="827"/>
      <c r="NC18" s="827"/>
      <c r="ND18" s="827"/>
      <c r="NE18" s="827"/>
      <c r="NF18" s="827"/>
      <c r="NG18" s="827"/>
      <c r="NH18" s="827"/>
      <c r="NI18" s="827"/>
      <c r="NJ18" s="827"/>
      <c r="NK18" s="827"/>
      <c r="NL18" s="827"/>
      <c r="NM18" s="827"/>
      <c r="NN18" s="827"/>
      <c r="NO18" s="827"/>
      <c r="NP18" s="827"/>
      <c r="NQ18" s="827"/>
      <c r="NR18" s="827"/>
      <c r="NS18" s="827"/>
      <c r="NT18" s="827"/>
      <c r="NU18" s="827"/>
      <c r="NV18" s="827"/>
      <c r="NW18" s="827"/>
      <c r="NX18" s="827"/>
      <c r="NY18" s="827"/>
      <c r="NZ18" s="827"/>
      <c r="OA18" s="827"/>
      <c r="OB18" s="827"/>
      <c r="OC18" s="827"/>
      <c r="OD18" s="827"/>
      <c r="OE18" s="827"/>
      <c r="OF18" s="827"/>
      <c r="OG18" s="827"/>
      <c r="OH18" s="827"/>
      <c r="OI18" s="827"/>
      <c r="OJ18" s="827"/>
      <c r="OK18" s="827"/>
      <c r="OL18" s="827"/>
      <c r="OM18" s="827"/>
      <c r="ON18" s="827"/>
      <c r="OO18" s="827"/>
      <c r="OP18" s="827"/>
      <c r="OQ18" s="827"/>
      <c r="OR18" s="827"/>
      <c r="OS18" s="827"/>
      <c r="OT18" s="827"/>
      <c r="OU18" s="827"/>
      <c r="OV18" s="827"/>
      <c r="OW18" s="827"/>
      <c r="OX18" s="827"/>
      <c r="OY18" s="827"/>
      <c r="OZ18" s="827"/>
      <c r="PA18" s="827"/>
      <c r="PB18" s="827"/>
      <c r="PC18" s="827"/>
      <c r="PD18" s="827"/>
      <c r="PE18" s="827"/>
      <c r="PF18" s="827"/>
      <c r="PG18" s="827"/>
      <c r="PH18" s="827"/>
      <c r="PI18" s="827"/>
      <c r="PJ18" s="827"/>
      <c r="PK18" s="827"/>
      <c r="PL18" s="827"/>
      <c r="PM18" s="827"/>
      <c r="PN18" s="827"/>
      <c r="PO18" s="827"/>
      <c r="PP18" s="827"/>
      <c r="PQ18" s="827"/>
      <c r="PR18" s="827"/>
      <c r="PS18" s="827"/>
      <c r="PT18" s="827"/>
      <c r="PU18" s="827"/>
      <c r="PV18" s="827"/>
      <c r="PW18" s="827"/>
      <c r="PX18" s="827"/>
      <c r="PY18" s="827"/>
      <c r="PZ18" s="827"/>
      <c r="QA18" s="827"/>
      <c r="QB18" s="827"/>
      <c r="QC18" s="827"/>
      <c r="QD18" s="827"/>
      <c r="QE18" s="827"/>
      <c r="QF18" s="827"/>
      <c r="QG18" s="827"/>
      <c r="QH18" s="827"/>
      <c r="QI18" s="827"/>
      <c r="QJ18" s="827"/>
      <c r="QK18" s="827"/>
      <c r="QL18" s="827"/>
      <c r="QM18" s="827"/>
      <c r="QN18" s="827"/>
      <c r="QO18" s="827"/>
      <c r="QP18" s="827"/>
      <c r="QQ18" s="827"/>
      <c r="QR18" s="827"/>
      <c r="QS18" s="827"/>
      <c r="QT18" s="827"/>
      <c r="QU18" s="827"/>
      <c r="QV18" s="827"/>
      <c r="QW18" s="827"/>
      <c r="QX18" s="827"/>
      <c r="QY18" s="827"/>
      <c r="QZ18" s="827"/>
      <c r="RA18" s="827"/>
      <c r="RB18" s="827"/>
      <c r="RC18" s="827"/>
      <c r="RD18" s="827"/>
      <c r="RE18" s="827"/>
      <c r="RF18" s="827"/>
      <c r="RG18" s="827"/>
      <c r="RH18" s="827"/>
      <c r="RI18" s="827"/>
      <c r="RJ18" s="827"/>
      <c r="RK18" s="827"/>
      <c r="RL18" s="827"/>
      <c r="RM18" s="827"/>
      <c r="RN18" s="827"/>
      <c r="RO18" s="827"/>
      <c r="RP18" s="827"/>
      <c r="RQ18" s="827"/>
      <c r="RR18" s="827"/>
      <c r="RS18" s="827"/>
      <c r="RT18" s="827"/>
      <c r="RU18" s="827"/>
      <c r="RV18" s="827"/>
      <c r="RW18" s="827"/>
      <c r="RX18" s="827"/>
      <c r="RY18" s="827"/>
      <c r="RZ18" s="827"/>
      <c r="SA18" s="827"/>
      <c r="SB18" s="827"/>
      <c r="SC18" s="827"/>
      <c r="SD18" s="827"/>
      <c r="SE18" s="827"/>
      <c r="SF18" s="827"/>
      <c r="SG18" s="827"/>
      <c r="SH18" s="827"/>
      <c r="SI18" s="827"/>
      <c r="SJ18" s="827"/>
      <c r="SK18" s="827"/>
      <c r="SL18" s="827"/>
      <c r="SM18" s="827"/>
      <c r="SN18" s="827"/>
      <c r="SO18" s="827"/>
      <c r="SP18" s="827"/>
      <c r="SQ18" s="827"/>
      <c r="SR18" s="827"/>
      <c r="SS18" s="827"/>
      <c r="ST18" s="827"/>
      <c r="SU18" s="827"/>
      <c r="SV18" s="827"/>
      <c r="SW18" s="827"/>
      <c r="SX18" s="827"/>
      <c r="SY18" s="827"/>
      <c r="SZ18" s="827"/>
      <c r="TA18" s="827"/>
      <c r="TB18" s="827"/>
      <c r="TC18" s="827"/>
      <c r="TD18" s="827"/>
      <c r="TE18" s="827"/>
      <c r="TF18" s="827"/>
      <c r="TG18" s="827"/>
      <c r="TH18" s="827"/>
      <c r="TI18" s="827"/>
      <c r="TJ18" s="827"/>
      <c r="TK18" s="827"/>
      <c r="TL18" s="827"/>
      <c r="TM18" s="827"/>
      <c r="TN18" s="827"/>
      <c r="TO18" s="827"/>
      <c r="TP18" s="827"/>
      <c r="TQ18" s="827"/>
      <c r="TR18" s="827"/>
      <c r="TS18" s="827"/>
      <c r="TT18" s="827"/>
      <c r="TU18" s="827"/>
      <c r="TV18" s="827"/>
      <c r="TW18" s="827"/>
      <c r="TX18" s="827"/>
      <c r="TY18" s="827"/>
      <c r="TZ18" s="827"/>
      <c r="UA18" s="827"/>
      <c r="UB18" s="827"/>
      <c r="UC18" s="827"/>
      <c r="UD18" s="827"/>
      <c r="UE18" s="827"/>
      <c r="UF18" s="827"/>
      <c r="UG18" s="827"/>
      <c r="UH18" s="827"/>
      <c r="UI18" s="827"/>
      <c r="UJ18" s="827"/>
      <c r="UK18" s="827"/>
      <c r="UL18" s="827"/>
      <c r="UM18" s="827"/>
      <c r="UN18" s="827"/>
      <c r="UO18" s="827"/>
      <c r="UP18" s="827"/>
      <c r="UQ18" s="827"/>
      <c r="UR18" s="827"/>
      <c r="US18" s="827"/>
      <c r="UT18" s="827"/>
      <c r="UU18" s="827"/>
      <c r="UV18" s="827"/>
      <c r="UW18" s="827"/>
      <c r="UX18" s="827"/>
      <c r="UY18" s="827"/>
      <c r="UZ18" s="827"/>
      <c r="VA18" s="827"/>
      <c r="VB18" s="827"/>
      <c r="VC18" s="827"/>
      <c r="VD18" s="827"/>
      <c r="VE18" s="827"/>
      <c r="VF18" s="827"/>
      <c r="VG18" s="827"/>
      <c r="VH18" s="827"/>
      <c r="VI18" s="827"/>
      <c r="VJ18" s="827"/>
      <c r="VK18" s="827"/>
      <c r="VL18" s="827"/>
      <c r="VM18" s="827"/>
      <c r="VN18" s="827"/>
      <c r="VO18" s="827"/>
      <c r="VP18" s="827"/>
      <c r="VQ18" s="827"/>
      <c r="VR18" s="827"/>
      <c r="VS18" s="827"/>
      <c r="VT18" s="827"/>
      <c r="VU18" s="827"/>
      <c r="VV18" s="827"/>
      <c r="VW18" s="827"/>
      <c r="VX18" s="827"/>
      <c r="VY18" s="827"/>
      <c r="VZ18" s="827"/>
      <c r="WA18" s="827"/>
      <c r="WB18" s="827"/>
      <c r="WC18" s="827"/>
      <c r="WD18" s="827"/>
      <c r="WE18" s="827"/>
      <c r="WF18" s="827"/>
      <c r="WG18" s="827"/>
      <c r="WH18" s="827"/>
      <c r="WI18" s="827"/>
      <c r="WJ18" s="827"/>
      <c r="WK18" s="827"/>
      <c r="WL18" s="827"/>
      <c r="WM18" s="827"/>
      <c r="WN18" s="827"/>
      <c r="WO18" s="827"/>
      <c r="WP18" s="827"/>
      <c r="WQ18" s="827"/>
      <c r="WR18" s="827"/>
      <c r="WS18" s="827"/>
      <c r="WT18" s="827"/>
      <c r="WU18" s="827"/>
      <c r="WV18" s="827"/>
      <c r="WW18" s="827"/>
      <c r="WX18" s="827"/>
      <c r="WY18" s="827"/>
      <c r="WZ18" s="827"/>
      <c r="XA18" s="827"/>
      <c r="XB18" s="827"/>
      <c r="XC18" s="827"/>
      <c r="XD18" s="827"/>
      <c r="XE18" s="827"/>
      <c r="XF18" s="827"/>
      <c r="XG18" s="827"/>
      <c r="XH18" s="827"/>
      <c r="XI18" s="827"/>
      <c r="XJ18" s="827"/>
      <c r="XK18" s="827"/>
      <c r="XL18" s="827"/>
      <c r="XM18" s="827"/>
      <c r="XN18" s="827"/>
      <c r="XO18" s="827"/>
      <c r="XP18" s="827"/>
      <c r="XQ18" s="827"/>
      <c r="XR18" s="827"/>
      <c r="XS18" s="827"/>
      <c r="XT18" s="827"/>
      <c r="XU18" s="827"/>
      <c r="XV18" s="827"/>
      <c r="XW18" s="827"/>
      <c r="XX18" s="827"/>
      <c r="XY18" s="827"/>
      <c r="XZ18" s="827"/>
      <c r="YA18" s="827"/>
      <c r="YB18" s="827"/>
      <c r="YC18" s="827"/>
      <c r="YD18" s="827"/>
      <c r="YE18" s="827"/>
      <c r="YF18" s="827"/>
      <c r="YG18" s="827"/>
      <c r="YH18" s="827"/>
      <c r="YI18" s="827"/>
      <c r="YJ18" s="827"/>
      <c r="YK18" s="827"/>
      <c r="YL18" s="827"/>
      <c r="YM18" s="827"/>
      <c r="YN18" s="827"/>
      <c r="YO18" s="827"/>
      <c r="YP18" s="827"/>
      <c r="YQ18" s="827"/>
      <c r="YR18" s="827"/>
      <c r="YS18" s="827"/>
      <c r="YT18" s="827"/>
      <c r="YU18" s="827"/>
      <c r="YV18" s="827"/>
      <c r="YW18" s="827"/>
      <c r="YX18" s="827"/>
      <c r="YY18" s="827"/>
      <c r="YZ18" s="827"/>
      <c r="ZA18" s="827"/>
      <c r="ZB18" s="827"/>
      <c r="ZC18" s="827"/>
      <c r="ZD18" s="827"/>
      <c r="ZE18" s="827"/>
      <c r="ZF18" s="827"/>
      <c r="ZG18" s="827"/>
      <c r="ZH18" s="827"/>
      <c r="ZI18" s="827"/>
      <c r="ZJ18" s="827"/>
      <c r="ZK18" s="827"/>
      <c r="ZL18" s="827"/>
      <c r="ZM18" s="827"/>
      <c r="ZN18" s="827"/>
      <c r="ZO18" s="827"/>
      <c r="ZP18" s="827"/>
      <c r="ZQ18" s="827"/>
      <c r="ZR18" s="827"/>
      <c r="ZS18" s="827"/>
      <c r="ZT18" s="827"/>
      <c r="ZU18" s="827"/>
      <c r="ZV18" s="827"/>
      <c r="ZW18" s="827"/>
      <c r="ZX18" s="827"/>
      <c r="ZY18" s="827"/>
      <c r="ZZ18" s="827"/>
      <c r="AAA18" s="827"/>
      <c r="AAB18" s="827"/>
      <c r="AAC18" s="827"/>
      <c r="AAD18" s="827"/>
      <c r="AAE18" s="827"/>
      <c r="AAF18" s="827"/>
      <c r="AAG18" s="827"/>
      <c r="AAH18" s="827"/>
      <c r="AAI18" s="827"/>
      <c r="AAJ18" s="827"/>
      <c r="AAK18" s="827"/>
      <c r="AAL18" s="827"/>
      <c r="AAM18" s="827"/>
      <c r="AAN18" s="827"/>
      <c r="AAO18" s="827"/>
      <c r="AAP18" s="827"/>
      <c r="AAQ18" s="827"/>
      <c r="AAR18" s="827"/>
      <c r="AAS18" s="827"/>
      <c r="AAT18" s="827"/>
      <c r="AAU18" s="827"/>
      <c r="AAV18" s="827"/>
      <c r="AAW18" s="827"/>
      <c r="AAX18" s="827"/>
      <c r="AAY18" s="827"/>
      <c r="AAZ18" s="827"/>
      <c r="ABA18" s="827"/>
      <c r="ABB18" s="827"/>
      <c r="ABC18" s="827"/>
      <c r="ABD18" s="827"/>
      <c r="ABE18" s="827"/>
      <c r="ABF18" s="827"/>
      <c r="ABG18" s="827"/>
      <c r="ABH18" s="827"/>
      <c r="ABI18" s="827"/>
      <c r="ABJ18" s="827"/>
      <c r="ABK18" s="827"/>
      <c r="ABL18" s="827"/>
      <c r="ABM18" s="827"/>
      <c r="ABN18" s="827"/>
      <c r="ABO18" s="827"/>
      <c r="ABP18" s="827"/>
      <c r="ABQ18" s="827"/>
      <c r="ABR18" s="827"/>
      <c r="ABS18" s="827"/>
      <c r="ABT18" s="827"/>
      <c r="ABU18" s="827"/>
      <c r="ABV18" s="827"/>
      <c r="ABW18" s="827"/>
      <c r="ABX18" s="827"/>
      <c r="ABY18" s="827"/>
      <c r="ABZ18" s="827"/>
      <c r="ACA18" s="827"/>
      <c r="ACB18" s="827"/>
      <c r="ACC18" s="827"/>
      <c r="ACD18" s="827"/>
      <c r="ACE18" s="827"/>
      <c r="ACF18" s="827"/>
      <c r="ACG18" s="827"/>
      <c r="ACH18" s="827"/>
      <c r="ACI18" s="827"/>
      <c r="ACJ18" s="827"/>
      <c r="ACK18" s="827"/>
      <c r="ACL18" s="827"/>
      <c r="ACM18" s="827"/>
      <c r="ACN18" s="827"/>
      <c r="ACO18" s="827"/>
      <c r="ACP18" s="827"/>
      <c r="ACQ18" s="827"/>
      <c r="ACR18" s="827"/>
      <c r="ACS18" s="827"/>
      <c r="ACT18" s="827"/>
      <c r="ACU18" s="827"/>
      <c r="ACV18" s="827"/>
      <c r="ACW18" s="827"/>
      <c r="ACX18" s="827"/>
      <c r="ACY18" s="827"/>
      <c r="ACZ18" s="827"/>
      <c r="ADA18" s="827"/>
      <c r="ADB18" s="827"/>
      <c r="ADC18" s="827"/>
      <c r="ADD18" s="827"/>
      <c r="ADE18" s="827"/>
      <c r="ADF18" s="827"/>
      <c r="ADG18" s="827"/>
      <c r="ADH18" s="827"/>
      <c r="ADI18" s="827"/>
      <c r="ADJ18" s="827"/>
      <c r="ADK18" s="827"/>
      <c r="ADL18" s="827"/>
      <c r="ADM18" s="827"/>
      <c r="ADN18" s="827"/>
      <c r="ADO18" s="827"/>
      <c r="ADP18" s="827"/>
      <c r="ADQ18" s="827"/>
      <c r="ADR18" s="827"/>
      <c r="ADS18" s="827"/>
      <c r="ADT18" s="827"/>
      <c r="ADU18" s="827"/>
      <c r="ADV18" s="827"/>
      <c r="ADW18" s="827"/>
      <c r="ADX18" s="827"/>
      <c r="ADY18" s="827"/>
      <c r="ADZ18" s="827"/>
      <c r="AEA18" s="827"/>
      <c r="AEB18" s="827"/>
      <c r="AEC18" s="827"/>
      <c r="AED18" s="827"/>
      <c r="AEE18" s="827"/>
      <c r="AEF18" s="827"/>
      <c r="AEG18" s="827"/>
      <c r="AEH18" s="827"/>
      <c r="AEI18" s="827"/>
      <c r="AEJ18" s="827"/>
      <c r="AEK18" s="827"/>
      <c r="AEL18" s="827"/>
      <c r="AEM18" s="827"/>
      <c r="AEN18" s="827"/>
      <c r="AEO18" s="827"/>
      <c r="AEP18" s="827"/>
      <c r="AEQ18" s="827"/>
      <c r="AER18" s="827"/>
      <c r="AES18" s="827"/>
      <c r="AET18" s="827"/>
      <c r="AEU18" s="827"/>
      <c r="AEV18" s="827"/>
      <c r="AEW18" s="827"/>
      <c r="AEX18" s="827"/>
      <c r="AEY18" s="827"/>
      <c r="AEZ18" s="827"/>
      <c r="AFA18" s="827"/>
      <c r="AFB18" s="827"/>
      <c r="AFC18" s="827"/>
      <c r="AFD18" s="827"/>
      <c r="AFE18" s="827"/>
      <c r="AFF18" s="827"/>
      <c r="AFG18" s="827"/>
      <c r="AFH18" s="827"/>
      <c r="AFI18" s="827"/>
      <c r="AFJ18" s="827"/>
      <c r="AFK18" s="827"/>
      <c r="AFL18" s="827"/>
      <c r="AFM18" s="827"/>
      <c r="AFN18" s="827"/>
      <c r="AFO18" s="827"/>
      <c r="AFP18" s="827"/>
      <c r="AFQ18" s="827"/>
      <c r="AFR18" s="827"/>
      <c r="AFS18" s="827"/>
      <c r="AFT18" s="827"/>
      <c r="AFU18" s="827"/>
      <c r="AFV18" s="827"/>
      <c r="AFW18" s="827"/>
      <c r="AFX18" s="827"/>
      <c r="AFY18" s="827"/>
      <c r="AFZ18" s="827"/>
      <c r="AGA18" s="827"/>
      <c r="AGB18" s="827"/>
      <c r="AGC18" s="827"/>
      <c r="AGD18" s="827"/>
      <c r="AGE18" s="827"/>
      <c r="AGF18" s="827"/>
      <c r="AGG18" s="827"/>
      <c r="AGH18" s="827"/>
      <c r="AGI18" s="827"/>
      <c r="AGJ18" s="827"/>
      <c r="AGK18" s="827"/>
      <c r="AGL18" s="827"/>
      <c r="AGM18" s="827"/>
      <c r="AGN18" s="827"/>
      <c r="AGO18" s="827"/>
      <c r="AGP18" s="827"/>
      <c r="AGQ18" s="827"/>
      <c r="AGR18" s="827"/>
      <c r="AGS18" s="827"/>
      <c r="AGT18" s="827"/>
      <c r="AGU18" s="827"/>
      <c r="AGV18" s="827"/>
      <c r="AGW18" s="827"/>
      <c r="AGX18" s="827"/>
      <c r="AGY18" s="827"/>
      <c r="AGZ18" s="827"/>
      <c r="AHA18" s="827"/>
      <c r="AHB18" s="827"/>
      <c r="AHC18" s="827"/>
      <c r="AHD18" s="827"/>
      <c r="AHE18" s="827"/>
      <c r="AHF18" s="827"/>
      <c r="AHG18" s="827"/>
      <c r="AHH18" s="827"/>
      <c r="AHI18" s="827"/>
      <c r="AHJ18" s="827"/>
      <c r="AHK18" s="827"/>
      <c r="AHL18" s="827"/>
      <c r="AHM18" s="827"/>
      <c r="AHN18" s="827"/>
      <c r="AHO18" s="827"/>
      <c r="AHP18" s="827"/>
      <c r="AHQ18" s="827"/>
      <c r="AHR18" s="827"/>
      <c r="AHS18" s="827"/>
      <c r="AHT18" s="827"/>
      <c r="AHU18" s="827"/>
      <c r="AHV18" s="827"/>
      <c r="AHW18" s="827"/>
      <c r="AHX18" s="827"/>
      <c r="AHY18" s="827"/>
      <c r="AHZ18" s="827"/>
      <c r="AIA18" s="827"/>
      <c r="AIB18" s="827"/>
      <c r="AIC18" s="827"/>
      <c r="AID18" s="827"/>
      <c r="AIE18" s="827"/>
      <c r="AIF18" s="827"/>
      <c r="AIG18" s="827"/>
      <c r="AIH18" s="827"/>
      <c r="AII18" s="827"/>
      <c r="AIJ18" s="827"/>
      <c r="AIK18" s="827"/>
      <c r="AIL18" s="827"/>
      <c r="AIM18" s="827"/>
      <c r="AIN18" s="827"/>
      <c r="AIO18" s="827"/>
      <c r="AIP18" s="827"/>
      <c r="AIQ18" s="827"/>
      <c r="AIR18" s="827"/>
      <c r="AIS18" s="827"/>
      <c r="AIT18" s="827"/>
      <c r="AIU18" s="827"/>
      <c r="AIV18" s="827"/>
      <c r="AIW18" s="827"/>
      <c r="AIX18" s="827"/>
      <c r="AIY18" s="827"/>
      <c r="AIZ18" s="827"/>
      <c r="AJA18" s="827"/>
      <c r="AJB18" s="827"/>
      <c r="AJC18" s="827"/>
      <c r="AJD18" s="827"/>
      <c r="AJE18" s="827"/>
      <c r="AJF18" s="827"/>
      <c r="AJG18" s="827"/>
      <c r="AJH18" s="827"/>
      <c r="AJI18" s="827"/>
      <c r="AJJ18" s="827"/>
      <c r="AJK18" s="827"/>
      <c r="AJL18" s="827"/>
      <c r="AJM18" s="827"/>
      <c r="AJN18" s="827"/>
      <c r="AJO18" s="827"/>
      <c r="AJP18" s="827"/>
      <c r="AJQ18" s="827"/>
      <c r="AJR18" s="827"/>
      <c r="AJS18" s="827"/>
      <c r="AJT18" s="827"/>
      <c r="AJU18" s="827"/>
      <c r="AJV18" s="827"/>
      <c r="AJW18" s="827"/>
      <c r="AJX18" s="827"/>
      <c r="AJY18" s="827"/>
      <c r="AJZ18" s="827"/>
      <c r="AKA18" s="827"/>
      <c r="AKB18" s="827"/>
      <c r="AKC18" s="827"/>
      <c r="AKD18" s="827"/>
      <c r="AKE18" s="827"/>
      <c r="AKF18" s="827"/>
      <c r="AKG18" s="827"/>
      <c r="AKH18" s="827"/>
      <c r="AKI18" s="827"/>
      <c r="AKJ18" s="827"/>
      <c r="AKK18" s="827"/>
      <c r="AKL18" s="827"/>
      <c r="AKM18" s="827"/>
      <c r="AKN18" s="827"/>
      <c r="AKO18" s="827"/>
      <c r="AKP18" s="827"/>
      <c r="AKQ18" s="827"/>
      <c r="AKR18" s="827"/>
      <c r="AKS18" s="827"/>
      <c r="AKT18" s="827"/>
      <c r="AKU18" s="827"/>
      <c r="AKV18" s="827"/>
      <c r="AKW18" s="827"/>
      <c r="AKX18" s="827"/>
      <c r="AKY18" s="827"/>
      <c r="AKZ18" s="827"/>
      <c r="ALA18" s="827"/>
      <c r="ALB18" s="827"/>
      <c r="ALC18" s="827"/>
      <c r="ALD18" s="827"/>
      <c r="ALE18" s="827"/>
      <c r="ALF18" s="827"/>
      <c r="ALG18" s="827"/>
      <c r="ALH18" s="827"/>
      <c r="ALI18" s="827"/>
      <c r="ALJ18" s="827"/>
      <c r="ALK18" s="827"/>
      <c r="ALL18" s="827"/>
      <c r="ALM18" s="827"/>
      <c r="ALN18" s="827"/>
      <c r="ALO18" s="827"/>
      <c r="ALP18" s="827"/>
      <c r="ALQ18" s="827"/>
      <c r="ALR18" s="827"/>
      <c r="ALS18" s="827"/>
      <c r="ALT18" s="827"/>
      <c r="ALU18" s="827"/>
      <c r="ALV18" s="827"/>
      <c r="ALW18" s="827"/>
      <c r="ALX18" s="827"/>
      <c r="ALY18" s="827"/>
      <c r="ALZ18" s="827"/>
      <c r="AMA18" s="827"/>
      <c r="AMB18" s="827"/>
      <c r="AMC18" s="827"/>
      <c r="AMD18" s="827"/>
      <c r="AME18" s="827"/>
      <c r="AMF18" s="827"/>
      <c r="AMG18" s="827"/>
      <c r="AMH18" s="827"/>
      <c r="AMI18" s="827"/>
      <c r="AMJ18" s="827"/>
      <c r="AMK18" s="827"/>
      <c r="AML18" s="827"/>
      <c r="AMM18" s="827"/>
      <c r="AMN18" s="827"/>
      <c r="AMO18" s="827"/>
      <c r="AMP18" s="827"/>
      <c r="AMQ18" s="827"/>
      <c r="AMR18" s="827"/>
      <c r="AMS18" s="827"/>
      <c r="AMT18" s="827"/>
      <c r="AMU18" s="827"/>
      <c r="AMV18" s="827"/>
      <c r="AMW18" s="827"/>
      <c r="AMX18" s="827"/>
      <c r="AMY18" s="827"/>
      <c r="AMZ18" s="827"/>
      <c r="ANA18" s="827"/>
      <c r="ANB18" s="827"/>
      <c r="ANC18" s="827"/>
      <c r="AND18" s="827"/>
      <c r="ANE18" s="827"/>
      <c r="ANF18" s="827"/>
      <c r="ANG18" s="827"/>
      <c r="ANH18" s="827"/>
      <c r="ANI18" s="827"/>
      <c r="ANJ18" s="827"/>
      <c r="ANK18" s="827"/>
      <c r="ANL18" s="827"/>
      <c r="ANM18" s="827"/>
      <c r="ANN18" s="827"/>
      <c r="ANO18" s="827"/>
      <c r="ANP18" s="827"/>
      <c r="ANQ18" s="827"/>
      <c r="ANR18" s="827"/>
      <c r="ANS18" s="827"/>
      <c r="ANT18" s="827"/>
      <c r="ANU18" s="827"/>
      <c r="ANV18" s="827"/>
      <c r="ANW18" s="827"/>
      <c r="ANX18" s="827"/>
      <c r="ANY18" s="827"/>
      <c r="ANZ18" s="827"/>
      <c r="AOA18" s="827"/>
      <c r="AOB18" s="827"/>
      <c r="AOC18" s="827"/>
      <c r="AOD18" s="827"/>
      <c r="AOE18" s="827"/>
      <c r="AOF18" s="827"/>
      <c r="AOG18" s="827"/>
      <c r="AOH18" s="827"/>
      <c r="AOI18" s="827"/>
      <c r="AOJ18" s="827"/>
      <c r="AOK18" s="827"/>
      <c r="AOL18" s="827"/>
      <c r="AOM18" s="827"/>
      <c r="AON18" s="827"/>
      <c r="AOO18" s="827"/>
      <c r="AOP18" s="827"/>
      <c r="AOQ18" s="827"/>
      <c r="AOR18" s="827"/>
      <c r="AOS18" s="827"/>
      <c r="AOT18" s="827"/>
      <c r="AOU18" s="827"/>
      <c r="AOV18" s="827"/>
      <c r="AOW18" s="827"/>
      <c r="AOX18" s="827"/>
      <c r="AOY18" s="827"/>
      <c r="AOZ18" s="827"/>
      <c r="APA18" s="827"/>
      <c r="APB18" s="827"/>
      <c r="APC18" s="827"/>
      <c r="APD18" s="827"/>
      <c r="APE18" s="827"/>
      <c r="APF18" s="827"/>
      <c r="APG18" s="827"/>
      <c r="APH18" s="827"/>
      <c r="API18" s="827"/>
      <c r="APJ18" s="827"/>
      <c r="APK18" s="827"/>
      <c r="APL18" s="827"/>
      <c r="APM18" s="827"/>
      <c r="APN18" s="827"/>
      <c r="APO18" s="827"/>
      <c r="APP18" s="827"/>
      <c r="APQ18" s="827"/>
      <c r="APR18" s="827"/>
      <c r="APS18" s="827"/>
      <c r="APT18" s="827"/>
      <c r="APU18" s="827"/>
      <c r="APV18" s="827"/>
      <c r="APW18" s="827"/>
      <c r="APX18" s="827"/>
      <c r="APY18" s="827"/>
      <c r="APZ18" s="827"/>
      <c r="AQA18" s="827"/>
      <c r="AQB18" s="827"/>
      <c r="AQC18" s="827"/>
      <c r="AQD18" s="827"/>
      <c r="AQE18" s="827"/>
      <c r="AQF18" s="827"/>
      <c r="AQG18" s="827"/>
      <c r="AQH18" s="827"/>
      <c r="AQI18" s="827"/>
      <c r="AQJ18" s="827"/>
      <c r="AQK18" s="827"/>
      <c r="AQL18" s="827"/>
      <c r="AQM18" s="827"/>
      <c r="AQN18" s="827"/>
      <c r="AQO18" s="827"/>
      <c r="AQP18" s="827"/>
      <c r="AQQ18" s="827"/>
      <c r="AQR18" s="827"/>
      <c r="AQS18" s="827"/>
      <c r="AQT18" s="827"/>
      <c r="AQU18" s="827"/>
      <c r="AQV18" s="827"/>
      <c r="AQW18" s="827"/>
      <c r="AQX18" s="827"/>
      <c r="AQY18" s="827"/>
      <c r="AQZ18" s="827"/>
      <c r="ARA18" s="827"/>
      <c r="ARB18" s="827"/>
      <c r="ARC18" s="827"/>
      <c r="ARD18" s="827"/>
      <c r="ARE18" s="827"/>
      <c r="ARF18" s="827"/>
      <c r="ARG18" s="827"/>
      <c r="ARH18" s="827"/>
      <c r="ARI18" s="827"/>
      <c r="ARJ18" s="827"/>
      <c r="ARK18" s="827"/>
      <c r="ARL18" s="827"/>
      <c r="ARM18" s="827"/>
      <c r="ARN18" s="827"/>
      <c r="ARO18" s="827"/>
      <c r="ARP18" s="827"/>
      <c r="ARQ18" s="827"/>
      <c r="ARR18" s="827"/>
      <c r="ARS18" s="827"/>
      <c r="ART18" s="827"/>
      <c r="ARU18" s="827"/>
      <c r="ARV18" s="827"/>
      <c r="ARW18" s="827"/>
      <c r="ARX18" s="827"/>
      <c r="ARY18" s="827"/>
      <c r="ARZ18" s="827"/>
      <c r="ASA18" s="827"/>
      <c r="ASB18" s="827"/>
      <c r="ASC18" s="827"/>
      <c r="ASD18" s="827"/>
      <c r="ASE18" s="827"/>
      <c r="ASF18" s="827"/>
      <c r="ASG18" s="827"/>
      <c r="ASH18" s="827"/>
      <c r="ASI18" s="827"/>
      <c r="ASJ18" s="827"/>
      <c r="ASK18" s="827"/>
      <c r="ASL18" s="827"/>
      <c r="ASM18" s="827"/>
      <c r="ASN18" s="827"/>
      <c r="ASO18" s="827"/>
      <c r="ASP18" s="827"/>
      <c r="ASQ18" s="827"/>
      <c r="ASR18" s="827"/>
      <c r="ASS18" s="827"/>
      <c r="AST18" s="827"/>
      <c r="ASU18" s="827"/>
      <c r="ASV18" s="827"/>
      <c r="ASW18" s="827"/>
      <c r="ASX18" s="827"/>
      <c r="ASY18" s="827"/>
      <c r="ASZ18" s="827"/>
      <c r="ATA18" s="827"/>
      <c r="ATB18" s="827"/>
      <c r="ATC18" s="827"/>
      <c r="ATD18" s="827"/>
      <c r="ATE18" s="827"/>
      <c r="ATF18" s="827"/>
      <c r="ATG18" s="827"/>
      <c r="ATH18" s="827"/>
      <c r="ATI18" s="827"/>
      <c r="ATJ18" s="827"/>
      <c r="ATK18" s="827"/>
      <c r="ATL18" s="827"/>
      <c r="ATM18" s="827"/>
      <c r="ATN18" s="827"/>
      <c r="ATO18" s="827"/>
      <c r="ATP18" s="827"/>
      <c r="ATQ18" s="827"/>
      <c r="ATR18" s="827"/>
      <c r="ATS18" s="827"/>
      <c r="ATT18" s="827"/>
      <c r="ATU18" s="827"/>
      <c r="ATV18" s="827"/>
      <c r="ATW18" s="827"/>
      <c r="ATX18" s="827"/>
      <c r="ATY18" s="827"/>
      <c r="ATZ18" s="827"/>
      <c r="AUA18" s="827"/>
      <c r="AUB18" s="827"/>
      <c r="AUC18" s="827"/>
      <c r="AUD18" s="827"/>
      <c r="AUE18" s="827"/>
      <c r="AUF18" s="827"/>
      <c r="AUG18" s="827"/>
      <c r="AUH18" s="827"/>
      <c r="AUI18" s="827"/>
      <c r="AUJ18" s="827"/>
      <c r="AUK18" s="827"/>
      <c r="AUL18" s="827"/>
      <c r="AUM18" s="827"/>
      <c r="AUN18" s="827"/>
      <c r="AUO18" s="827"/>
      <c r="AUP18" s="827"/>
      <c r="AUQ18" s="827"/>
      <c r="AUR18" s="827"/>
      <c r="AUS18" s="827"/>
      <c r="AUT18" s="827"/>
      <c r="AUU18" s="827"/>
      <c r="AUV18" s="827"/>
      <c r="AUW18" s="827"/>
      <c r="AUX18" s="827"/>
      <c r="AUY18" s="827"/>
      <c r="AUZ18" s="827"/>
      <c r="AVA18" s="827"/>
      <c r="AVB18" s="827"/>
      <c r="AVC18" s="827"/>
      <c r="AVD18" s="827"/>
      <c r="AVE18" s="827"/>
      <c r="AVF18" s="827"/>
      <c r="AVG18" s="827"/>
      <c r="AVH18" s="827"/>
      <c r="AVI18" s="827"/>
      <c r="AVJ18" s="827"/>
      <c r="AVK18" s="827"/>
      <c r="AVL18" s="827"/>
      <c r="AVM18" s="827"/>
      <c r="AVN18" s="827"/>
      <c r="AVO18" s="827"/>
      <c r="AVP18" s="827"/>
      <c r="AVQ18" s="827"/>
      <c r="AVR18" s="827"/>
      <c r="AVS18" s="827"/>
      <c r="AVT18" s="827"/>
      <c r="AVU18" s="827"/>
      <c r="AVV18" s="827"/>
      <c r="AVW18" s="827"/>
      <c r="AVX18" s="827"/>
      <c r="AVY18" s="827"/>
      <c r="AVZ18" s="827"/>
      <c r="AWA18" s="827"/>
      <c r="AWB18" s="827"/>
      <c r="AWC18" s="827"/>
      <c r="AWD18" s="827"/>
      <c r="AWE18" s="827"/>
      <c r="AWF18" s="827"/>
      <c r="AWG18" s="827"/>
      <c r="AWH18" s="827"/>
      <c r="AWI18" s="827"/>
      <c r="AWJ18" s="827"/>
      <c r="AWK18" s="827"/>
      <c r="AWL18" s="827"/>
      <c r="AWM18" s="827"/>
      <c r="AWN18" s="827"/>
      <c r="AWO18" s="827"/>
      <c r="AWP18" s="827"/>
      <c r="AWQ18" s="827"/>
      <c r="AWR18" s="827"/>
      <c r="AWS18" s="827"/>
      <c r="AWT18" s="827"/>
      <c r="AWU18" s="827"/>
      <c r="AWV18" s="827"/>
      <c r="AWW18" s="827"/>
      <c r="AWX18" s="827"/>
      <c r="AWY18" s="827"/>
      <c r="AWZ18" s="827"/>
      <c r="AXA18" s="827"/>
      <c r="AXB18" s="827"/>
      <c r="AXC18" s="827"/>
      <c r="AXD18" s="827"/>
      <c r="AXE18" s="827"/>
      <c r="AXF18" s="827"/>
      <c r="AXG18" s="827"/>
      <c r="AXH18" s="827"/>
      <c r="AXI18" s="827"/>
      <c r="AXJ18" s="827"/>
      <c r="AXK18" s="827"/>
      <c r="AXL18" s="827"/>
      <c r="AXM18" s="827"/>
      <c r="AXN18" s="827"/>
      <c r="AXO18" s="827"/>
      <c r="AXP18" s="827"/>
      <c r="AXQ18" s="827"/>
      <c r="AXR18" s="827"/>
      <c r="AXS18" s="827"/>
      <c r="AXT18" s="827"/>
      <c r="AXU18" s="827"/>
      <c r="AXV18" s="827"/>
      <c r="AXW18" s="827"/>
      <c r="AXX18" s="827"/>
      <c r="AXY18" s="827"/>
      <c r="AXZ18" s="827"/>
      <c r="AYA18" s="827"/>
      <c r="AYB18" s="827"/>
      <c r="AYC18" s="827"/>
      <c r="AYD18" s="827"/>
      <c r="AYE18" s="827"/>
      <c r="AYF18" s="827"/>
      <c r="AYG18" s="827"/>
      <c r="AYH18" s="827"/>
      <c r="AYI18" s="827"/>
      <c r="AYJ18" s="827"/>
      <c r="AYK18" s="827"/>
      <c r="AYL18" s="827"/>
      <c r="AYM18" s="827"/>
      <c r="AYN18" s="827"/>
      <c r="AYO18" s="827"/>
      <c r="AYP18" s="827"/>
      <c r="AYQ18" s="827"/>
      <c r="AYR18" s="827"/>
      <c r="AYS18" s="827"/>
      <c r="AYT18" s="827"/>
      <c r="AYU18" s="827"/>
      <c r="AYV18" s="827"/>
      <c r="AYW18" s="827"/>
      <c r="AYX18" s="827"/>
      <c r="AYY18" s="827"/>
      <c r="AYZ18" s="827"/>
      <c r="AZA18" s="827"/>
      <c r="AZB18" s="827"/>
      <c r="AZC18" s="827"/>
      <c r="AZD18" s="827"/>
      <c r="AZE18" s="827"/>
      <c r="AZF18" s="827"/>
      <c r="AZG18" s="827"/>
      <c r="AZH18" s="827"/>
      <c r="AZI18" s="827"/>
      <c r="AZJ18" s="827"/>
      <c r="AZK18" s="827"/>
      <c r="AZL18" s="827"/>
      <c r="AZM18" s="827"/>
      <c r="AZN18" s="827"/>
      <c r="AZO18" s="827"/>
      <c r="AZP18" s="827"/>
      <c r="AZQ18" s="827"/>
      <c r="AZR18" s="827"/>
      <c r="AZS18" s="827"/>
      <c r="AZT18" s="827"/>
      <c r="AZU18" s="827"/>
      <c r="AZV18" s="827"/>
      <c r="AZW18" s="827"/>
      <c r="AZX18" s="827"/>
      <c r="AZY18" s="827"/>
      <c r="AZZ18" s="827"/>
      <c r="BAA18" s="827"/>
      <c r="BAB18" s="827"/>
      <c r="BAC18" s="827"/>
      <c r="BAD18" s="827"/>
      <c r="BAE18" s="827"/>
      <c r="BAF18" s="827"/>
      <c r="BAG18" s="827"/>
      <c r="BAH18" s="827"/>
      <c r="BAI18" s="827"/>
      <c r="BAJ18" s="827"/>
      <c r="BAK18" s="827"/>
      <c r="BAL18" s="827"/>
      <c r="BAM18" s="827"/>
      <c r="BAN18" s="827"/>
      <c r="BAO18" s="827"/>
      <c r="BAP18" s="827"/>
      <c r="BAQ18" s="827"/>
      <c r="BAR18" s="827"/>
      <c r="BAS18" s="827"/>
      <c r="BAT18" s="827"/>
      <c r="BAU18" s="827"/>
      <c r="BAV18" s="827"/>
      <c r="BAW18" s="827"/>
      <c r="BAX18" s="827"/>
      <c r="BAY18" s="827"/>
      <c r="BAZ18" s="827"/>
      <c r="BBA18" s="827"/>
      <c r="BBB18" s="827"/>
      <c r="BBC18" s="827"/>
      <c r="BBD18" s="827"/>
      <c r="BBE18" s="827"/>
      <c r="BBF18" s="827"/>
      <c r="BBG18" s="827"/>
      <c r="BBH18" s="827"/>
      <c r="BBI18" s="827"/>
      <c r="BBJ18" s="827"/>
      <c r="BBK18" s="827"/>
      <c r="BBL18" s="827"/>
      <c r="BBM18" s="827"/>
      <c r="BBN18" s="827"/>
      <c r="BBO18" s="827"/>
      <c r="BBP18" s="827"/>
      <c r="BBQ18" s="827"/>
      <c r="BBR18" s="827"/>
      <c r="BBS18" s="827"/>
      <c r="BBT18" s="827"/>
      <c r="BBU18" s="827"/>
      <c r="BBV18" s="827"/>
      <c r="BBW18" s="827"/>
      <c r="BBX18" s="827"/>
      <c r="BBY18" s="827"/>
      <c r="BBZ18" s="827"/>
      <c r="BCA18" s="827"/>
      <c r="BCB18" s="827"/>
      <c r="BCC18" s="827"/>
      <c r="BCD18" s="827"/>
      <c r="BCE18" s="827"/>
      <c r="BCF18" s="827"/>
      <c r="BCG18" s="827"/>
      <c r="BCH18" s="827"/>
      <c r="BCI18" s="827"/>
      <c r="BCJ18" s="827"/>
      <c r="BCK18" s="827"/>
      <c r="BCL18" s="827"/>
      <c r="BCM18" s="827"/>
      <c r="BCN18" s="827"/>
      <c r="BCO18" s="827"/>
      <c r="BCP18" s="827"/>
      <c r="BCQ18" s="827"/>
      <c r="BCR18" s="827"/>
      <c r="BCS18" s="827"/>
      <c r="BCT18" s="827"/>
      <c r="BCU18" s="827"/>
      <c r="BCV18" s="827"/>
      <c r="BCW18" s="827"/>
      <c r="BCX18" s="827"/>
      <c r="BCY18" s="827"/>
      <c r="BCZ18" s="827"/>
      <c r="BDA18" s="827"/>
      <c r="BDB18" s="827"/>
      <c r="BDC18" s="827"/>
      <c r="BDD18" s="827"/>
      <c r="BDE18" s="827"/>
      <c r="BDF18" s="827"/>
      <c r="BDG18" s="827"/>
      <c r="BDH18" s="827"/>
      <c r="BDI18" s="827"/>
      <c r="BDJ18" s="827"/>
      <c r="BDK18" s="827"/>
      <c r="BDL18" s="827"/>
      <c r="BDM18" s="827"/>
      <c r="BDN18" s="827"/>
      <c r="BDO18" s="827"/>
      <c r="BDP18" s="827"/>
      <c r="BDQ18" s="827"/>
      <c r="BDR18" s="827"/>
      <c r="BDS18" s="827"/>
      <c r="BDT18" s="827"/>
      <c r="BDU18" s="827"/>
      <c r="BDV18" s="827"/>
      <c r="BDW18" s="827"/>
      <c r="BDX18" s="827"/>
      <c r="BDY18" s="827"/>
      <c r="BDZ18" s="827"/>
      <c r="BEA18" s="827"/>
      <c r="BEB18" s="827"/>
      <c r="BEC18" s="827"/>
      <c r="BED18" s="827"/>
      <c r="BEE18" s="827"/>
      <c r="BEF18" s="827"/>
      <c r="BEG18" s="827"/>
      <c r="BEH18" s="827"/>
      <c r="BEI18" s="827"/>
      <c r="BEJ18" s="827"/>
      <c r="BEK18" s="827"/>
      <c r="BEL18" s="827"/>
      <c r="BEM18" s="827"/>
      <c r="BEN18" s="827"/>
      <c r="BEO18" s="827"/>
      <c r="BEP18" s="827"/>
      <c r="BEQ18" s="827"/>
      <c r="BER18" s="827"/>
      <c r="BES18" s="827"/>
      <c r="BET18" s="827"/>
      <c r="BEU18" s="827"/>
      <c r="BEV18" s="827"/>
      <c r="BEW18" s="827"/>
      <c r="BEX18" s="827"/>
      <c r="BEY18" s="827"/>
      <c r="BEZ18" s="827"/>
      <c r="BFA18" s="827"/>
      <c r="BFB18" s="827"/>
      <c r="BFC18" s="827"/>
      <c r="BFD18" s="827"/>
      <c r="BFE18" s="827"/>
      <c r="BFF18" s="827"/>
      <c r="BFG18" s="827"/>
      <c r="BFH18" s="827"/>
      <c r="BFI18" s="827"/>
      <c r="BFJ18" s="827"/>
      <c r="BFK18" s="827"/>
      <c r="BFL18" s="827"/>
      <c r="BFM18" s="827"/>
      <c r="BFN18" s="827"/>
      <c r="BFO18" s="827"/>
      <c r="BFP18" s="827"/>
      <c r="BFQ18" s="827"/>
      <c r="BFR18" s="827"/>
      <c r="BFS18" s="827"/>
      <c r="BFT18" s="827"/>
      <c r="BFU18" s="827"/>
      <c r="BFV18" s="827"/>
      <c r="BFW18" s="827"/>
      <c r="BFX18" s="827"/>
      <c r="BFY18" s="827"/>
      <c r="BFZ18" s="827"/>
      <c r="BGA18" s="827"/>
      <c r="BGB18" s="827"/>
      <c r="BGC18" s="827"/>
      <c r="BGD18" s="827"/>
      <c r="BGE18" s="827"/>
      <c r="BGF18" s="827"/>
      <c r="BGG18" s="827"/>
      <c r="BGH18" s="827"/>
      <c r="BGI18" s="827"/>
      <c r="BGJ18" s="827"/>
      <c r="BGK18" s="827"/>
      <c r="BGL18" s="827"/>
      <c r="BGM18" s="827"/>
      <c r="BGN18" s="827"/>
      <c r="BGO18" s="827"/>
      <c r="BGP18" s="827"/>
      <c r="BGQ18" s="827"/>
      <c r="BGR18" s="827"/>
      <c r="BGS18" s="827"/>
      <c r="BGT18" s="827"/>
      <c r="BGU18" s="827"/>
      <c r="BGV18" s="827"/>
      <c r="BGW18" s="827"/>
      <c r="BGX18" s="827"/>
      <c r="BGY18" s="827"/>
      <c r="BGZ18" s="827"/>
      <c r="BHA18" s="827"/>
      <c r="BHB18" s="827"/>
      <c r="BHC18" s="827"/>
      <c r="BHD18" s="827"/>
      <c r="BHE18" s="827"/>
      <c r="BHF18" s="827"/>
      <c r="BHG18" s="827"/>
      <c r="BHH18" s="827"/>
      <c r="BHI18" s="827"/>
      <c r="BHJ18" s="827"/>
      <c r="BHK18" s="827"/>
      <c r="BHL18" s="827"/>
      <c r="BHM18" s="827"/>
      <c r="BHN18" s="827"/>
      <c r="BHO18" s="827"/>
      <c r="BHP18" s="827"/>
      <c r="BHQ18" s="827"/>
      <c r="BHR18" s="827"/>
      <c r="BHS18" s="827"/>
      <c r="BHT18" s="827"/>
      <c r="BHU18" s="827"/>
      <c r="BHV18" s="827"/>
      <c r="BHW18" s="827"/>
      <c r="BHX18" s="827"/>
      <c r="BHY18" s="827"/>
      <c r="BHZ18" s="827"/>
      <c r="BIA18" s="827"/>
      <c r="BIB18" s="827"/>
      <c r="BIC18" s="827"/>
      <c r="BID18" s="827"/>
      <c r="BIE18" s="827"/>
      <c r="BIF18" s="827"/>
      <c r="BIG18" s="827"/>
      <c r="BIH18" s="827"/>
      <c r="BII18" s="827"/>
      <c r="BIJ18" s="827"/>
      <c r="BIK18" s="827"/>
      <c r="BIL18" s="827"/>
      <c r="BIM18" s="827"/>
      <c r="BIN18" s="827"/>
      <c r="BIO18" s="827"/>
      <c r="BIP18" s="827"/>
      <c r="BIQ18" s="827"/>
      <c r="BIR18" s="827"/>
      <c r="BIS18" s="827"/>
      <c r="BIT18" s="827"/>
      <c r="BIU18" s="827"/>
      <c r="BIV18" s="827"/>
      <c r="BIW18" s="827"/>
      <c r="BIX18" s="827"/>
      <c r="BIY18" s="827"/>
      <c r="BIZ18" s="827"/>
      <c r="BJA18" s="827"/>
      <c r="BJB18" s="827"/>
      <c r="BJC18" s="827"/>
      <c r="BJD18" s="827"/>
      <c r="BJE18" s="827"/>
      <c r="BJF18" s="827"/>
      <c r="BJG18" s="827"/>
      <c r="BJH18" s="827"/>
      <c r="BJI18" s="827"/>
      <c r="BJJ18" s="827"/>
      <c r="BJK18" s="827"/>
      <c r="BJL18" s="827"/>
      <c r="BJM18" s="827"/>
      <c r="BJN18" s="827"/>
      <c r="BJO18" s="827"/>
      <c r="BJP18" s="827"/>
      <c r="BJQ18" s="827"/>
      <c r="BJR18" s="827"/>
      <c r="BJS18" s="827"/>
      <c r="BJT18" s="827"/>
      <c r="BJU18" s="827"/>
      <c r="BJV18" s="827"/>
      <c r="BJW18" s="827"/>
      <c r="BJX18" s="827"/>
      <c r="BJY18" s="827"/>
      <c r="BJZ18" s="827"/>
      <c r="BKA18" s="827"/>
      <c r="BKB18" s="827"/>
      <c r="BKC18" s="827"/>
      <c r="BKD18" s="827"/>
      <c r="BKE18" s="827"/>
      <c r="BKF18" s="827"/>
      <c r="BKG18" s="827"/>
      <c r="BKH18" s="827"/>
      <c r="BKI18" s="827"/>
      <c r="BKJ18" s="827"/>
      <c r="BKK18" s="827"/>
      <c r="BKL18" s="827"/>
      <c r="BKM18" s="827"/>
      <c r="BKN18" s="827"/>
      <c r="BKO18" s="827"/>
      <c r="BKP18" s="827"/>
      <c r="BKQ18" s="827"/>
      <c r="BKR18" s="827"/>
      <c r="BKS18" s="827"/>
      <c r="BKT18" s="827"/>
      <c r="BKU18" s="827"/>
      <c r="BKV18" s="827"/>
      <c r="BKW18" s="827"/>
      <c r="BKX18" s="827"/>
      <c r="BKY18" s="827"/>
      <c r="BKZ18" s="827"/>
      <c r="BLA18" s="827"/>
      <c r="BLB18" s="827"/>
      <c r="BLC18" s="827"/>
      <c r="BLD18" s="827"/>
      <c r="BLE18" s="827"/>
      <c r="BLF18" s="827"/>
      <c r="BLG18" s="827"/>
      <c r="BLH18" s="827"/>
      <c r="BLI18" s="827"/>
      <c r="BLJ18" s="827"/>
      <c r="BLK18" s="827"/>
      <c r="BLL18" s="827"/>
      <c r="BLM18" s="827"/>
      <c r="BLN18" s="827"/>
      <c r="BLO18" s="827"/>
      <c r="BLP18" s="827"/>
      <c r="BLQ18" s="827"/>
      <c r="BLR18" s="827"/>
      <c r="BLS18" s="827"/>
      <c r="BLT18" s="827"/>
      <c r="BLU18" s="827"/>
      <c r="BLV18" s="827"/>
      <c r="BLW18" s="827"/>
      <c r="BLX18" s="827"/>
      <c r="BLY18" s="827"/>
      <c r="BLZ18" s="827"/>
      <c r="BMA18" s="827"/>
      <c r="BMB18" s="827"/>
      <c r="BMC18" s="827"/>
      <c r="BMD18" s="827"/>
      <c r="BME18" s="827"/>
      <c r="BMF18" s="827"/>
      <c r="BMG18" s="827"/>
      <c r="BMH18" s="827"/>
      <c r="BMI18" s="827"/>
      <c r="BMJ18" s="827"/>
      <c r="BMK18" s="827"/>
      <c r="BML18" s="827"/>
      <c r="BMM18" s="827"/>
      <c r="BMN18" s="827"/>
      <c r="BMO18" s="827"/>
      <c r="BMP18" s="827"/>
      <c r="BMQ18" s="827"/>
      <c r="BMR18" s="827"/>
      <c r="BMS18" s="827"/>
      <c r="BMT18" s="827"/>
      <c r="BMU18" s="827"/>
      <c r="BMV18" s="827"/>
      <c r="BMW18" s="827"/>
      <c r="BMX18" s="827"/>
      <c r="BMY18" s="827"/>
      <c r="BMZ18" s="827"/>
      <c r="BNA18" s="827"/>
      <c r="BNB18" s="827"/>
      <c r="BNC18" s="827"/>
      <c r="BND18" s="827"/>
      <c r="BNE18" s="827"/>
      <c r="BNF18" s="827"/>
      <c r="BNG18" s="827"/>
      <c r="BNH18" s="827"/>
      <c r="BNI18" s="827"/>
      <c r="BNJ18" s="827"/>
      <c r="BNK18" s="827"/>
      <c r="BNL18" s="827"/>
      <c r="BNM18" s="827"/>
      <c r="BNN18" s="827"/>
      <c r="BNO18" s="827"/>
      <c r="BNP18" s="827"/>
      <c r="BNQ18" s="827"/>
      <c r="BNR18" s="827"/>
      <c r="BNS18" s="827"/>
      <c r="BNT18" s="827"/>
      <c r="BNU18" s="827"/>
      <c r="BNV18" s="827"/>
      <c r="BNW18" s="827"/>
      <c r="BNX18" s="827"/>
      <c r="BNY18" s="827"/>
      <c r="BNZ18" s="827"/>
      <c r="BOA18" s="827"/>
      <c r="BOB18" s="827"/>
      <c r="BOC18" s="827"/>
      <c r="BOD18" s="827"/>
      <c r="BOE18" s="827"/>
      <c r="BOF18" s="827"/>
      <c r="BOG18" s="827"/>
      <c r="BOH18" s="827"/>
      <c r="BOI18" s="827"/>
      <c r="BOJ18" s="827"/>
      <c r="BOK18" s="827"/>
      <c r="BOL18" s="827"/>
      <c r="BOM18" s="827"/>
      <c r="BON18" s="827"/>
      <c r="BOO18" s="827"/>
      <c r="BOP18" s="827"/>
      <c r="BOQ18" s="827"/>
      <c r="BOR18" s="827"/>
      <c r="BOS18" s="827"/>
      <c r="BOT18" s="827"/>
      <c r="BOU18" s="827"/>
      <c r="BOV18" s="827"/>
      <c r="BOW18" s="827"/>
      <c r="BOX18" s="827"/>
      <c r="BOY18" s="827"/>
      <c r="BOZ18" s="827"/>
      <c r="BPA18" s="827"/>
      <c r="BPB18" s="827"/>
      <c r="BPC18" s="827"/>
      <c r="BPD18" s="827"/>
      <c r="BPE18" s="827"/>
      <c r="BPF18" s="827"/>
      <c r="BPG18" s="827"/>
      <c r="BPH18" s="827"/>
      <c r="BPI18" s="827"/>
      <c r="BPJ18" s="827"/>
      <c r="BPK18" s="827"/>
      <c r="BPL18" s="827"/>
      <c r="BPM18" s="827"/>
      <c r="BPN18" s="827"/>
      <c r="BPO18" s="827"/>
      <c r="BPP18" s="827"/>
      <c r="BPQ18" s="827"/>
      <c r="BPR18" s="827"/>
      <c r="BPS18" s="827"/>
      <c r="BPT18" s="827"/>
      <c r="BPU18" s="827"/>
      <c r="BPV18" s="827"/>
      <c r="BPW18" s="827"/>
      <c r="BPX18" s="827"/>
      <c r="BPY18" s="827"/>
      <c r="BPZ18" s="827"/>
      <c r="BQA18" s="827"/>
      <c r="BQB18" s="827"/>
      <c r="BQC18" s="827"/>
      <c r="BQD18" s="827"/>
      <c r="BQE18" s="827"/>
      <c r="BQF18" s="827"/>
      <c r="BQG18" s="827"/>
      <c r="BQH18" s="827"/>
      <c r="BQI18" s="827"/>
      <c r="BQJ18" s="827"/>
      <c r="BQK18" s="827"/>
      <c r="BQL18" s="827"/>
      <c r="BQM18" s="827"/>
      <c r="BQN18" s="827"/>
      <c r="BQO18" s="827"/>
      <c r="BQP18" s="827"/>
      <c r="BQQ18" s="827"/>
      <c r="BQR18" s="827"/>
      <c r="BQS18" s="827"/>
      <c r="BQT18" s="827"/>
      <c r="BQU18" s="827"/>
      <c r="BQV18" s="827"/>
      <c r="BQW18" s="827"/>
      <c r="BQX18" s="827"/>
      <c r="BQY18" s="827"/>
      <c r="BQZ18" s="827"/>
      <c r="BRA18" s="827"/>
      <c r="BRB18" s="827"/>
      <c r="BRC18" s="827"/>
      <c r="BRD18" s="827"/>
      <c r="BRE18" s="827"/>
      <c r="BRF18" s="827"/>
      <c r="BRG18" s="827"/>
      <c r="BRH18" s="827"/>
      <c r="BRI18" s="827"/>
      <c r="BRJ18" s="827"/>
      <c r="BRK18" s="827"/>
      <c r="BRL18" s="827"/>
      <c r="BRM18" s="827"/>
      <c r="BRN18" s="827"/>
      <c r="BRO18" s="827"/>
      <c r="BRP18" s="827"/>
      <c r="BRQ18" s="827"/>
      <c r="BRR18" s="827"/>
      <c r="BRS18" s="827"/>
      <c r="BRT18" s="827"/>
      <c r="BRU18" s="827"/>
      <c r="BRV18" s="827"/>
      <c r="BRW18" s="827"/>
      <c r="BRX18" s="827"/>
      <c r="BRY18" s="827"/>
      <c r="BRZ18" s="827"/>
      <c r="BSA18" s="827"/>
      <c r="BSB18" s="827"/>
      <c r="BSC18" s="827"/>
      <c r="BSD18" s="827"/>
      <c r="BSE18" s="827"/>
      <c r="BSF18" s="827"/>
      <c r="BSG18" s="827"/>
      <c r="BSH18" s="827"/>
      <c r="BSI18" s="827"/>
      <c r="BSJ18" s="827"/>
      <c r="BSK18" s="827"/>
      <c r="BSL18" s="827"/>
      <c r="BSM18" s="827"/>
      <c r="BSN18" s="827"/>
      <c r="BSO18" s="827"/>
      <c r="BSP18" s="827"/>
      <c r="BSQ18" s="827"/>
      <c r="BSR18" s="827"/>
      <c r="BSS18" s="827"/>
      <c r="BST18" s="827"/>
    </row>
    <row r="19" spans="1:1866" s="824" customFormat="1" ht="21.9" customHeight="1" x14ac:dyDescent="0.25">
      <c r="A19" s="827"/>
      <c r="B19" s="3160" t="s">
        <v>1034</v>
      </c>
      <c r="C19" s="3161"/>
      <c r="D19" s="2265"/>
      <c r="E19" s="1477"/>
      <c r="F19" s="1477"/>
      <c r="G19" s="1477"/>
      <c r="H19" s="1477"/>
      <c r="I19" s="1477"/>
      <c r="J19" s="1477"/>
      <c r="K19" s="1477"/>
      <c r="L19" s="1477"/>
      <c r="M19" s="1477"/>
      <c r="N19" s="1477"/>
      <c r="O19" s="1477"/>
      <c r="P19" s="1477"/>
      <c r="Q19" s="1477"/>
      <c r="R19" s="1477"/>
      <c r="S19" s="1477"/>
      <c r="T19" s="1477"/>
      <c r="U19" s="1477"/>
      <c r="V19" s="1478"/>
      <c r="W19" s="834"/>
      <c r="X19" s="834"/>
      <c r="Y19" s="834"/>
      <c r="Z19" s="834"/>
      <c r="AA19" s="867"/>
      <c r="AB19" s="834"/>
      <c r="AC19" s="834"/>
      <c r="AD19" s="834"/>
      <c r="AE19" s="834"/>
      <c r="AF19" s="834"/>
      <c r="AG19" s="834"/>
      <c r="AH19" s="834"/>
      <c r="AI19" s="834"/>
      <c r="AJ19" s="834"/>
      <c r="AK19" s="834"/>
      <c r="AL19" s="834"/>
      <c r="AM19" s="827"/>
      <c r="AN19" s="827"/>
      <c r="AO19" s="827"/>
      <c r="AP19" s="827"/>
      <c r="AQ19" s="827"/>
      <c r="AR19" s="827"/>
      <c r="AS19" s="827"/>
      <c r="AT19" s="827"/>
      <c r="AU19" s="827"/>
      <c r="AV19" s="827"/>
      <c r="AW19" s="827"/>
      <c r="AX19" s="827"/>
      <c r="AY19" s="827"/>
      <c r="AZ19" s="827"/>
      <c r="BA19" s="827"/>
      <c r="BB19" s="827"/>
      <c r="BC19" s="827"/>
      <c r="BD19" s="827"/>
      <c r="BE19" s="827"/>
      <c r="BF19" s="827"/>
      <c r="BG19" s="827"/>
      <c r="BH19" s="827"/>
      <c r="BI19" s="827"/>
      <c r="BJ19" s="827"/>
      <c r="BK19" s="827"/>
      <c r="BL19" s="827"/>
      <c r="BM19" s="827"/>
      <c r="BN19" s="827"/>
      <c r="BO19" s="827"/>
      <c r="BP19" s="827"/>
      <c r="BQ19" s="827"/>
      <c r="BR19" s="827"/>
      <c r="BS19" s="827"/>
      <c r="BT19" s="827"/>
      <c r="BU19" s="827"/>
      <c r="BV19" s="827"/>
      <c r="BW19" s="827"/>
      <c r="BX19" s="827"/>
      <c r="BY19" s="827"/>
      <c r="BZ19" s="827"/>
      <c r="CA19" s="827"/>
      <c r="CB19" s="827"/>
      <c r="CC19" s="827"/>
      <c r="CD19" s="827"/>
      <c r="CE19" s="827"/>
      <c r="CF19" s="827"/>
      <c r="CG19" s="827"/>
      <c r="CH19" s="827"/>
      <c r="CI19" s="827"/>
      <c r="CJ19" s="827"/>
      <c r="CK19" s="827"/>
      <c r="CL19" s="827"/>
      <c r="CM19" s="827"/>
      <c r="CN19" s="827"/>
      <c r="CO19" s="827"/>
      <c r="CP19" s="827"/>
      <c r="CQ19" s="827"/>
      <c r="CR19" s="827"/>
      <c r="CS19" s="827"/>
      <c r="CT19" s="827"/>
      <c r="CU19" s="827"/>
      <c r="CV19" s="827"/>
      <c r="CW19" s="827"/>
      <c r="CX19" s="827"/>
      <c r="CY19" s="827"/>
      <c r="CZ19" s="827"/>
      <c r="DA19" s="827"/>
      <c r="DB19" s="827"/>
      <c r="DC19" s="827"/>
      <c r="DD19" s="827"/>
      <c r="DE19" s="827"/>
      <c r="DF19" s="827"/>
      <c r="DG19" s="827"/>
      <c r="DH19" s="827"/>
      <c r="DI19" s="827"/>
      <c r="DJ19" s="827"/>
      <c r="DK19" s="827"/>
      <c r="DL19" s="827"/>
      <c r="DM19" s="827"/>
      <c r="DN19" s="827"/>
      <c r="DO19" s="827"/>
      <c r="DP19" s="827"/>
      <c r="DQ19" s="827"/>
      <c r="DR19" s="827"/>
      <c r="DS19" s="827"/>
      <c r="DT19" s="827"/>
      <c r="DU19" s="827"/>
      <c r="DV19" s="827"/>
      <c r="DW19" s="827"/>
      <c r="DX19" s="827"/>
      <c r="DY19" s="827"/>
      <c r="DZ19" s="827"/>
      <c r="EA19" s="827"/>
      <c r="EB19" s="827"/>
      <c r="EC19" s="827"/>
      <c r="ED19" s="827"/>
      <c r="EE19" s="827"/>
      <c r="EF19" s="827"/>
      <c r="EG19" s="827"/>
      <c r="EH19" s="827"/>
      <c r="EI19" s="827"/>
      <c r="EJ19" s="827"/>
      <c r="EK19" s="827"/>
      <c r="EL19" s="827"/>
      <c r="EM19" s="827"/>
      <c r="EN19" s="827"/>
      <c r="EO19" s="827"/>
      <c r="EP19" s="827"/>
      <c r="EQ19" s="827"/>
      <c r="ER19" s="827"/>
      <c r="ES19" s="827"/>
      <c r="ET19" s="827"/>
      <c r="EU19" s="827"/>
      <c r="EV19" s="827"/>
      <c r="EW19" s="827"/>
      <c r="EX19" s="827"/>
      <c r="EY19" s="827"/>
      <c r="EZ19" s="827"/>
      <c r="FA19" s="827"/>
      <c r="FB19" s="827"/>
      <c r="FC19" s="827"/>
      <c r="FD19" s="827"/>
      <c r="FE19" s="827"/>
      <c r="FF19" s="827"/>
      <c r="FG19" s="827"/>
      <c r="FH19" s="827"/>
      <c r="FI19" s="827"/>
      <c r="FJ19" s="827"/>
      <c r="FK19" s="827"/>
      <c r="FL19" s="827"/>
      <c r="FM19" s="827"/>
      <c r="FN19" s="827"/>
      <c r="FO19" s="827"/>
      <c r="FP19" s="827"/>
      <c r="FQ19" s="827"/>
      <c r="FR19" s="827"/>
      <c r="FS19" s="827"/>
      <c r="FT19" s="827"/>
      <c r="FU19" s="827"/>
      <c r="FV19" s="827"/>
      <c r="FW19" s="827"/>
      <c r="FX19" s="827"/>
      <c r="FY19" s="827"/>
      <c r="FZ19" s="827"/>
      <c r="GA19" s="827"/>
      <c r="GB19" s="827"/>
      <c r="GC19" s="827"/>
      <c r="GD19" s="827"/>
      <c r="GE19" s="827"/>
      <c r="GF19" s="827"/>
      <c r="GG19" s="827"/>
      <c r="GH19" s="827"/>
      <c r="GI19" s="827"/>
      <c r="GJ19" s="827"/>
      <c r="GK19" s="827"/>
      <c r="GL19" s="827"/>
      <c r="GM19" s="827"/>
      <c r="GN19" s="827"/>
      <c r="GO19" s="827"/>
      <c r="GP19" s="827"/>
      <c r="GQ19" s="827"/>
      <c r="GR19" s="827"/>
      <c r="GS19" s="827"/>
      <c r="GT19" s="827"/>
      <c r="GU19" s="827"/>
      <c r="GV19" s="827"/>
      <c r="GW19" s="827"/>
      <c r="GX19" s="827"/>
      <c r="GY19" s="827"/>
      <c r="GZ19" s="827"/>
      <c r="HA19" s="827"/>
      <c r="HB19" s="827"/>
      <c r="HC19" s="827"/>
      <c r="HD19" s="827"/>
      <c r="HE19" s="827"/>
      <c r="HF19" s="827"/>
      <c r="HG19" s="827"/>
      <c r="HH19" s="827"/>
      <c r="HI19" s="827"/>
      <c r="HJ19" s="827"/>
      <c r="HK19" s="827"/>
      <c r="HL19" s="827"/>
      <c r="HM19" s="827"/>
      <c r="HN19" s="827"/>
      <c r="HO19" s="827"/>
      <c r="HP19" s="827"/>
      <c r="HQ19" s="827"/>
      <c r="HR19" s="827"/>
      <c r="HS19" s="827"/>
      <c r="HT19" s="827"/>
      <c r="HU19" s="827"/>
      <c r="HV19" s="827"/>
      <c r="HW19" s="827"/>
      <c r="HX19" s="827"/>
      <c r="HY19" s="827"/>
      <c r="HZ19" s="827"/>
      <c r="IA19" s="827"/>
      <c r="IB19" s="827"/>
      <c r="IC19" s="827"/>
      <c r="ID19" s="827"/>
      <c r="IE19" s="827"/>
      <c r="IF19" s="827"/>
      <c r="IG19" s="827"/>
      <c r="IH19" s="827"/>
      <c r="II19" s="827"/>
      <c r="IJ19" s="827"/>
      <c r="IK19" s="827"/>
      <c r="IL19" s="827"/>
      <c r="IM19" s="827"/>
      <c r="IN19" s="827"/>
      <c r="IO19" s="827"/>
      <c r="IP19" s="827"/>
      <c r="IQ19" s="827"/>
      <c r="IR19" s="827"/>
      <c r="IS19" s="827"/>
      <c r="IT19" s="827"/>
      <c r="IU19" s="827"/>
      <c r="IV19" s="827"/>
      <c r="IW19" s="827"/>
      <c r="IX19" s="827"/>
      <c r="IY19" s="827"/>
      <c r="IZ19" s="827"/>
      <c r="JA19" s="827"/>
      <c r="JB19" s="827"/>
      <c r="JC19" s="827"/>
      <c r="JD19" s="827"/>
      <c r="JE19" s="827"/>
      <c r="JF19" s="827"/>
      <c r="JG19" s="827"/>
      <c r="JH19" s="827"/>
      <c r="JI19" s="827"/>
      <c r="JJ19" s="827"/>
      <c r="JK19" s="827"/>
      <c r="JL19" s="827"/>
      <c r="JM19" s="827"/>
      <c r="JN19" s="827"/>
      <c r="JO19" s="827"/>
      <c r="JP19" s="827"/>
      <c r="JQ19" s="827"/>
      <c r="JR19" s="827"/>
      <c r="JS19" s="827"/>
      <c r="JT19" s="827"/>
      <c r="JU19" s="827"/>
      <c r="JV19" s="827"/>
      <c r="JW19" s="827"/>
      <c r="JX19" s="827"/>
      <c r="JY19" s="827"/>
      <c r="JZ19" s="827"/>
      <c r="KA19" s="827"/>
      <c r="KB19" s="827"/>
      <c r="KC19" s="827"/>
      <c r="KD19" s="827"/>
      <c r="KE19" s="827"/>
      <c r="KF19" s="827"/>
      <c r="KG19" s="827"/>
      <c r="KH19" s="827"/>
      <c r="KI19" s="827"/>
      <c r="KJ19" s="827"/>
      <c r="KK19" s="827"/>
      <c r="KL19" s="827"/>
      <c r="KM19" s="827"/>
      <c r="KN19" s="827"/>
      <c r="KO19" s="827"/>
      <c r="KP19" s="827"/>
      <c r="KQ19" s="827"/>
      <c r="KR19" s="827"/>
      <c r="KS19" s="827"/>
      <c r="KT19" s="827"/>
      <c r="KU19" s="827"/>
      <c r="KV19" s="827"/>
      <c r="KW19" s="827"/>
      <c r="KX19" s="827"/>
      <c r="KY19" s="827"/>
      <c r="KZ19" s="827"/>
      <c r="LA19" s="827"/>
      <c r="LB19" s="827"/>
      <c r="LC19" s="827"/>
      <c r="LD19" s="827"/>
      <c r="LE19" s="827"/>
      <c r="LF19" s="827"/>
      <c r="LG19" s="827"/>
      <c r="LH19" s="827"/>
      <c r="LI19" s="827"/>
      <c r="LJ19" s="827"/>
      <c r="LK19" s="827"/>
      <c r="LL19" s="827"/>
      <c r="LM19" s="827"/>
      <c r="LN19" s="827"/>
      <c r="LO19" s="827"/>
      <c r="LP19" s="827"/>
      <c r="LQ19" s="827"/>
      <c r="LR19" s="827"/>
      <c r="LS19" s="827"/>
      <c r="LT19" s="827"/>
      <c r="LU19" s="827"/>
      <c r="LV19" s="827"/>
      <c r="LW19" s="827"/>
      <c r="LX19" s="827"/>
      <c r="LY19" s="827"/>
      <c r="LZ19" s="827"/>
      <c r="MA19" s="827"/>
      <c r="MB19" s="827"/>
      <c r="MC19" s="827"/>
      <c r="MD19" s="827"/>
      <c r="ME19" s="827"/>
      <c r="MF19" s="827"/>
      <c r="MG19" s="827"/>
      <c r="MH19" s="827"/>
      <c r="MI19" s="827"/>
      <c r="MJ19" s="827"/>
      <c r="MK19" s="827"/>
      <c r="ML19" s="827"/>
      <c r="MM19" s="827"/>
      <c r="MN19" s="827"/>
      <c r="MO19" s="827"/>
      <c r="MP19" s="827"/>
      <c r="MQ19" s="827"/>
      <c r="MR19" s="827"/>
      <c r="MS19" s="827"/>
      <c r="MT19" s="827"/>
      <c r="MU19" s="827"/>
      <c r="MV19" s="827"/>
      <c r="MW19" s="827"/>
      <c r="MX19" s="827"/>
      <c r="MY19" s="827"/>
      <c r="MZ19" s="827"/>
      <c r="NA19" s="827"/>
      <c r="NB19" s="827"/>
      <c r="NC19" s="827"/>
      <c r="ND19" s="827"/>
      <c r="NE19" s="827"/>
      <c r="NF19" s="827"/>
      <c r="NG19" s="827"/>
      <c r="NH19" s="827"/>
      <c r="NI19" s="827"/>
      <c r="NJ19" s="827"/>
      <c r="NK19" s="827"/>
      <c r="NL19" s="827"/>
      <c r="NM19" s="827"/>
      <c r="NN19" s="827"/>
      <c r="NO19" s="827"/>
      <c r="NP19" s="827"/>
      <c r="NQ19" s="827"/>
      <c r="NR19" s="827"/>
      <c r="NS19" s="827"/>
      <c r="NT19" s="827"/>
      <c r="NU19" s="827"/>
      <c r="NV19" s="827"/>
      <c r="NW19" s="827"/>
      <c r="NX19" s="827"/>
      <c r="NY19" s="827"/>
      <c r="NZ19" s="827"/>
      <c r="OA19" s="827"/>
      <c r="OB19" s="827"/>
      <c r="OC19" s="827"/>
      <c r="OD19" s="827"/>
      <c r="OE19" s="827"/>
      <c r="OF19" s="827"/>
      <c r="OG19" s="827"/>
      <c r="OH19" s="827"/>
      <c r="OI19" s="827"/>
      <c r="OJ19" s="827"/>
      <c r="OK19" s="827"/>
      <c r="OL19" s="827"/>
      <c r="OM19" s="827"/>
      <c r="ON19" s="827"/>
      <c r="OO19" s="827"/>
      <c r="OP19" s="827"/>
      <c r="OQ19" s="827"/>
      <c r="OR19" s="827"/>
      <c r="OS19" s="827"/>
      <c r="OT19" s="827"/>
      <c r="OU19" s="827"/>
      <c r="OV19" s="827"/>
      <c r="OW19" s="827"/>
      <c r="OX19" s="827"/>
      <c r="OY19" s="827"/>
      <c r="OZ19" s="827"/>
      <c r="PA19" s="827"/>
      <c r="PB19" s="827"/>
      <c r="PC19" s="827"/>
      <c r="PD19" s="827"/>
      <c r="PE19" s="827"/>
      <c r="PF19" s="827"/>
      <c r="PG19" s="827"/>
      <c r="PH19" s="827"/>
      <c r="PI19" s="827"/>
      <c r="PJ19" s="827"/>
      <c r="PK19" s="827"/>
      <c r="PL19" s="827"/>
      <c r="PM19" s="827"/>
      <c r="PN19" s="827"/>
      <c r="PO19" s="827"/>
      <c r="PP19" s="827"/>
      <c r="PQ19" s="827"/>
      <c r="PR19" s="827"/>
      <c r="PS19" s="827"/>
      <c r="PT19" s="827"/>
      <c r="PU19" s="827"/>
      <c r="PV19" s="827"/>
      <c r="PW19" s="827"/>
      <c r="PX19" s="827"/>
      <c r="PY19" s="827"/>
      <c r="PZ19" s="827"/>
      <c r="QA19" s="827"/>
      <c r="QB19" s="827"/>
      <c r="QC19" s="827"/>
      <c r="QD19" s="827"/>
      <c r="QE19" s="827"/>
      <c r="QF19" s="827"/>
      <c r="QG19" s="827"/>
      <c r="QH19" s="827"/>
      <c r="QI19" s="827"/>
      <c r="QJ19" s="827"/>
      <c r="QK19" s="827"/>
      <c r="QL19" s="827"/>
      <c r="QM19" s="827"/>
      <c r="QN19" s="827"/>
      <c r="QO19" s="827"/>
      <c r="QP19" s="827"/>
      <c r="QQ19" s="827"/>
      <c r="QR19" s="827"/>
      <c r="QS19" s="827"/>
      <c r="QT19" s="827"/>
      <c r="QU19" s="827"/>
      <c r="QV19" s="827"/>
      <c r="QW19" s="827"/>
      <c r="QX19" s="827"/>
      <c r="QY19" s="827"/>
      <c r="QZ19" s="827"/>
      <c r="RA19" s="827"/>
      <c r="RB19" s="827"/>
      <c r="RC19" s="827"/>
      <c r="RD19" s="827"/>
      <c r="RE19" s="827"/>
      <c r="RF19" s="827"/>
      <c r="RG19" s="827"/>
      <c r="RH19" s="827"/>
      <c r="RI19" s="827"/>
      <c r="RJ19" s="827"/>
      <c r="RK19" s="827"/>
      <c r="RL19" s="827"/>
      <c r="RM19" s="827"/>
      <c r="RN19" s="827"/>
      <c r="RO19" s="827"/>
      <c r="RP19" s="827"/>
      <c r="RQ19" s="827"/>
      <c r="RR19" s="827"/>
      <c r="RS19" s="827"/>
      <c r="RT19" s="827"/>
      <c r="RU19" s="827"/>
      <c r="RV19" s="827"/>
      <c r="RW19" s="827"/>
      <c r="RX19" s="827"/>
      <c r="RY19" s="827"/>
      <c r="RZ19" s="827"/>
      <c r="SA19" s="827"/>
      <c r="SB19" s="827"/>
      <c r="SC19" s="827"/>
      <c r="SD19" s="827"/>
      <c r="SE19" s="827"/>
      <c r="SF19" s="827"/>
      <c r="SG19" s="827"/>
      <c r="SH19" s="827"/>
      <c r="SI19" s="827"/>
      <c r="SJ19" s="827"/>
      <c r="SK19" s="827"/>
      <c r="SL19" s="827"/>
      <c r="SM19" s="827"/>
      <c r="SN19" s="827"/>
      <c r="SO19" s="827"/>
      <c r="SP19" s="827"/>
      <c r="SQ19" s="827"/>
      <c r="SR19" s="827"/>
      <c r="SS19" s="827"/>
      <c r="ST19" s="827"/>
      <c r="SU19" s="827"/>
      <c r="SV19" s="827"/>
      <c r="SW19" s="827"/>
      <c r="SX19" s="827"/>
      <c r="SY19" s="827"/>
      <c r="SZ19" s="827"/>
      <c r="TA19" s="827"/>
      <c r="TB19" s="827"/>
      <c r="TC19" s="827"/>
      <c r="TD19" s="827"/>
      <c r="TE19" s="827"/>
      <c r="TF19" s="827"/>
      <c r="TG19" s="827"/>
      <c r="TH19" s="827"/>
      <c r="TI19" s="827"/>
      <c r="TJ19" s="827"/>
      <c r="TK19" s="827"/>
      <c r="TL19" s="827"/>
      <c r="TM19" s="827"/>
      <c r="TN19" s="827"/>
      <c r="TO19" s="827"/>
      <c r="TP19" s="827"/>
      <c r="TQ19" s="827"/>
      <c r="TR19" s="827"/>
      <c r="TS19" s="827"/>
      <c r="TT19" s="827"/>
      <c r="TU19" s="827"/>
      <c r="TV19" s="827"/>
      <c r="TW19" s="827"/>
      <c r="TX19" s="827"/>
      <c r="TY19" s="827"/>
      <c r="TZ19" s="827"/>
      <c r="UA19" s="827"/>
      <c r="UB19" s="827"/>
      <c r="UC19" s="827"/>
      <c r="UD19" s="827"/>
      <c r="UE19" s="827"/>
      <c r="UF19" s="827"/>
      <c r="UG19" s="827"/>
      <c r="UH19" s="827"/>
      <c r="UI19" s="827"/>
      <c r="UJ19" s="827"/>
      <c r="UK19" s="827"/>
      <c r="UL19" s="827"/>
      <c r="UM19" s="827"/>
      <c r="UN19" s="827"/>
      <c r="UO19" s="827"/>
      <c r="UP19" s="827"/>
      <c r="UQ19" s="827"/>
      <c r="UR19" s="827"/>
      <c r="US19" s="827"/>
      <c r="UT19" s="827"/>
      <c r="UU19" s="827"/>
      <c r="UV19" s="827"/>
      <c r="UW19" s="827"/>
      <c r="UX19" s="827"/>
      <c r="UY19" s="827"/>
      <c r="UZ19" s="827"/>
      <c r="VA19" s="827"/>
      <c r="VB19" s="827"/>
      <c r="VC19" s="827"/>
      <c r="VD19" s="827"/>
      <c r="VE19" s="827"/>
      <c r="VF19" s="827"/>
      <c r="VG19" s="827"/>
      <c r="VH19" s="827"/>
      <c r="VI19" s="827"/>
      <c r="VJ19" s="827"/>
      <c r="VK19" s="827"/>
      <c r="VL19" s="827"/>
      <c r="VM19" s="827"/>
      <c r="VN19" s="827"/>
      <c r="VO19" s="827"/>
      <c r="VP19" s="827"/>
      <c r="VQ19" s="827"/>
      <c r="VR19" s="827"/>
      <c r="VS19" s="827"/>
      <c r="VT19" s="827"/>
      <c r="VU19" s="827"/>
      <c r="VV19" s="827"/>
      <c r="VW19" s="827"/>
      <c r="VX19" s="827"/>
      <c r="VY19" s="827"/>
      <c r="VZ19" s="827"/>
      <c r="WA19" s="827"/>
      <c r="WB19" s="827"/>
      <c r="WC19" s="827"/>
      <c r="WD19" s="827"/>
      <c r="WE19" s="827"/>
      <c r="WF19" s="827"/>
      <c r="WG19" s="827"/>
      <c r="WH19" s="827"/>
      <c r="WI19" s="827"/>
      <c r="WJ19" s="827"/>
      <c r="WK19" s="827"/>
      <c r="WL19" s="827"/>
      <c r="WM19" s="827"/>
      <c r="WN19" s="827"/>
      <c r="WO19" s="827"/>
      <c r="WP19" s="827"/>
      <c r="WQ19" s="827"/>
      <c r="WR19" s="827"/>
      <c r="WS19" s="827"/>
      <c r="WT19" s="827"/>
      <c r="WU19" s="827"/>
      <c r="WV19" s="827"/>
      <c r="WW19" s="827"/>
      <c r="WX19" s="827"/>
      <c r="WY19" s="827"/>
      <c r="WZ19" s="827"/>
      <c r="XA19" s="827"/>
      <c r="XB19" s="827"/>
      <c r="XC19" s="827"/>
      <c r="XD19" s="827"/>
      <c r="XE19" s="827"/>
      <c r="XF19" s="827"/>
      <c r="XG19" s="827"/>
      <c r="XH19" s="827"/>
      <c r="XI19" s="827"/>
      <c r="XJ19" s="827"/>
      <c r="XK19" s="827"/>
      <c r="XL19" s="827"/>
      <c r="XM19" s="827"/>
      <c r="XN19" s="827"/>
      <c r="XO19" s="827"/>
      <c r="XP19" s="827"/>
      <c r="XQ19" s="827"/>
      <c r="XR19" s="827"/>
      <c r="XS19" s="827"/>
      <c r="XT19" s="827"/>
      <c r="XU19" s="827"/>
      <c r="XV19" s="827"/>
      <c r="XW19" s="827"/>
      <c r="XX19" s="827"/>
      <c r="XY19" s="827"/>
      <c r="XZ19" s="827"/>
      <c r="YA19" s="827"/>
      <c r="YB19" s="827"/>
      <c r="YC19" s="827"/>
      <c r="YD19" s="827"/>
      <c r="YE19" s="827"/>
      <c r="YF19" s="827"/>
      <c r="YG19" s="827"/>
      <c r="YH19" s="827"/>
      <c r="YI19" s="827"/>
      <c r="YJ19" s="827"/>
      <c r="YK19" s="827"/>
      <c r="YL19" s="827"/>
      <c r="YM19" s="827"/>
      <c r="YN19" s="827"/>
      <c r="YO19" s="827"/>
      <c r="YP19" s="827"/>
      <c r="YQ19" s="827"/>
      <c r="YR19" s="827"/>
      <c r="YS19" s="827"/>
      <c r="YT19" s="827"/>
      <c r="YU19" s="827"/>
      <c r="YV19" s="827"/>
      <c r="YW19" s="827"/>
      <c r="YX19" s="827"/>
      <c r="YY19" s="827"/>
      <c r="YZ19" s="827"/>
      <c r="ZA19" s="827"/>
      <c r="ZB19" s="827"/>
      <c r="ZC19" s="827"/>
      <c r="ZD19" s="827"/>
      <c r="ZE19" s="827"/>
      <c r="ZF19" s="827"/>
      <c r="ZG19" s="827"/>
      <c r="ZH19" s="827"/>
      <c r="ZI19" s="827"/>
      <c r="ZJ19" s="827"/>
      <c r="ZK19" s="827"/>
      <c r="ZL19" s="827"/>
      <c r="ZM19" s="827"/>
      <c r="ZN19" s="827"/>
      <c r="ZO19" s="827"/>
      <c r="ZP19" s="827"/>
      <c r="ZQ19" s="827"/>
      <c r="ZR19" s="827"/>
      <c r="ZS19" s="827"/>
      <c r="ZT19" s="827"/>
      <c r="ZU19" s="827"/>
      <c r="ZV19" s="827"/>
      <c r="ZW19" s="827"/>
      <c r="ZX19" s="827"/>
      <c r="ZY19" s="827"/>
      <c r="ZZ19" s="827"/>
      <c r="AAA19" s="827"/>
      <c r="AAB19" s="827"/>
      <c r="AAC19" s="827"/>
      <c r="AAD19" s="827"/>
      <c r="AAE19" s="827"/>
      <c r="AAF19" s="827"/>
      <c r="AAG19" s="827"/>
      <c r="AAH19" s="827"/>
      <c r="AAI19" s="827"/>
      <c r="AAJ19" s="827"/>
      <c r="AAK19" s="827"/>
      <c r="AAL19" s="827"/>
      <c r="AAM19" s="827"/>
      <c r="AAN19" s="827"/>
      <c r="AAO19" s="827"/>
      <c r="AAP19" s="827"/>
      <c r="AAQ19" s="827"/>
      <c r="AAR19" s="827"/>
      <c r="AAS19" s="827"/>
      <c r="AAT19" s="827"/>
      <c r="AAU19" s="827"/>
      <c r="AAV19" s="827"/>
      <c r="AAW19" s="827"/>
      <c r="AAX19" s="827"/>
      <c r="AAY19" s="827"/>
      <c r="AAZ19" s="827"/>
      <c r="ABA19" s="827"/>
      <c r="ABB19" s="827"/>
      <c r="ABC19" s="827"/>
      <c r="ABD19" s="827"/>
      <c r="ABE19" s="827"/>
      <c r="ABF19" s="827"/>
      <c r="ABG19" s="827"/>
      <c r="ABH19" s="827"/>
      <c r="ABI19" s="827"/>
      <c r="ABJ19" s="827"/>
      <c r="ABK19" s="827"/>
      <c r="ABL19" s="827"/>
      <c r="ABM19" s="827"/>
      <c r="ABN19" s="827"/>
      <c r="ABO19" s="827"/>
      <c r="ABP19" s="827"/>
      <c r="ABQ19" s="827"/>
      <c r="ABR19" s="827"/>
      <c r="ABS19" s="827"/>
      <c r="ABT19" s="827"/>
      <c r="ABU19" s="827"/>
      <c r="ABV19" s="827"/>
      <c r="ABW19" s="827"/>
      <c r="ABX19" s="827"/>
      <c r="ABY19" s="827"/>
      <c r="ABZ19" s="827"/>
      <c r="ACA19" s="827"/>
      <c r="ACB19" s="827"/>
      <c r="ACC19" s="827"/>
      <c r="ACD19" s="827"/>
      <c r="ACE19" s="827"/>
      <c r="ACF19" s="827"/>
      <c r="ACG19" s="827"/>
      <c r="ACH19" s="827"/>
      <c r="ACI19" s="827"/>
      <c r="ACJ19" s="827"/>
      <c r="ACK19" s="827"/>
      <c r="ACL19" s="827"/>
      <c r="ACM19" s="827"/>
      <c r="ACN19" s="827"/>
      <c r="ACO19" s="827"/>
      <c r="ACP19" s="827"/>
      <c r="ACQ19" s="827"/>
      <c r="ACR19" s="827"/>
      <c r="ACS19" s="827"/>
      <c r="ACT19" s="827"/>
      <c r="ACU19" s="827"/>
      <c r="ACV19" s="827"/>
      <c r="ACW19" s="827"/>
      <c r="ACX19" s="827"/>
      <c r="ACY19" s="827"/>
      <c r="ACZ19" s="827"/>
      <c r="ADA19" s="827"/>
      <c r="ADB19" s="827"/>
      <c r="ADC19" s="827"/>
      <c r="ADD19" s="827"/>
      <c r="ADE19" s="827"/>
      <c r="ADF19" s="827"/>
      <c r="ADG19" s="827"/>
      <c r="ADH19" s="827"/>
      <c r="ADI19" s="827"/>
      <c r="ADJ19" s="827"/>
      <c r="ADK19" s="827"/>
      <c r="ADL19" s="827"/>
      <c r="ADM19" s="827"/>
      <c r="ADN19" s="827"/>
      <c r="ADO19" s="827"/>
      <c r="ADP19" s="827"/>
      <c r="ADQ19" s="827"/>
      <c r="ADR19" s="827"/>
      <c r="ADS19" s="827"/>
      <c r="ADT19" s="827"/>
      <c r="ADU19" s="827"/>
      <c r="ADV19" s="827"/>
      <c r="ADW19" s="827"/>
      <c r="ADX19" s="827"/>
      <c r="ADY19" s="827"/>
      <c r="ADZ19" s="827"/>
      <c r="AEA19" s="827"/>
      <c r="AEB19" s="827"/>
      <c r="AEC19" s="827"/>
      <c r="AED19" s="827"/>
      <c r="AEE19" s="827"/>
      <c r="AEF19" s="827"/>
      <c r="AEG19" s="827"/>
      <c r="AEH19" s="827"/>
      <c r="AEI19" s="827"/>
      <c r="AEJ19" s="827"/>
      <c r="AEK19" s="827"/>
      <c r="AEL19" s="827"/>
      <c r="AEM19" s="827"/>
      <c r="AEN19" s="827"/>
      <c r="AEO19" s="827"/>
      <c r="AEP19" s="827"/>
      <c r="AEQ19" s="827"/>
      <c r="AER19" s="827"/>
      <c r="AES19" s="827"/>
      <c r="AET19" s="827"/>
      <c r="AEU19" s="827"/>
      <c r="AEV19" s="827"/>
      <c r="AEW19" s="827"/>
      <c r="AEX19" s="827"/>
      <c r="AEY19" s="827"/>
      <c r="AEZ19" s="827"/>
      <c r="AFA19" s="827"/>
      <c r="AFB19" s="827"/>
      <c r="AFC19" s="827"/>
      <c r="AFD19" s="827"/>
      <c r="AFE19" s="827"/>
      <c r="AFF19" s="827"/>
      <c r="AFG19" s="827"/>
      <c r="AFH19" s="827"/>
      <c r="AFI19" s="827"/>
      <c r="AFJ19" s="827"/>
      <c r="AFK19" s="827"/>
      <c r="AFL19" s="827"/>
      <c r="AFM19" s="827"/>
      <c r="AFN19" s="827"/>
      <c r="AFO19" s="827"/>
      <c r="AFP19" s="827"/>
      <c r="AFQ19" s="827"/>
      <c r="AFR19" s="827"/>
      <c r="AFS19" s="827"/>
      <c r="AFT19" s="827"/>
      <c r="AFU19" s="827"/>
      <c r="AFV19" s="827"/>
      <c r="AFW19" s="827"/>
      <c r="AFX19" s="827"/>
      <c r="AFY19" s="827"/>
      <c r="AFZ19" s="827"/>
      <c r="AGA19" s="827"/>
      <c r="AGB19" s="827"/>
      <c r="AGC19" s="827"/>
      <c r="AGD19" s="827"/>
      <c r="AGE19" s="827"/>
      <c r="AGF19" s="827"/>
      <c r="AGG19" s="827"/>
      <c r="AGH19" s="827"/>
      <c r="AGI19" s="827"/>
      <c r="AGJ19" s="827"/>
      <c r="AGK19" s="827"/>
      <c r="AGL19" s="827"/>
      <c r="AGM19" s="827"/>
      <c r="AGN19" s="827"/>
      <c r="AGO19" s="827"/>
      <c r="AGP19" s="827"/>
      <c r="AGQ19" s="827"/>
      <c r="AGR19" s="827"/>
      <c r="AGS19" s="827"/>
      <c r="AGT19" s="827"/>
      <c r="AGU19" s="827"/>
      <c r="AGV19" s="827"/>
      <c r="AGW19" s="827"/>
      <c r="AGX19" s="827"/>
      <c r="AGY19" s="827"/>
      <c r="AGZ19" s="827"/>
      <c r="AHA19" s="827"/>
      <c r="AHB19" s="827"/>
      <c r="AHC19" s="827"/>
      <c r="AHD19" s="827"/>
      <c r="AHE19" s="827"/>
      <c r="AHF19" s="827"/>
      <c r="AHG19" s="827"/>
      <c r="AHH19" s="827"/>
      <c r="AHI19" s="827"/>
      <c r="AHJ19" s="827"/>
      <c r="AHK19" s="827"/>
      <c r="AHL19" s="827"/>
      <c r="AHM19" s="827"/>
      <c r="AHN19" s="827"/>
      <c r="AHO19" s="827"/>
      <c r="AHP19" s="827"/>
      <c r="AHQ19" s="827"/>
      <c r="AHR19" s="827"/>
      <c r="AHS19" s="827"/>
      <c r="AHT19" s="827"/>
      <c r="AHU19" s="827"/>
      <c r="AHV19" s="827"/>
      <c r="AHW19" s="827"/>
      <c r="AHX19" s="827"/>
      <c r="AHY19" s="827"/>
      <c r="AHZ19" s="827"/>
      <c r="AIA19" s="827"/>
      <c r="AIB19" s="827"/>
      <c r="AIC19" s="827"/>
      <c r="AID19" s="827"/>
      <c r="AIE19" s="827"/>
      <c r="AIF19" s="827"/>
      <c r="AIG19" s="827"/>
      <c r="AIH19" s="827"/>
      <c r="AII19" s="827"/>
      <c r="AIJ19" s="827"/>
      <c r="AIK19" s="827"/>
      <c r="AIL19" s="827"/>
      <c r="AIM19" s="827"/>
      <c r="AIN19" s="827"/>
      <c r="AIO19" s="827"/>
      <c r="AIP19" s="827"/>
      <c r="AIQ19" s="827"/>
      <c r="AIR19" s="827"/>
      <c r="AIS19" s="827"/>
      <c r="AIT19" s="827"/>
      <c r="AIU19" s="827"/>
      <c r="AIV19" s="827"/>
      <c r="AIW19" s="827"/>
      <c r="AIX19" s="827"/>
      <c r="AIY19" s="827"/>
      <c r="AIZ19" s="827"/>
      <c r="AJA19" s="827"/>
      <c r="AJB19" s="827"/>
      <c r="AJC19" s="827"/>
      <c r="AJD19" s="827"/>
      <c r="AJE19" s="827"/>
      <c r="AJF19" s="827"/>
      <c r="AJG19" s="827"/>
      <c r="AJH19" s="827"/>
      <c r="AJI19" s="827"/>
      <c r="AJJ19" s="827"/>
      <c r="AJK19" s="827"/>
      <c r="AJL19" s="827"/>
      <c r="AJM19" s="827"/>
      <c r="AJN19" s="827"/>
      <c r="AJO19" s="827"/>
      <c r="AJP19" s="827"/>
      <c r="AJQ19" s="827"/>
      <c r="AJR19" s="827"/>
      <c r="AJS19" s="827"/>
      <c r="AJT19" s="827"/>
      <c r="AJU19" s="827"/>
      <c r="AJV19" s="827"/>
      <c r="AJW19" s="827"/>
      <c r="AJX19" s="827"/>
      <c r="AJY19" s="827"/>
      <c r="AJZ19" s="827"/>
      <c r="AKA19" s="827"/>
      <c r="AKB19" s="827"/>
      <c r="AKC19" s="827"/>
      <c r="AKD19" s="827"/>
      <c r="AKE19" s="827"/>
      <c r="AKF19" s="827"/>
      <c r="AKG19" s="827"/>
      <c r="AKH19" s="827"/>
      <c r="AKI19" s="827"/>
      <c r="AKJ19" s="827"/>
      <c r="AKK19" s="827"/>
      <c r="AKL19" s="827"/>
      <c r="AKM19" s="827"/>
      <c r="AKN19" s="827"/>
      <c r="AKO19" s="827"/>
      <c r="AKP19" s="827"/>
      <c r="AKQ19" s="827"/>
      <c r="AKR19" s="827"/>
      <c r="AKS19" s="827"/>
      <c r="AKT19" s="827"/>
      <c r="AKU19" s="827"/>
      <c r="AKV19" s="827"/>
      <c r="AKW19" s="827"/>
      <c r="AKX19" s="827"/>
      <c r="AKY19" s="827"/>
      <c r="AKZ19" s="827"/>
      <c r="ALA19" s="827"/>
      <c r="ALB19" s="827"/>
      <c r="ALC19" s="827"/>
      <c r="ALD19" s="827"/>
      <c r="ALE19" s="827"/>
      <c r="ALF19" s="827"/>
      <c r="ALG19" s="827"/>
      <c r="ALH19" s="827"/>
      <c r="ALI19" s="827"/>
      <c r="ALJ19" s="827"/>
      <c r="ALK19" s="827"/>
      <c r="ALL19" s="827"/>
      <c r="ALM19" s="827"/>
      <c r="ALN19" s="827"/>
      <c r="ALO19" s="827"/>
      <c r="ALP19" s="827"/>
      <c r="ALQ19" s="827"/>
      <c r="ALR19" s="827"/>
      <c r="ALS19" s="827"/>
      <c r="ALT19" s="827"/>
      <c r="ALU19" s="827"/>
      <c r="ALV19" s="827"/>
      <c r="ALW19" s="827"/>
      <c r="ALX19" s="827"/>
      <c r="ALY19" s="827"/>
      <c r="ALZ19" s="827"/>
      <c r="AMA19" s="827"/>
      <c r="AMB19" s="827"/>
      <c r="AMC19" s="827"/>
      <c r="AMD19" s="827"/>
      <c r="AME19" s="827"/>
      <c r="AMF19" s="827"/>
      <c r="AMG19" s="827"/>
      <c r="AMH19" s="827"/>
      <c r="AMI19" s="827"/>
      <c r="AMJ19" s="827"/>
      <c r="AMK19" s="827"/>
      <c r="AML19" s="827"/>
      <c r="AMM19" s="827"/>
      <c r="AMN19" s="827"/>
      <c r="AMO19" s="827"/>
      <c r="AMP19" s="827"/>
      <c r="AMQ19" s="827"/>
      <c r="AMR19" s="827"/>
      <c r="AMS19" s="827"/>
      <c r="AMT19" s="827"/>
      <c r="AMU19" s="827"/>
      <c r="AMV19" s="827"/>
      <c r="AMW19" s="827"/>
      <c r="AMX19" s="827"/>
      <c r="AMY19" s="827"/>
      <c r="AMZ19" s="827"/>
      <c r="ANA19" s="827"/>
      <c r="ANB19" s="827"/>
      <c r="ANC19" s="827"/>
      <c r="AND19" s="827"/>
      <c r="ANE19" s="827"/>
      <c r="ANF19" s="827"/>
      <c r="ANG19" s="827"/>
      <c r="ANH19" s="827"/>
      <c r="ANI19" s="827"/>
      <c r="ANJ19" s="827"/>
      <c r="ANK19" s="827"/>
      <c r="ANL19" s="827"/>
      <c r="ANM19" s="827"/>
      <c r="ANN19" s="827"/>
      <c r="ANO19" s="827"/>
      <c r="ANP19" s="827"/>
      <c r="ANQ19" s="827"/>
      <c r="ANR19" s="827"/>
      <c r="ANS19" s="827"/>
      <c r="ANT19" s="827"/>
      <c r="ANU19" s="827"/>
      <c r="ANV19" s="827"/>
      <c r="ANW19" s="827"/>
      <c r="ANX19" s="827"/>
      <c r="ANY19" s="827"/>
      <c r="ANZ19" s="827"/>
      <c r="AOA19" s="827"/>
      <c r="AOB19" s="827"/>
      <c r="AOC19" s="827"/>
      <c r="AOD19" s="827"/>
      <c r="AOE19" s="827"/>
      <c r="AOF19" s="827"/>
      <c r="AOG19" s="827"/>
      <c r="AOH19" s="827"/>
      <c r="AOI19" s="827"/>
      <c r="AOJ19" s="827"/>
      <c r="AOK19" s="827"/>
      <c r="AOL19" s="827"/>
      <c r="AOM19" s="827"/>
      <c r="AON19" s="827"/>
      <c r="AOO19" s="827"/>
      <c r="AOP19" s="827"/>
      <c r="AOQ19" s="827"/>
      <c r="AOR19" s="827"/>
      <c r="AOS19" s="827"/>
      <c r="AOT19" s="827"/>
      <c r="AOU19" s="827"/>
      <c r="AOV19" s="827"/>
      <c r="AOW19" s="827"/>
      <c r="AOX19" s="827"/>
      <c r="AOY19" s="827"/>
      <c r="AOZ19" s="827"/>
      <c r="APA19" s="827"/>
      <c r="APB19" s="827"/>
      <c r="APC19" s="827"/>
      <c r="APD19" s="827"/>
      <c r="APE19" s="827"/>
      <c r="APF19" s="827"/>
      <c r="APG19" s="827"/>
      <c r="APH19" s="827"/>
      <c r="API19" s="827"/>
      <c r="APJ19" s="827"/>
      <c r="APK19" s="827"/>
      <c r="APL19" s="827"/>
      <c r="APM19" s="827"/>
      <c r="APN19" s="827"/>
      <c r="APO19" s="827"/>
      <c r="APP19" s="827"/>
      <c r="APQ19" s="827"/>
      <c r="APR19" s="827"/>
      <c r="APS19" s="827"/>
      <c r="APT19" s="827"/>
      <c r="APU19" s="827"/>
      <c r="APV19" s="827"/>
      <c r="APW19" s="827"/>
      <c r="APX19" s="827"/>
      <c r="APY19" s="827"/>
      <c r="APZ19" s="827"/>
      <c r="AQA19" s="827"/>
      <c r="AQB19" s="827"/>
      <c r="AQC19" s="827"/>
      <c r="AQD19" s="827"/>
      <c r="AQE19" s="827"/>
      <c r="AQF19" s="827"/>
      <c r="AQG19" s="827"/>
      <c r="AQH19" s="827"/>
      <c r="AQI19" s="827"/>
      <c r="AQJ19" s="827"/>
      <c r="AQK19" s="827"/>
      <c r="AQL19" s="827"/>
      <c r="AQM19" s="827"/>
      <c r="AQN19" s="827"/>
      <c r="AQO19" s="827"/>
      <c r="AQP19" s="827"/>
      <c r="AQQ19" s="827"/>
      <c r="AQR19" s="827"/>
      <c r="AQS19" s="827"/>
      <c r="AQT19" s="827"/>
      <c r="AQU19" s="827"/>
      <c r="AQV19" s="827"/>
      <c r="AQW19" s="827"/>
      <c r="AQX19" s="827"/>
      <c r="AQY19" s="827"/>
      <c r="AQZ19" s="827"/>
      <c r="ARA19" s="827"/>
      <c r="ARB19" s="827"/>
      <c r="ARC19" s="827"/>
      <c r="ARD19" s="827"/>
      <c r="ARE19" s="827"/>
      <c r="ARF19" s="827"/>
      <c r="ARG19" s="827"/>
      <c r="ARH19" s="827"/>
      <c r="ARI19" s="827"/>
      <c r="ARJ19" s="827"/>
      <c r="ARK19" s="827"/>
      <c r="ARL19" s="827"/>
      <c r="ARM19" s="827"/>
      <c r="ARN19" s="827"/>
      <c r="ARO19" s="827"/>
      <c r="ARP19" s="827"/>
      <c r="ARQ19" s="827"/>
      <c r="ARR19" s="827"/>
      <c r="ARS19" s="827"/>
      <c r="ART19" s="827"/>
      <c r="ARU19" s="827"/>
      <c r="ARV19" s="827"/>
      <c r="ARW19" s="827"/>
      <c r="ARX19" s="827"/>
      <c r="ARY19" s="827"/>
      <c r="ARZ19" s="827"/>
      <c r="ASA19" s="827"/>
      <c r="ASB19" s="827"/>
      <c r="ASC19" s="827"/>
      <c r="ASD19" s="827"/>
      <c r="ASE19" s="827"/>
      <c r="ASF19" s="827"/>
      <c r="ASG19" s="827"/>
      <c r="ASH19" s="827"/>
      <c r="ASI19" s="827"/>
      <c r="ASJ19" s="827"/>
      <c r="ASK19" s="827"/>
      <c r="ASL19" s="827"/>
      <c r="ASM19" s="827"/>
      <c r="ASN19" s="827"/>
      <c r="ASO19" s="827"/>
      <c r="ASP19" s="827"/>
      <c r="ASQ19" s="827"/>
      <c r="ASR19" s="827"/>
      <c r="ASS19" s="827"/>
      <c r="AST19" s="827"/>
      <c r="ASU19" s="827"/>
      <c r="ASV19" s="827"/>
      <c r="ASW19" s="827"/>
      <c r="ASX19" s="827"/>
      <c r="ASY19" s="827"/>
      <c r="ASZ19" s="827"/>
      <c r="ATA19" s="827"/>
      <c r="ATB19" s="827"/>
      <c r="ATC19" s="827"/>
      <c r="ATD19" s="827"/>
      <c r="ATE19" s="827"/>
      <c r="ATF19" s="827"/>
      <c r="ATG19" s="827"/>
      <c r="ATH19" s="827"/>
      <c r="ATI19" s="827"/>
      <c r="ATJ19" s="827"/>
      <c r="ATK19" s="827"/>
      <c r="ATL19" s="827"/>
      <c r="ATM19" s="827"/>
      <c r="ATN19" s="827"/>
      <c r="ATO19" s="827"/>
      <c r="ATP19" s="827"/>
      <c r="ATQ19" s="827"/>
      <c r="ATR19" s="827"/>
      <c r="ATS19" s="827"/>
      <c r="ATT19" s="827"/>
      <c r="ATU19" s="827"/>
      <c r="ATV19" s="827"/>
      <c r="ATW19" s="827"/>
      <c r="ATX19" s="827"/>
      <c r="ATY19" s="827"/>
      <c r="ATZ19" s="827"/>
      <c r="AUA19" s="827"/>
      <c r="AUB19" s="827"/>
      <c r="AUC19" s="827"/>
      <c r="AUD19" s="827"/>
      <c r="AUE19" s="827"/>
      <c r="AUF19" s="827"/>
      <c r="AUG19" s="827"/>
      <c r="AUH19" s="827"/>
      <c r="AUI19" s="827"/>
      <c r="AUJ19" s="827"/>
      <c r="AUK19" s="827"/>
      <c r="AUL19" s="827"/>
      <c r="AUM19" s="827"/>
      <c r="AUN19" s="827"/>
      <c r="AUO19" s="827"/>
      <c r="AUP19" s="827"/>
      <c r="AUQ19" s="827"/>
      <c r="AUR19" s="827"/>
      <c r="AUS19" s="827"/>
      <c r="AUT19" s="827"/>
      <c r="AUU19" s="827"/>
      <c r="AUV19" s="827"/>
      <c r="AUW19" s="827"/>
      <c r="AUX19" s="827"/>
      <c r="AUY19" s="827"/>
      <c r="AUZ19" s="827"/>
      <c r="AVA19" s="827"/>
      <c r="AVB19" s="827"/>
      <c r="AVC19" s="827"/>
      <c r="AVD19" s="827"/>
      <c r="AVE19" s="827"/>
      <c r="AVF19" s="827"/>
      <c r="AVG19" s="827"/>
      <c r="AVH19" s="827"/>
      <c r="AVI19" s="827"/>
      <c r="AVJ19" s="827"/>
      <c r="AVK19" s="827"/>
      <c r="AVL19" s="827"/>
      <c r="AVM19" s="827"/>
      <c r="AVN19" s="827"/>
      <c r="AVO19" s="827"/>
      <c r="AVP19" s="827"/>
      <c r="AVQ19" s="827"/>
      <c r="AVR19" s="827"/>
      <c r="AVS19" s="827"/>
      <c r="AVT19" s="827"/>
      <c r="AVU19" s="827"/>
      <c r="AVV19" s="827"/>
      <c r="AVW19" s="827"/>
      <c r="AVX19" s="827"/>
      <c r="AVY19" s="827"/>
      <c r="AVZ19" s="827"/>
      <c r="AWA19" s="827"/>
      <c r="AWB19" s="827"/>
      <c r="AWC19" s="827"/>
      <c r="AWD19" s="827"/>
      <c r="AWE19" s="827"/>
      <c r="AWF19" s="827"/>
      <c r="AWG19" s="827"/>
      <c r="AWH19" s="827"/>
      <c r="AWI19" s="827"/>
      <c r="AWJ19" s="827"/>
      <c r="AWK19" s="827"/>
      <c r="AWL19" s="827"/>
      <c r="AWM19" s="827"/>
      <c r="AWN19" s="827"/>
      <c r="AWO19" s="827"/>
      <c r="AWP19" s="827"/>
      <c r="AWQ19" s="827"/>
      <c r="AWR19" s="827"/>
      <c r="AWS19" s="827"/>
      <c r="AWT19" s="827"/>
      <c r="AWU19" s="827"/>
      <c r="AWV19" s="827"/>
      <c r="AWW19" s="827"/>
      <c r="AWX19" s="827"/>
      <c r="AWY19" s="827"/>
      <c r="AWZ19" s="827"/>
      <c r="AXA19" s="827"/>
      <c r="AXB19" s="827"/>
      <c r="AXC19" s="827"/>
      <c r="AXD19" s="827"/>
      <c r="AXE19" s="827"/>
      <c r="AXF19" s="827"/>
      <c r="AXG19" s="827"/>
      <c r="AXH19" s="827"/>
      <c r="AXI19" s="827"/>
      <c r="AXJ19" s="827"/>
      <c r="AXK19" s="827"/>
      <c r="AXL19" s="827"/>
      <c r="AXM19" s="827"/>
      <c r="AXN19" s="827"/>
      <c r="AXO19" s="827"/>
      <c r="AXP19" s="827"/>
      <c r="AXQ19" s="827"/>
      <c r="AXR19" s="827"/>
      <c r="AXS19" s="827"/>
      <c r="AXT19" s="827"/>
      <c r="AXU19" s="827"/>
      <c r="AXV19" s="827"/>
      <c r="AXW19" s="827"/>
      <c r="AXX19" s="827"/>
      <c r="AXY19" s="827"/>
      <c r="AXZ19" s="827"/>
      <c r="AYA19" s="827"/>
      <c r="AYB19" s="827"/>
      <c r="AYC19" s="827"/>
      <c r="AYD19" s="827"/>
      <c r="AYE19" s="827"/>
      <c r="AYF19" s="827"/>
      <c r="AYG19" s="827"/>
      <c r="AYH19" s="827"/>
      <c r="AYI19" s="827"/>
      <c r="AYJ19" s="827"/>
      <c r="AYK19" s="827"/>
      <c r="AYL19" s="827"/>
      <c r="AYM19" s="827"/>
      <c r="AYN19" s="827"/>
      <c r="AYO19" s="827"/>
      <c r="AYP19" s="827"/>
      <c r="AYQ19" s="827"/>
      <c r="AYR19" s="827"/>
      <c r="AYS19" s="827"/>
      <c r="AYT19" s="827"/>
      <c r="AYU19" s="827"/>
      <c r="AYV19" s="827"/>
      <c r="AYW19" s="827"/>
      <c r="AYX19" s="827"/>
      <c r="AYY19" s="827"/>
      <c r="AYZ19" s="827"/>
      <c r="AZA19" s="827"/>
      <c r="AZB19" s="827"/>
      <c r="AZC19" s="827"/>
      <c r="AZD19" s="827"/>
      <c r="AZE19" s="827"/>
      <c r="AZF19" s="827"/>
      <c r="AZG19" s="827"/>
      <c r="AZH19" s="827"/>
      <c r="AZI19" s="827"/>
      <c r="AZJ19" s="827"/>
      <c r="AZK19" s="827"/>
      <c r="AZL19" s="827"/>
      <c r="AZM19" s="827"/>
      <c r="AZN19" s="827"/>
      <c r="AZO19" s="827"/>
      <c r="AZP19" s="827"/>
      <c r="AZQ19" s="827"/>
      <c r="AZR19" s="827"/>
      <c r="AZS19" s="827"/>
      <c r="AZT19" s="827"/>
      <c r="AZU19" s="827"/>
      <c r="AZV19" s="827"/>
      <c r="AZW19" s="827"/>
      <c r="AZX19" s="827"/>
      <c r="AZY19" s="827"/>
      <c r="AZZ19" s="827"/>
      <c r="BAA19" s="827"/>
      <c r="BAB19" s="827"/>
      <c r="BAC19" s="827"/>
      <c r="BAD19" s="827"/>
      <c r="BAE19" s="827"/>
      <c r="BAF19" s="827"/>
      <c r="BAG19" s="827"/>
      <c r="BAH19" s="827"/>
      <c r="BAI19" s="827"/>
      <c r="BAJ19" s="827"/>
      <c r="BAK19" s="827"/>
      <c r="BAL19" s="827"/>
      <c r="BAM19" s="827"/>
      <c r="BAN19" s="827"/>
      <c r="BAO19" s="827"/>
      <c r="BAP19" s="827"/>
      <c r="BAQ19" s="827"/>
      <c r="BAR19" s="827"/>
      <c r="BAS19" s="827"/>
      <c r="BAT19" s="827"/>
      <c r="BAU19" s="827"/>
      <c r="BAV19" s="827"/>
      <c r="BAW19" s="827"/>
      <c r="BAX19" s="827"/>
      <c r="BAY19" s="827"/>
      <c r="BAZ19" s="827"/>
      <c r="BBA19" s="827"/>
      <c r="BBB19" s="827"/>
      <c r="BBC19" s="827"/>
      <c r="BBD19" s="827"/>
      <c r="BBE19" s="827"/>
      <c r="BBF19" s="827"/>
      <c r="BBG19" s="827"/>
      <c r="BBH19" s="827"/>
      <c r="BBI19" s="827"/>
      <c r="BBJ19" s="827"/>
      <c r="BBK19" s="827"/>
      <c r="BBL19" s="827"/>
      <c r="BBM19" s="827"/>
      <c r="BBN19" s="827"/>
      <c r="BBO19" s="827"/>
      <c r="BBP19" s="827"/>
      <c r="BBQ19" s="827"/>
      <c r="BBR19" s="827"/>
      <c r="BBS19" s="827"/>
      <c r="BBT19" s="827"/>
      <c r="BBU19" s="827"/>
      <c r="BBV19" s="827"/>
      <c r="BBW19" s="827"/>
      <c r="BBX19" s="827"/>
      <c r="BBY19" s="827"/>
      <c r="BBZ19" s="827"/>
      <c r="BCA19" s="827"/>
      <c r="BCB19" s="827"/>
      <c r="BCC19" s="827"/>
      <c r="BCD19" s="827"/>
      <c r="BCE19" s="827"/>
      <c r="BCF19" s="827"/>
      <c r="BCG19" s="827"/>
      <c r="BCH19" s="827"/>
      <c r="BCI19" s="827"/>
      <c r="BCJ19" s="827"/>
      <c r="BCK19" s="827"/>
      <c r="BCL19" s="827"/>
      <c r="BCM19" s="827"/>
      <c r="BCN19" s="827"/>
      <c r="BCO19" s="827"/>
      <c r="BCP19" s="827"/>
      <c r="BCQ19" s="827"/>
      <c r="BCR19" s="827"/>
      <c r="BCS19" s="827"/>
      <c r="BCT19" s="827"/>
      <c r="BCU19" s="827"/>
      <c r="BCV19" s="827"/>
      <c r="BCW19" s="827"/>
      <c r="BCX19" s="827"/>
      <c r="BCY19" s="827"/>
      <c r="BCZ19" s="827"/>
      <c r="BDA19" s="827"/>
      <c r="BDB19" s="827"/>
      <c r="BDC19" s="827"/>
      <c r="BDD19" s="827"/>
      <c r="BDE19" s="827"/>
      <c r="BDF19" s="827"/>
      <c r="BDG19" s="827"/>
      <c r="BDH19" s="827"/>
      <c r="BDI19" s="827"/>
      <c r="BDJ19" s="827"/>
      <c r="BDK19" s="827"/>
      <c r="BDL19" s="827"/>
      <c r="BDM19" s="827"/>
      <c r="BDN19" s="827"/>
      <c r="BDO19" s="827"/>
      <c r="BDP19" s="827"/>
      <c r="BDQ19" s="827"/>
      <c r="BDR19" s="827"/>
      <c r="BDS19" s="827"/>
      <c r="BDT19" s="827"/>
      <c r="BDU19" s="827"/>
      <c r="BDV19" s="827"/>
      <c r="BDW19" s="827"/>
      <c r="BDX19" s="827"/>
      <c r="BDY19" s="827"/>
      <c r="BDZ19" s="827"/>
      <c r="BEA19" s="827"/>
      <c r="BEB19" s="827"/>
      <c r="BEC19" s="827"/>
      <c r="BED19" s="827"/>
      <c r="BEE19" s="827"/>
      <c r="BEF19" s="827"/>
      <c r="BEG19" s="827"/>
      <c r="BEH19" s="827"/>
      <c r="BEI19" s="827"/>
      <c r="BEJ19" s="827"/>
      <c r="BEK19" s="827"/>
      <c r="BEL19" s="827"/>
      <c r="BEM19" s="827"/>
      <c r="BEN19" s="827"/>
      <c r="BEO19" s="827"/>
      <c r="BEP19" s="827"/>
      <c r="BEQ19" s="827"/>
      <c r="BER19" s="827"/>
      <c r="BES19" s="827"/>
      <c r="BET19" s="827"/>
      <c r="BEU19" s="827"/>
      <c r="BEV19" s="827"/>
      <c r="BEW19" s="827"/>
      <c r="BEX19" s="827"/>
      <c r="BEY19" s="827"/>
      <c r="BEZ19" s="827"/>
      <c r="BFA19" s="827"/>
      <c r="BFB19" s="827"/>
      <c r="BFC19" s="827"/>
      <c r="BFD19" s="827"/>
      <c r="BFE19" s="827"/>
      <c r="BFF19" s="827"/>
      <c r="BFG19" s="827"/>
      <c r="BFH19" s="827"/>
      <c r="BFI19" s="827"/>
      <c r="BFJ19" s="827"/>
      <c r="BFK19" s="827"/>
      <c r="BFL19" s="827"/>
      <c r="BFM19" s="827"/>
      <c r="BFN19" s="827"/>
      <c r="BFO19" s="827"/>
      <c r="BFP19" s="827"/>
      <c r="BFQ19" s="827"/>
      <c r="BFR19" s="827"/>
      <c r="BFS19" s="827"/>
      <c r="BFT19" s="827"/>
      <c r="BFU19" s="827"/>
      <c r="BFV19" s="827"/>
      <c r="BFW19" s="827"/>
      <c r="BFX19" s="827"/>
      <c r="BFY19" s="827"/>
      <c r="BFZ19" s="827"/>
      <c r="BGA19" s="827"/>
      <c r="BGB19" s="827"/>
      <c r="BGC19" s="827"/>
      <c r="BGD19" s="827"/>
      <c r="BGE19" s="827"/>
      <c r="BGF19" s="827"/>
      <c r="BGG19" s="827"/>
      <c r="BGH19" s="827"/>
      <c r="BGI19" s="827"/>
      <c r="BGJ19" s="827"/>
      <c r="BGK19" s="827"/>
      <c r="BGL19" s="827"/>
      <c r="BGM19" s="827"/>
      <c r="BGN19" s="827"/>
      <c r="BGO19" s="827"/>
      <c r="BGP19" s="827"/>
      <c r="BGQ19" s="827"/>
      <c r="BGR19" s="827"/>
      <c r="BGS19" s="827"/>
      <c r="BGT19" s="827"/>
      <c r="BGU19" s="827"/>
      <c r="BGV19" s="827"/>
      <c r="BGW19" s="827"/>
      <c r="BGX19" s="827"/>
      <c r="BGY19" s="827"/>
      <c r="BGZ19" s="827"/>
      <c r="BHA19" s="827"/>
      <c r="BHB19" s="827"/>
      <c r="BHC19" s="827"/>
      <c r="BHD19" s="827"/>
      <c r="BHE19" s="827"/>
      <c r="BHF19" s="827"/>
      <c r="BHG19" s="827"/>
      <c r="BHH19" s="827"/>
      <c r="BHI19" s="827"/>
      <c r="BHJ19" s="827"/>
      <c r="BHK19" s="827"/>
      <c r="BHL19" s="827"/>
      <c r="BHM19" s="827"/>
      <c r="BHN19" s="827"/>
      <c r="BHO19" s="827"/>
      <c r="BHP19" s="827"/>
      <c r="BHQ19" s="827"/>
      <c r="BHR19" s="827"/>
      <c r="BHS19" s="827"/>
      <c r="BHT19" s="827"/>
      <c r="BHU19" s="827"/>
      <c r="BHV19" s="827"/>
      <c r="BHW19" s="827"/>
      <c r="BHX19" s="827"/>
      <c r="BHY19" s="827"/>
      <c r="BHZ19" s="827"/>
      <c r="BIA19" s="827"/>
      <c r="BIB19" s="827"/>
      <c r="BIC19" s="827"/>
      <c r="BID19" s="827"/>
      <c r="BIE19" s="827"/>
      <c r="BIF19" s="827"/>
      <c r="BIG19" s="827"/>
      <c r="BIH19" s="827"/>
      <c r="BII19" s="827"/>
      <c r="BIJ19" s="827"/>
      <c r="BIK19" s="827"/>
      <c r="BIL19" s="827"/>
      <c r="BIM19" s="827"/>
      <c r="BIN19" s="827"/>
      <c r="BIO19" s="827"/>
      <c r="BIP19" s="827"/>
      <c r="BIQ19" s="827"/>
      <c r="BIR19" s="827"/>
      <c r="BIS19" s="827"/>
      <c r="BIT19" s="827"/>
      <c r="BIU19" s="827"/>
      <c r="BIV19" s="827"/>
      <c r="BIW19" s="827"/>
      <c r="BIX19" s="827"/>
      <c r="BIY19" s="827"/>
      <c r="BIZ19" s="827"/>
      <c r="BJA19" s="827"/>
      <c r="BJB19" s="827"/>
      <c r="BJC19" s="827"/>
      <c r="BJD19" s="827"/>
      <c r="BJE19" s="827"/>
      <c r="BJF19" s="827"/>
      <c r="BJG19" s="827"/>
      <c r="BJH19" s="827"/>
      <c r="BJI19" s="827"/>
      <c r="BJJ19" s="827"/>
      <c r="BJK19" s="827"/>
      <c r="BJL19" s="827"/>
      <c r="BJM19" s="827"/>
      <c r="BJN19" s="827"/>
      <c r="BJO19" s="827"/>
      <c r="BJP19" s="827"/>
      <c r="BJQ19" s="827"/>
      <c r="BJR19" s="827"/>
      <c r="BJS19" s="827"/>
      <c r="BJT19" s="827"/>
      <c r="BJU19" s="827"/>
      <c r="BJV19" s="827"/>
      <c r="BJW19" s="827"/>
      <c r="BJX19" s="827"/>
      <c r="BJY19" s="827"/>
      <c r="BJZ19" s="827"/>
      <c r="BKA19" s="827"/>
      <c r="BKB19" s="827"/>
      <c r="BKC19" s="827"/>
      <c r="BKD19" s="827"/>
      <c r="BKE19" s="827"/>
      <c r="BKF19" s="827"/>
      <c r="BKG19" s="827"/>
      <c r="BKH19" s="827"/>
      <c r="BKI19" s="827"/>
      <c r="BKJ19" s="827"/>
      <c r="BKK19" s="827"/>
      <c r="BKL19" s="827"/>
      <c r="BKM19" s="827"/>
      <c r="BKN19" s="827"/>
      <c r="BKO19" s="827"/>
      <c r="BKP19" s="827"/>
      <c r="BKQ19" s="827"/>
      <c r="BKR19" s="827"/>
      <c r="BKS19" s="827"/>
      <c r="BKT19" s="827"/>
      <c r="BKU19" s="827"/>
      <c r="BKV19" s="827"/>
      <c r="BKW19" s="827"/>
      <c r="BKX19" s="827"/>
      <c r="BKY19" s="827"/>
      <c r="BKZ19" s="827"/>
      <c r="BLA19" s="827"/>
      <c r="BLB19" s="827"/>
      <c r="BLC19" s="827"/>
      <c r="BLD19" s="827"/>
      <c r="BLE19" s="827"/>
      <c r="BLF19" s="827"/>
      <c r="BLG19" s="827"/>
      <c r="BLH19" s="827"/>
      <c r="BLI19" s="827"/>
      <c r="BLJ19" s="827"/>
      <c r="BLK19" s="827"/>
      <c r="BLL19" s="827"/>
      <c r="BLM19" s="827"/>
      <c r="BLN19" s="827"/>
      <c r="BLO19" s="827"/>
      <c r="BLP19" s="827"/>
      <c r="BLQ19" s="827"/>
      <c r="BLR19" s="827"/>
      <c r="BLS19" s="827"/>
      <c r="BLT19" s="827"/>
      <c r="BLU19" s="827"/>
      <c r="BLV19" s="827"/>
      <c r="BLW19" s="827"/>
      <c r="BLX19" s="827"/>
      <c r="BLY19" s="827"/>
      <c r="BLZ19" s="827"/>
      <c r="BMA19" s="827"/>
      <c r="BMB19" s="827"/>
      <c r="BMC19" s="827"/>
      <c r="BMD19" s="827"/>
      <c r="BME19" s="827"/>
      <c r="BMF19" s="827"/>
      <c r="BMG19" s="827"/>
      <c r="BMH19" s="827"/>
      <c r="BMI19" s="827"/>
      <c r="BMJ19" s="827"/>
      <c r="BMK19" s="827"/>
      <c r="BML19" s="827"/>
      <c r="BMM19" s="827"/>
      <c r="BMN19" s="827"/>
      <c r="BMO19" s="827"/>
      <c r="BMP19" s="827"/>
      <c r="BMQ19" s="827"/>
      <c r="BMR19" s="827"/>
      <c r="BMS19" s="827"/>
      <c r="BMT19" s="827"/>
      <c r="BMU19" s="827"/>
      <c r="BMV19" s="827"/>
      <c r="BMW19" s="827"/>
      <c r="BMX19" s="827"/>
      <c r="BMY19" s="827"/>
      <c r="BMZ19" s="827"/>
      <c r="BNA19" s="827"/>
      <c r="BNB19" s="827"/>
      <c r="BNC19" s="827"/>
      <c r="BND19" s="827"/>
      <c r="BNE19" s="827"/>
      <c r="BNF19" s="827"/>
      <c r="BNG19" s="827"/>
      <c r="BNH19" s="827"/>
      <c r="BNI19" s="827"/>
      <c r="BNJ19" s="827"/>
      <c r="BNK19" s="827"/>
      <c r="BNL19" s="827"/>
      <c r="BNM19" s="827"/>
      <c r="BNN19" s="827"/>
      <c r="BNO19" s="827"/>
      <c r="BNP19" s="827"/>
      <c r="BNQ19" s="827"/>
      <c r="BNR19" s="827"/>
      <c r="BNS19" s="827"/>
      <c r="BNT19" s="827"/>
      <c r="BNU19" s="827"/>
      <c r="BNV19" s="827"/>
      <c r="BNW19" s="827"/>
      <c r="BNX19" s="827"/>
      <c r="BNY19" s="827"/>
      <c r="BNZ19" s="827"/>
      <c r="BOA19" s="827"/>
      <c r="BOB19" s="827"/>
      <c r="BOC19" s="827"/>
      <c r="BOD19" s="827"/>
      <c r="BOE19" s="827"/>
      <c r="BOF19" s="827"/>
      <c r="BOG19" s="827"/>
      <c r="BOH19" s="827"/>
      <c r="BOI19" s="827"/>
      <c r="BOJ19" s="827"/>
      <c r="BOK19" s="827"/>
      <c r="BOL19" s="827"/>
      <c r="BOM19" s="827"/>
      <c r="BON19" s="827"/>
      <c r="BOO19" s="827"/>
      <c r="BOP19" s="827"/>
      <c r="BOQ19" s="827"/>
      <c r="BOR19" s="827"/>
      <c r="BOS19" s="827"/>
      <c r="BOT19" s="827"/>
      <c r="BOU19" s="827"/>
      <c r="BOV19" s="827"/>
      <c r="BOW19" s="827"/>
      <c r="BOX19" s="827"/>
      <c r="BOY19" s="827"/>
      <c r="BOZ19" s="827"/>
      <c r="BPA19" s="827"/>
      <c r="BPB19" s="827"/>
      <c r="BPC19" s="827"/>
      <c r="BPD19" s="827"/>
      <c r="BPE19" s="827"/>
      <c r="BPF19" s="827"/>
      <c r="BPG19" s="827"/>
      <c r="BPH19" s="827"/>
      <c r="BPI19" s="827"/>
      <c r="BPJ19" s="827"/>
      <c r="BPK19" s="827"/>
      <c r="BPL19" s="827"/>
      <c r="BPM19" s="827"/>
      <c r="BPN19" s="827"/>
      <c r="BPO19" s="827"/>
      <c r="BPP19" s="827"/>
      <c r="BPQ19" s="827"/>
      <c r="BPR19" s="827"/>
      <c r="BPS19" s="827"/>
      <c r="BPT19" s="827"/>
      <c r="BPU19" s="827"/>
      <c r="BPV19" s="827"/>
      <c r="BPW19" s="827"/>
      <c r="BPX19" s="827"/>
      <c r="BPY19" s="827"/>
      <c r="BPZ19" s="827"/>
      <c r="BQA19" s="827"/>
      <c r="BQB19" s="827"/>
      <c r="BQC19" s="827"/>
      <c r="BQD19" s="827"/>
      <c r="BQE19" s="827"/>
      <c r="BQF19" s="827"/>
      <c r="BQG19" s="827"/>
      <c r="BQH19" s="827"/>
      <c r="BQI19" s="827"/>
      <c r="BQJ19" s="827"/>
      <c r="BQK19" s="827"/>
      <c r="BQL19" s="827"/>
      <c r="BQM19" s="827"/>
      <c r="BQN19" s="827"/>
      <c r="BQO19" s="827"/>
      <c r="BQP19" s="827"/>
      <c r="BQQ19" s="827"/>
      <c r="BQR19" s="827"/>
      <c r="BQS19" s="827"/>
      <c r="BQT19" s="827"/>
      <c r="BQU19" s="827"/>
      <c r="BQV19" s="827"/>
      <c r="BQW19" s="827"/>
      <c r="BQX19" s="827"/>
      <c r="BQY19" s="827"/>
      <c r="BQZ19" s="827"/>
      <c r="BRA19" s="827"/>
      <c r="BRB19" s="827"/>
      <c r="BRC19" s="827"/>
      <c r="BRD19" s="827"/>
      <c r="BRE19" s="827"/>
      <c r="BRF19" s="827"/>
      <c r="BRG19" s="827"/>
      <c r="BRH19" s="827"/>
      <c r="BRI19" s="827"/>
      <c r="BRJ19" s="827"/>
      <c r="BRK19" s="827"/>
      <c r="BRL19" s="827"/>
      <c r="BRM19" s="827"/>
      <c r="BRN19" s="827"/>
      <c r="BRO19" s="827"/>
      <c r="BRP19" s="827"/>
      <c r="BRQ19" s="827"/>
      <c r="BRR19" s="827"/>
      <c r="BRS19" s="827"/>
      <c r="BRT19" s="827"/>
      <c r="BRU19" s="827"/>
      <c r="BRV19" s="827"/>
      <c r="BRW19" s="827"/>
      <c r="BRX19" s="827"/>
      <c r="BRY19" s="827"/>
      <c r="BRZ19" s="827"/>
      <c r="BSA19" s="827"/>
      <c r="BSB19" s="827"/>
      <c r="BSC19" s="827"/>
      <c r="BSD19" s="827"/>
      <c r="BSE19" s="827"/>
      <c r="BSF19" s="827"/>
      <c r="BSG19" s="827"/>
      <c r="BSH19" s="827"/>
      <c r="BSI19" s="827"/>
      <c r="BSJ19" s="827"/>
      <c r="BSK19" s="827"/>
      <c r="BSL19" s="827"/>
      <c r="BSM19" s="827"/>
      <c r="BSN19" s="827"/>
      <c r="BSO19" s="827"/>
      <c r="BSP19" s="827"/>
      <c r="BSQ19" s="827"/>
      <c r="BSR19" s="827"/>
      <c r="BSS19" s="827"/>
      <c r="BST19" s="827"/>
    </row>
    <row r="20" spans="1:1866" s="824" customFormat="1" ht="21.9" customHeight="1" x14ac:dyDescent="0.25">
      <c r="A20" s="827"/>
      <c r="B20" s="2526"/>
      <c r="C20" s="3162"/>
      <c r="D20" s="3163"/>
      <c r="E20" s="1437"/>
      <c r="F20" s="1437"/>
      <c r="G20" s="1437"/>
      <c r="H20" s="1437"/>
      <c r="I20" s="1437"/>
      <c r="J20" s="1437"/>
      <c r="K20" s="1437"/>
      <c r="L20" s="1437"/>
      <c r="M20" s="1437"/>
      <c r="N20" s="1437"/>
      <c r="O20" s="1437"/>
      <c r="P20" s="1437"/>
      <c r="Q20" s="1437"/>
      <c r="R20" s="1437"/>
      <c r="S20" s="1437"/>
      <c r="T20" s="1437"/>
      <c r="U20" s="1437"/>
      <c r="V20" s="1273"/>
      <c r="W20" s="834"/>
      <c r="X20" s="834"/>
      <c r="Y20" s="834"/>
      <c r="Z20" s="834"/>
      <c r="AA20" s="867"/>
      <c r="AB20" s="834"/>
      <c r="AC20" s="834"/>
      <c r="AD20" s="834"/>
      <c r="AE20" s="834"/>
      <c r="AF20" s="834"/>
      <c r="AG20" s="834"/>
      <c r="AH20" s="834"/>
      <c r="AI20" s="834"/>
      <c r="AJ20" s="834"/>
      <c r="AK20" s="834"/>
      <c r="AL20" s="834"/>
      <c r="AM20" s="827"/>
      <c r="AN20" s="827"/>
      <c r="AO20" s="827"/>
      <c r="AP20" s="827"/>
      <c r="AQ20" s="827"/>
      <c r="AR20" s="827"/>
      <c r="AS20" s="827"/>
      <c r="AT20" s="827"/>
      <c r="AU20" s="827"/>
      <c r="AV20" s="827"/>
      <c r="AW20" s="827"/>
      <c r="AX20" s="827"/>
      <c r="AY20" s="827"/>
      <c r="AZ20" s="827"/>
      <c r="BA20" s="827"/>
      <c r="BB20" s="827"/>
      <c r="BC20" s="827"/>
      <c r="BD20" s="827"/>
      <c r="BE20" s="827"/>
      <c r="BF20" s="827"/>
      <c r="BG20" s="827"/>
      <c r="BH20" s="827"/>
      <c r="BI20" s="827"/>
      <c r="BJ20" s="827"/>
      <c r="BK20" s="827"/>
      <c r="BL20" s="827"/>
      <c r="BM20" s="827"/>
      <c r="BN20" s="827"/>
      <c r="BO20" s="827"/>
      <c r="BP20" s="827"/>
      <c r="BQ20" s="827"/>
      <c r="BR20" s="827"/>
      <c r="BS20" s="827"/>
      <c r="BT20" s="827"/>
      <c r="BU20" s="827"/>
      <c r="BV20" s="827"/>
      <c r="BW20" s="827"/>
      <c r="BX20" s="827"/>
      <c r="BY20" s="827"/>
      <c r="BZ20" s="827"/>
      <c r="CA20" s="827"/>
      <c r="CB20" s="827"/>
      <c r="CC20" s="827"/>
      <c r="CD20" s="827"/>
      <c r="CE20" s="827"/>
      <c r="CF20" s="827"/>
      <c r="CG20" s="827"/>
      <c r="CH20" s="827"/>
      <c r="CI20" s="827"/>
      <c r="CJ20" s="827"/>
      <c r="CK20" s="827"/>
      <c r="CL20" s="827"/>
      <c r="CM20" s="827"/>
      <c r="CN20" s="827"/>
      <c r="CO20" s="827"/>
      <c r="CP20" s="827"/>
      <c r="CQ20" s="827"/>
      <c r="CR20" s="827"/>
      <c r="CS20" s="827"/>
      <c r="CT20" s="827"/>
      <c r="CU20" s="827"/>
      <c r="CV20" s="827"/>
      <c r="CW20" s="827"/>
      <c r="CX20" s="827"/>
      <c r="CY20" s="827"/>
      <c r="CZ20" s="827"/>
      <c r="DA20" s="827"/>
      <c r="DB20" s="827"/>
      <c r="DC20" s="827"/>
      <c r="DD20" s="827"/>
      <c r="DE20" s="827"/>
      <c r="DF20" s="827"/>
      <c r="DG20" s="827"/>
      <c r="DH20" s="827"/>
      <c r="DI20" s="827"/>
      <c r="DJ20" s="827"/>
      <c r="DK20" s="827"/>
      <c r="DL20" s="827"/>
      <c r="DM20" s="827"/>
      <c r="DN20" s="827"/>
      <c r="DO20" s="827"/>
      <c r="DP20" s="827"/>
      <c r="DQ20" s="827"/>
      <c r="DR20" s="827"/>
      <c r="DS20" s="827"/>
      <c r="DT20" s="827"/>
      <c r="DU20" s="827"/>
      <c r="DV20" s="827"/>
      <c r="DW20" s="827"/>
      <c r="DX20" s="827"/>
      <c r="DY20" s="827"/>
      <c r="DZ20" s="827"/>
      <c r="EA20" s="827"/>
      <c r="EB20" s="827"/>
      <c r="EC20" s="827"/>
      <c r="ED20" s="827"/>
      <c r="EE20" s="827"/>
      <c r="EF20" s="827"/>
      <c r="EG20" s="827"/>
      <c r="EH20" s="827"/>
      <c r="EI20" s="827"/>
      <c r="EJ20" s="827"/>
      <c r="EK20" s="827"/>
      <c r="EL20" s="827"/>
      <c r="EM20" s="827"/>
      <c r="EN20" s="827"/>
      <c r="EO20" s="827"/>
      <c r="EP20" s="827"/>
      <c r="EQ20" s="827"/>
      <c r="ER20" s="827"/>
      <c r="ES20" s="827"/>
      <c r="ET20" s="827"/>
      <c r="EU20" s="827"/>
      <c r="EV20" s="827"/>
      <c r="EW20" s="827"/>
      <c r="EX20" s="827"/>
      <c r="EY20" s="827"/>
      <c r="EZ20" s="827"/>
      <c r="FA20" s="827"/>
      <c r="FB20" s="827"/>
      <c r="FC20" s="827"/>
      <c r="FD20" s="827"/>
      <c r="FE20" s="827"/>
      <c r="FF20" s="827"/>
      <c r="FG20" s="827"/>
      <c r="FH20" s="827"/>
      <c r="FI20" s="827"/>
      <c r="FJ20" s="827"/>
      <c r="FK20" s="827"/>
      <c r="FL20" s="827"/>
      <c r="FM20" s="827"/>
      <c r="FN20" s="827"/>
      <c r="FO20" s="827"/>
      <c r="FP20" s="827"/>
      <c r="FQ20" s="827"/>
      <c r="FR20" s="827"/>
      <c r="FS20" s="827"/>
      <c r="FT20" s="827"/>
      <c r="FU20" s="827"/>
      <c r="FV20" s="827"/>
      <c r="FW20" s="827"/>
      <c r="FX20" s="827"/>
      <c r="FY20" s="827"/>
      <c r="FZ20" s="827"/>
      <c r="GA20" s="827"/>
      <c r="GB20" s="827"/>
      <c r="GC20" s="827"/>
      <c r="GD20" s="827"/>
      <c r="GE20" s="827"/>
      <c r="GF20" s="827"/>
      <c r="GG20" s="827"/>
      <c r="GH20" s="827"/>
      <c r="GI20" s="827"/>
      <c r="GJ20" s="827"/>
      <c r="GK20" s="827"/>
      <c r="GL20" s="827"/>
      <c r="GM20" s="827"/>
      <c r="GN20" s="827"/>
      <c r="GO20" s="827"/>
      <c r="GP20" s="827"/>
      <c r="GQ20" s="827"/>
      <c r="GR20" s="827"/>
      <c r="GS20" s="827"/>
      <c r="GT20" s="827"/>
      <c r="GU20" s="827"/>
      <c r="GV20" s="827"/>
      <c r="GW20" s="827"/>
      <c r="GX20" s="827"/>
      <c r="GY20" s="827"/>
      <c r="GZ20" s="827"/>
      <c r="HA20" s="827"/>
      <c r="HB20" s="827"/>
      <c r="HC20" s="827"/>
      <c r="HD20" s="827"/>
      <c r="HE20" s="827"/>
      <c r="HF20" s="827"/>
      <c r="HG20" s="827"/>
      <c r="HH20" s="827"/>
      <c r="HI20" s="827"/>
      <c r="HJ20" s="827"/>
      <c r="HK20" s="827"/>
      <c r="HL20" s="827"/>
      <c r="HM20" s="827"/>
      <c r="HN20" s="827"/>
      <c r="HO20" s="827"/>
      <c r="HP20" s="827"/>
      <c r="HQ20" s="827"/>
      <c r="HR20" s="827"/>
      <c r="HS20" s="827"/>
      <c r="HT20" s="827"/>
      <c r="HU20" s="827"/>
      <c r="HV20" s="827"/>
      <c r="HW20" s="827"/>
      <c r="HX20" s="827"/>
      <c r="HY20" s="827"/>
      <c r="HZ20" s="827"/>
      <c r="IA20" s="827"/>
      <c r="IB20" s="827"/>
      <c r="IC20" s="827"/>
      <c r="ID20" s="827"/>
      <c r="IE20" s="827"/>
      <c r="IF20" s="827"/>
      <c r="IG20" s="827"/>
      <c r="IH20" s="827"/>
      <c r="II20" s="827"/>
      <c r="IJ20" s="827"/>
      <c r="IK20" s="827"/>
      <c r="IL20" s="827"/>
      <c r="IM20" s="827"/>
      <c r="IN20" s="827"/>
      <c r="IO20" s="827"/>
      <c r="IP20" s="827"/>
      <c r="IQ20" s="827"/>
      <c r="IR20" s="827"/>
      <c r="IS20" s="827"/>
      <c r="IT20" s="827"/>
      <c r="IU20" s="827"/>
      <c r="IV20" s="827"/>
      <c r="IW20" s="827"/>
      <c r="IX20" s="827"/>
      <c r="IY20" s="827"/>
      <c r="IZ20" s="827"/>
      <c r="JA20" s="827"/>
      <c r="JB20" s="827"/>
      <c r="JC20" s="827"/>
      <c r="JD20" s="827"/>
      <c r="JE20" s="827"/>
      <c r="JF20" s="827"/>
      <c r="JG20" s="827"/>
      <c r="JH20" s="827"/>
      <c r="JI20" s="827"/>
      <c r="JJ20" s="827"/>
      <c r="JK20" s="827"/>
      <c r="JL20" s="827"/>
      <c r="JM20" s="827"/>
      <c r="JN20" s="827"/>
      <c r="JO20" s="827"/>
      <c r="JP20" s="827"/>
      <c r="JQ20" s="827"/>
      <c r="JR20" s="827"/>
      <c r="JS20" s="827"/>
      <c r="JT20" s="827"/>
      <c r="JU20" s="827"/>
      <c r="JV20" s="827"/>
      <c r="JW20" s="827"/>
      <c r="JX20" s="827"/>
      <c r="JY20" s="827"/>
      <c r="JZ20" s="827"/>
      <c r="KA20" s="827"/>
      <c r="KB20" s="827"/>
      <c r="KC20" s="827"/>
      <c r="KD20" s="827"/>
      <c r="KE20" s="827"/>
      <c r="KF20" s="827"/>
      <c r="KG20" s="827"/>
      <c r="KH20" s="827"/>
      <c r="KI20" s="827"/>
      <c r="KJ20" s="827"/>
      <c r="KK20" s="827"/>
      <c r="KL20" s="827"/>
      <c r="KM20" s="827"/>
      <c r="KN20" s="827"/>
      <c r="KO20" s="827"/>
      <c r="KP20" s="827"/>
      <c r="KQ20" s="827"/>
      <c r="KR20" s="827"/>
      <c r="KS20" s="827"/>
      <c r="KT20" s="827"/>
      <c r="KU20" s="827"/>
      <c r="KV20" s="827"/>
      <c r="KW20" s="827"/>
      <c r="KX20" s="827"/>
      <c r="KY20" s="827"/>
      <c r="KZ20" s="827"/>
      <c r="LA20" s="827"/>
      <c r="LB20" s="827"/>
      <c r="LC20" s="827"/>
      <c r="LD20" s="827"/>
      <c r="LE20" s="827"/>
      <c r="LF20" s="827"/>
      <c r="LG20" s="827"/>
      <c r="LH20" s="827"/>
      <c r="LI20" s="827"/>
      <c r="LJ20" s="827"/>
      <c r="LK20" s="827"/>
      <c r="LL20" s="827"/>
      <c r="LM20" s="827"/>
      <c r="LN20" s="827"/>
      <c r="LO20" s="827"/>
      <c r="LP20" s="827"/>
      <c r="LQ20" s="827"/>
      <c r="LR20" s="827"/>
      <c r="LS20" s="827"/>
      <c r="LT20" s="827"/>
      <c r="LU20" s="827"/>
      <c r="LV20" s="827"/>
      <c r="LW20" s="827"/>
      <c r="LX20" s="827"/>
      <c r="LY20" s="827"/>
      <c r="LZ20" s="827"/>
      <c r="MA20" s="827"/>
      <c r="MB20" s="827"/>
      <c r="MC20" s="827"/>
      <c r="MD20" s="827"/>
      <c r="ME20" s="827"/>
      <c r="MF20" s="827"/>
      <c r="MG20" s="827"/>
      <c r="MH20" s="827"/>
      <c r="MI20" s="827"/>
      <c r="MJ20" s="827"/>
      <c r="MK20" s="827"/>
      <c r="ML20" s="827"/>
      <c r="MM20" s="827"/>
      <c r="MN20" s="827"/>
      <c r="MO20" s="827"/>
      <c r="MP20" s="827"/>
      <c r="MQ20" s="827"/>
      <c r="MR20" s="827"/>
      <c r="MS20" s="827"/>
      <c r="MT20" s="827"/>
      <c r="MU20" s="827"/>
      <c r="MV20" s="827"/>
      <c r="MW20" s="827"/>
      <c r="MX20" s="827"/>
      <c r="MY20" s="827"/>
      <c r="MZ20" s="827"/>
      <c r="NA20" s="827"/>
      <c r="NB20" s="827"/>
      <c r="NC20" s="827"/>
      <c r="ND20" s="827"/>
      <c r="NE20" s="827"/>
      <c r="NF20" s="827"/>
      <c r="NG20" s="827"/>
      <c r="NH20" s="827"/>
      <c r="NI20" s="827"/>
      <c r="NJ20" s="827"/>
      <c r="NK20" s="827"/>
      <c r="NL20" s="827"/>
      <c r="NM20" s="827"/>
      <c r="NN20" s="827"/>
      <c r="NO20" s="827"/>
      <c r="NP20" s="827"/>
      <c r="NQ20" s="827"/>
      <c r="NR20" s="827"/>
      <c r="NS20" s="827"/>
      <c r="NT20" s="827"/>
      <c r="NU20" s="827"/>
      <c r="NV20" s="827"/>
      <c r="NW20" s="827"/>
      <c r="NX20" s="827"/>
      <c r="NY20" s="827"/>
      <c r="NZ20" s="827"/>
      <c r="OA20" s="827"/>
      <c r="OB20" s="827"/>
      <c r="OC20" s="827"/>
      <c r="OD20" s="827"/>
      <c r="OE20" s="827"/>
      <c r="OF20" s="827"/>
      <c r="OG20" s="827"/>
      <c r="OH20" s="827"/>
      <c r="OI20" s="827"/>
      <c r="OJ20" s="827"/>
      <c r="OK20" s="827"/>
      <c r="OL20" s="827"/>
      <c r="OM20" s="827"/>
      <c r="ON20" s="827"/>
      <c r="OO20" s="827"/>
      <c r="OP20" s="827"/>
      <c r="OQ20" s="827"/>
      <c r="OR20" s="827"/>
      <c r="OS20" s="827"/>
      <c r="OT20" s="827"/>
      <c r="OU20" s="827"/>
      <c r="OV20" s="827"/>
      <c r="OW20" s="827"/>
      <c r="OX20" s="827"/>
      <c r="OY20" s="827"/>
      <c r="OZ20" s="827"/>
      <c r="PA20" s="827"/>
      <c r="PB20" s="827"/>
      <c r="PC20" s="827"/>
      <c r="PD20" s="827"/>
      <c r="PE20" s="827"/>
      <c r="PF20" s="827"/>
      <c r="PG20" s="827"/>
      <c r="PH20" s="827"/>
      <c r="PI20" s="827"/>
      <c r="PJ20" s="827"/>
      <c r="PK20" s="827"/>
      <c r="PL20" s="827"/>
      <c r="PM20" s="827"/>
      <c r="PN20" s="827"/>
      <c r="PO20" s="827"/>
      <c r="PP20" s="827"/>
      <c r="PQ20" s="827"/>
      <c r="PR20" s="827"/>
      <c r="PS20" s="827"/>
      <c r="PT20" s="827"/>
      <c r="PU20" s="827"/>
      <c r="PV20" s="827"/>
      <c r="PW20" s="827"/>
      <c r="PX20" s="827"/>
      <c r="PY20" s="827"/>
      <c r="PZ20" s="827"/>
      <c r="QA20" s="827"/>
      <c r="QB20" s="827"/>
      <c r="QC20" s="827"/>
      <c r="QD20" s="827"/>
      <c r="QE20" s="827"/>
      <c r="QF20" s="827"/>
      <c r="QG20" s="827"/>
      <c r="QH20" s="827"/>
      <c r="QI20" s="827"/>
      <c r="QJ20" s="827"/>
      <c r="QK20" s="827"/>
      <c r="QL20" s="827"/>
      <c r="QM20" s="827"/>
      <c r="QN20" s="827"/>
      <c r="QO20" s="827"/>
      <c r="QP20" s="827"/>
      <c r="QQ20" s="827"/>
      <c r="QR20" s="827"/>
      <c r="QS20" s="827"/>
      <c r="QT20" s="827"/>
      <c r="QU20" s="827"/>
      <c r="QV20" s="827"/>
      <c r="QW20" s="827"/>
      <c r="QX20" s="827"/>
      <c r="QY20" s="827"/>
      <c r="QZ20" s="827"/>
      <c r="RA20" s="827"/>
      <c r="RB20" s="827"/>
      <c r="RC20" s="827"/>
      <c r="RD20" s="827"/>
      <c r="RE20" s="827"/>
      <c r="RF20" s="827"/>
      <c r="RG20" s="827"/>
      <c r="RH20" s="827"/>
      <c r="RI20" s="827"/>
      <c r="RJ20" s="827"/>
      <c r="RK20" s="827"/>
      <c r="RL20" s="827"/>
      <c r="RM20" s="827"/>
      <c r="RN20" s="827"/>
      <c r="RO20" s="827"/>
      <c r="RP20" s="827"/>
      <c r="RQ20" s="827"/>
      <c r="RR20" s="827"/>
      <c r="RS20" s="827"/>
      <c r="RT20" s="827"/>
      <c r="RU20" s="827"/>
      <c r="RV20" s="827"/>
      <c r="RW20" s="827"/>
      <c r="RX20" s="827"/>
      <c r="RY20" s="827"/>
      <c r="RZ20" s="827"/>
      <c r="SA20" s="827"/>
      <c r="SB20" s="827"/>
      <c r="SC20" s="827"/>
      <c r="SD20" s="827"/>
      <c r="SE20" s="827"/>
      <c r="SF20" s="827"/>
      <c r="SG20" s="827"/>
      <c r="SH20" s="827"/>
      <c r="SI20" s="827"/>
      <c r="SJ20" s="827"/>
      <c r="SK20" s="827"/>
      <c r="SL20" s="827"/>
      <c r="SM20" s="827"/>
      <c r="SN20" s="827"/>
      <c r="SO20" s="827"/>
      <c r="SP20" s="827"/>
      <c r="SQ20" s="827"/>
      <c r="SR20" s="827"/>
      <c r="SS20" s="827"/>
      <c r="ST20" s="827"/>
      <c r="SU20" s="827"/>
      <c r="SV20" s="827"/>
      <c r="SW20" s="827"/>
      <c r="SX20" s="827"/>
      <c r="SY20" s="827"/>
      <c r="SZ20" s="827"/>
      <c r="TA20" s="827"/>
      <c r="TB20" s="827"/>
      <c r="TC20" s="827"/>
      <c r="TD20" s="827"/>
      <c r="TE20" s="827"/>
      <c r="TF20" s="827"/>
      <c r="TG20" s="827"/>
      <c r="TH20" s="827"/>
      <c r="TI20" s="827"/>
      <c r="TJ20" s="827"/>
      <c r="TK20" s="827"/>
      <c r="TL20" s="827"/>
      <c r="TM20" s="827"/>
      <c r="TN20" s="827"/>
      <c r="TO20" s="827"/>
      <c r="TP20" s="827"/>
      <c r="TQ20" s="827"/>
      <c r="TR20" s="827"/>
      <c r="TS20" s="827"/>
      <c r="TT20" s="827"/>
      <c r="TU20" s="827"/>
      <c r="TV20" s="827"/>
      <c r="TW20" s="827"/>
      <c r="TX20" s="827"/>
      <c r="TY20" s="827"/>
      <c r="TZ20" s="827"/>
      <c r="UA20" s="827"/>
      <c r="UB20" s="827"/>
      <c r="UC20" s="827"/>
      <c r="UD20" s="827"/>
      <c r="UE20" s="827"/>
      <c r="UF20" s="827"/>
      <c r="UG20" s="827"/>
      <c r="UH20" s="827"/>
      <c r="UI20" s="827"/>
      <c r="UJ20" s="827"/>
      <c r="UK20" s="827"/>
      <c r="UL20" s="827"/>
      <c r="UM20" s="827"/>
      <c r="UN20" s="827"/>
      <c r="UO20" s="827"/>
      <c r="UP20" s="827"/>
      <c r="UQ20" s="827"/>
      <c r="UR20" s="827"/>
      <c r="US20" s="827"/>
      <c r="UT20" s="827"/>
      <c r="UU20" s="827"/>
      <c r="UV20" s="827"/>
      <c r="UW20" s="827"/>
      <c r="UX20" s="827"/>
      <c r="UY20" s="827"/>
      <c r="UZ20" s="827"/>
      <c r="VA20" s="827"/>
      <c r="VB20" s="827"/>
      <c r="VC20" s="827"/>
      <c r="VD20" s="827"/>
      <c r="VE20" s="827"/>
      <c r="VF20" s="827"/>
      <c r="VG20" s="827"/>
      <c r="VH20" s="827"/>
      <c r="VI20" s="827"/>
      <c r="VJ20" s="827"/>
      <c r="VK20" s="827"/>
      <c r="VL20" s="827"/>
      <c r="VM20" s="827"/>
      <c r="VN20" s="827"/>
      <c r="VO20" s="827"/>
      <c r="VP20" s="827"/>
      <c r="VQ20" s="827"/>
      <c r="VR20" s="827"/>
      <c r="VS20" s="827"/>
      <c r="VT20" s="827"/>
      <c r="VU20" s="827"/>
      <c r="VV20" s="827"/>
      <c r="VW20" s="827"/>
      <c r="VX20" s="827"/>
      <c r="VY20" s="827"/>
      <c r="VZ20" s="827"/>
      <c r="WA20" s="827"/>
      <c r="WB20" s="827"/>
      <c r="WC20" s="827"/>
      <c r="WD20" s="827"/>
      <c r="WE20" s="827"/>
      <c r="WF20" s="827"/>
      <c r="WG20" s="827"/>
      <c r="WH20" s="827"/>
      <c r="WI20" s="827"/>
      <c r="WJ20" s="827"/>
      <c r="WK20" s="827"/>
      <c r="WL20" s="827"/>
      <c r="WM20" s="827"/>
      <c r="WN20" s="827"/>
      <c r="WO20" s="827"/>
      <c r="WP20" s="827"/>
      <c r="WQ20" s="827"/>
      <c r="WR20" s="827"/>
      <c r="WS20" s="827"/>
      <c r="WT20" s="827"/>
      <c r="WU20" s="827"/>
      <c r="WV20" s="827"/>
      <c r="WW20" s="827"/>
      <c r="WX20" s="827"/>
      <c r="WY20" s="827"/>
      <c r="WZ20" s="827"/>
      <c r="XA20" s="827"/>
      <c r="XB20" s="827"/>
      <c r="XC20" s="827"/>
      <c r="XD20" s="827"/>
      <c r="XE20" s="827"/>
      <c r="XF20" s="827"/>
      <c r="XG20" s="827"/>
      <c r="XH20" s="827"/>
      <c r="XI20" s="827"/>
      <c r="XJ20" s="827"/>
      <c r="XK20" s="827"/>
      <c r="XL20" s="827"/>
      <c r="XM20" s="827"/>
      <c r="XN20" s="827"/>
      <c r="XO20" s="827"/>
      <c r="XP20" s="827"/>
      <c r="XQ20" s="827"/>
      <c r="XR20" s="827"/>
      <c r="XS20" s="827"/>
      <c r="XT20" s="827"/>
      <c r="XU20" s="827"/>
      <c r="XV20" s="827"/>
      <c r="XW20" s="827"/>
      <c r="XX20" s="827"/>
      <c r="XY20" s="827"/>
      <c r="XZ20" s="827"/>
      <c r="YA20" s="827"/>
      <c r="YB20" s="827"/>
      <c r="YC20" s="827"/>
      <c r="YD20" s="827"/>
      <c r="YE20" s="827"/>
      <c r="YF20" s="827"/>
      <c r="YG20" s="827"/>
      <c r="YH20" s="827"/>
      <c r="YI20" s="827"/>
      <c r="YJ20" s="827"/>
      <c r="YK20" s="827"/>
      <c r="YL20" s="827"/>
      <c r="YM20" s="827"/>
      <c r="YN20" s="827"/>
      <c r="YO20" s="827"/>
      <c r="YP20" s="827"/>
      <c r="YQ20" s="827"/>
      <c r="YR20" s="827"/>
      <c r="YS20" s="827"/>
      <c r="YT20" s="827"/>
      <c r="YU20" s="827"/>
      <c r="YV20" s="827"/>
      <c r="YW20" s="827"/>
      <c r="YX20" s="827"/>
      <c r="YY20" s="827"/>
      <c r="YZ20" s="827"/>
      <c r="ZA20" s="827"/>
      <c r="ZB20" s="827"/>
      <c r="ZC20" s="827"/>
      <c r="ZD20" s="827"/>
      <c r="ZE20" s="827"/>
      <c r="ZF20" s="827"/>
      <c r="ZG20" s="827"/>
      <c r="ZH20" s="827"/>
      <c r="ZI20" s="827"/>
      <c r="ZJ20" s="827"/>
      <c r="ZK20" s="827"/>
      <c r="ZL20" s="827"/>
      <c r="ZM20" s="827"/>
      <c r="ZN20" s="827"/>
      <c r="ZO20" s="827"/>
      <c r="ZP20" s="827"/>
      <c r="ZQ20" s="827"/>
      <c r="ZR20" s="827"/>
      <c r="ZS20" s="827"/>
      <c r="ZT20" s="827"/>
      <c r="ZU20" s="827"/>
      <c r="ZV20" s="827"/>
      <c r="ZW20" s="827"/>
      <c r="ZX20" s="827"/>
      <c r="ZY20" s="827"/>
      <c r="ZZ20" s="827"/>
      <c r="AAA20" s="827"/>
      <c r="AAB20" s="827"/>
      <c r="AAC20" s="827"/>
      <c r="AAD20" s="827"/>
      <c r="AAE20" s="827"/>
      <c r="AAF20" s="827"/>
      <c r="AAG20" s="827"/>
      <c r="AAH20" s="827"/>
      <c r="AAI20" s="827"/>
      <c r="AAJ20" s="827"/>
      <c r="AAK20" s="827"/>
      <c r="AAL20" s="827"/>
      <c r="AAM20" s="827"/>
      <c r="AAN20" s="827"/>
      <c r="AAO20" s="827"/>
      <c r="AAP20" s="827"/>
      <c r="AAQ20" s="827"/>
      <c r="AAR20" s="827"/>
      <c r="AAS20" s="827"/>
      <c r="AAT20" s="827"/>
      <c r="AAU20" s="827"/>
      <c r="AAV20" s="827"/>
      <c r="AAW20" s="827"/>
      <c r="AAX20" s="827"/>
      <c r="AAY20" s="827"/>
      <c r="AAZ20" s="827"/>
      <c r="ABA20" s="827"/>
      <c r="ABB20" s="827"/>
      <c r="ABC20" s="827"/>
      <c r="ABD20" s="827"/>
      <c r="ABE20" s="827"/>
      <c r="ABF20" s="827"/>
      <c r="ABG20" s="827"/>
      <c r="ABH20" s="827"/>
      <c r="ABI20" s="827"/>
      <c r="ABJ20" s="827"/>
      <c r="ABK20" s="827"/>
      <c r="ABL20" s="827"/>
      <c r="ABM20" s="827"/>
      <c r="ABN20" s="827"/>
      <c r="ABO20" s="827"/>
      <c r="ABP20" s="827"/>
      <c r="ABQ20" s="827"/>
      <c r="ABR20" s="827"/>
      <c r="ABS20" s="827"/>
      <c r="ABT20" s="827"/>
      <c r="ABU20" s="827"/>
      <c r="ABV20" s="827"/>
      <c r="ABW20" s="827"/>
      <c r="ABX20" s="827"/>
      <c r="ABY20" s="827"/>
      <c r="ABZ20" s="827"/>
      <c r="ACA20" s="827"/>
      <c r="ACB20" s="827"/>
      <c r="ACC20" s="827"/>
      <c r="ACD20" s="827"/>
      <c r="ACE20" s="827"/>
      <c r="ACF20" s="827"/>
      <c r="ACG20" s="827"/>
      <c r="ACH20" s="827"/>
      <c r="ACI20" s="827"/>
      <c r="ACJ20" s="827"/>
      <c r="ACK20" s="827"/>
      <c r="ACL20" s="827"/>
      <c r="ACM20" s="827"/>
      <c r="ACN20" s="827"/>
      <c r="ACO20" s="827"/>
      <c r="ACP20" s="827"/>
      <c r="ACQ20" s="827"/>
      <c r="ACR20" s="827"/>
      <c r="ACS20" s="827"/>
      <c r="ACT20" s="827"/>
      <c r="ACU20" s="827"/>
      <c r="ACV20" s="827"/>
      <c r="ACW20" s="827"/>
      <c r="ACX20" s="827"/>
      <c r="ACY20" s="827"/>
      <c r="ACZ20" s="827"/>
      <c r="ADA20" s="827"/>
      <c r="ADB20" s="827"/>
      <c r="ADC20" s="827"/>
      <c r="ADD20" s="827"/>
      <c r="ADE20" s="827"/>
      <c r="ADF20" s="827"/>
      <c r="ADG20" s="827"/>
      <c r="ADH20" s="827"/>
      <c r="ADI20" s="827"/>
      <c r="ADJ20" s="827"/>
      <c r="ADK20" s="827"/>
      <c r="ADL20" s="827"/>
      <c r="ADM20" s="827"/>
      <c r="ADN20" s="827"/>
      <c r="ADO20" s="827"/>
      <c r="ADP20" s="827"/>
      <c r="ADQ20" s="827"/>
      <c r="ADR20" s="827"/>
      <c r="ADS20" s="827"/>
      <c r="ADT20" s="827"/>
      <c r="ADU20" s="827"/>
      <c r="ADV20" s="827"/>
      <c r="ADW20" s="827"/>
      <c r="ADX20" s="827"/>
      <c r="ADY20" s="827"/>
      <c r="ADZ20" s="827"/>
      <c r="AEA20" s="827"/>
      <c r="AEB20" s="827"/>
      <c r="AEC20" s="827"/>
      <c r="AED20" s="827"/>
      <c r="AEE20" s="827"/>
      <c r="AEF20" s="827"/>
      <c r="AEG20" s="827"/>
      <c r="AEH20" s="827"/>
      <c r="AEI20" s="827"/>
      <c r="AEJ20" s="827"/>
      <c r="AEK20" s="827"/>
      <c r="AEL20" s="827"/>
      <c r="AEM20" s="827"/>
      <c r="AEN20" s="827"/>
      <c r="AEO20" s="827"/>
      <c r="AEP20" s="827"/>
      <c r="AEQ20" s="827"/>
      <c r="AER20" s="827"/>
      <c r="AES20" s="827"/>
      <c r="AET20" s="827"/>
      <c r="AEU20" s="827"/>
      <c r="AEV20" s="827"/>
      <c r="AEW20" s="827"/>
      <c r="AEX20" s="827"/>
      <c r="AEY20" s="827"/>
      <c r="AEZ20" s="827"/>
      <c r="AFA20" s="827"/>
      <c r="AFB20" s="827"/>
      <c r="AFC20" s="827"/>
      <c r="AFD20" s="827"/>
      <c r="AFE20" s="827"/>
      <c r="AFF20" s="827"/>
      <c r="AFG20" s="827"/>
      <c r="AFH20" s="827"/>
      <c r="AFI20" s="827"/>
      <c r="AFJ20" s="827"/>
      <c r="AFK20" s="827"/>
      <c r="AFL20" s="827"/>
      <c r="AFM20" s="827"/>
      <c r="AFN20" s="827"/>
      <c r="AFO20" s="827"/>
      <c r="AFP20" s="827"/>
      <c r="AFQ20" s="827"/>
      <c r="AFR20" s="827"/>
      <c r="AFS20" s="827"/>
      <c r="AFT20" s="827"/>
      <c r="AFU20" s="827"/>
      <c r="AFV20" s="827"/>
      <c r="AFW20" s="827"/>
      <c r="AFX20" s="827"/>
      <c r="AFY20" s="827"/>
      <c r="AFZ20" s="827"/>
      <c r="AGA20" s="827"/>
      <c r="AGB20" s="827"/>
      <c r="AGC20" s="827"/>
      <c r="AGD20" s="827"/>
      <c r="AGE20" s="827"/>
      <c r="AGF20" s="827"/>
      <c r="AGG20" s="827"/>
      <c r="AGH20" s="827"/>
      <c r="AGI20" s="827"/>
      <c r="AGJ20" s="827"/>
      <c r="AGK20" s="827"/>
      <c r="AGL20" s="827"/>
      <c r="AGM20" s="827"/>
      <c r="AGN20" s="827"/>
      <c r="AGO20" s="827"/>
      <c r="AGP20" s="827"/>
      <c r="AGQ20" s="827"/>
      <c r="AGR20" s="827"/>
      <c r="AGS20" s="827"/>
      <c r="AGT20" s="827"/>
      <c r="AGU20" s="827"/>
      <c r="AGV20" s="827"/>
      <c r="AGW20" s="827"/>
      <c r="AGX20" s="827"/>
      <c r="AGY20" s="827"/>
      <c r="AGZ20" s="827"/>
      <c r="AHA20" s="827"/>
      <c r="AHB20" s="827"/>
      <c r="AHC20" s="827"/>
      <c r="AHD20" s="827"/>
      <c r="AHE20" s="827"/>
      <c r="AHF20" s="827"/>
      <c r="AHG20" s="827"/>
      <c r="AHH20" s="827"/>
      <c r="AHI20" s="827"/>
      <c r="AHJ20" s="827"/>
      <c r="AHK20" s="827"/>
      <c r="AHL20" s="827"/>
      <c r="AHM20" s="827"/>
      <c r="AHN20" s="827"/>
      <c r="AHO20" s="827"/>
      <c r="AHP20" s="827"/>
      <c r="AHQ20" s="827"/>
      <c r="AHR20" s="827"/>
      <c r="AHS20" s="827"/>
      <c r="AHT20" s="827"/>
      <c r="AHU20" s="827"/>
      <c r="AHV20" s="827"/>
      <c r="AHW20" s="827"/>
      <c r="AHX20" s="827"/>
      <c r="AHY20" s="827"/>
      <c r="AHZ20" s="827"/>
      <c r="AIA20" s="827"/>
      <c r="AIB20" s="827"/>
      <c r="AIC20" s="827"/>
      <c r="AID20" s="827"/>
      <c r="AIE20" s="827"/>
      <c r="AIF20" s="827"/>
      <c r="AIG20" s="827"/>
      <c r="AIH20" s="827"/>
      <c r="AII20" s="827"/>
      <c r="AIJ20" s="827"/>
      <c r="AIK20" s="827"/>
      <c r="AIL20" s="827"/>
      <c r="AIM20" s="827"/>
      <c r="AIN20" s="827"/>
      <c r="AIO20" s="827"/>
      <c r="AIP20" s="827"/>
      <c r="AIQ20" s="827"/>
      <c r="AIR20" s="827"/>
      <c r="AIS20" s="827"/>
      <c r="AIT20" s="827"/>
      <c r="AIU20" s="827"/>
      <c r="AIV20" s="827"/>
      <c r="AIW20" s="827"/>
      <c r="AIX20" s="827"/>
      <c r="AIY20" s="827"/>
      <c r="AIZ20" s="827"/>
      <c r="AJA20" s="827"/>
      <c r="AJB20" s="827"/>
      <c r="AJC20" s="827"/>
      <c r="AJD20" s="827"/>
      <c r="AJE20" s="827"/>
      <c r="AJF20" s="827"/>
      <c r="AJG20" s="827"/>
      <c r="AJH20" s="827"/>
      <c r="AJI20" s="827"/>
      <c r="AJJ20" s="827"/>
      <c r="AJK20" s="827"/>
      <c r="AJL20" s="827"/>
      <c r="AJM20" s="827"/>
      <c r="AJN20" s="827"/>
      <c r="AJO20" s="827"/>
      <c r="AJP20" s="827"/>
      <c r="AJQ20" s="827"/>
      <c r="AJR20" s="827"/>
      <c r="AJS20" s="827"/>
      <c r="AJT20" s="827"/>
      <c r="AJU20" s="827"/>
      <c r="AJV20" s="827"/>
      <c r="AJW20" s="827"/>
      <c r="AJX20" s="827"/>
      <c r="AJY20" s="827"/>
      <c r="AJZ20" s="827"/>
      <c r="AKA20" s="827"/>
      <c r="AKB20" s="827"/>
      <c r="AKC20" s="827"/>
      <c r="AKD20" s="827"/>
      <c r="AKE20" s="827"/>
      <c r="AKF20" s="827"/>
      <c r="AKG20" s="827"/>
      <c r="AKH20" s="827"/>
      <c r="AKI20" s="827"/>
      <c r="AKJ20" s="827"/>
      <c r="AKK20" s="827"/>
      <c r="AKL20" s="827"/>
      <c r="AKM20" s="827"/>
      <c r="AKN20" s="827"/>
      <c r="AKO20" s="827"/>
      <c r="AKP20" s="827"/>
      <c r="AKQ20" s="827"/>
      <c r="AKR20" s="827"/>
      <c r="AKS20" s="827"/>
      <c r="AKT20" s="827"/>
      <c r="AKU20" s="827"/>
      <c r="AKV20" s="827"/>
      <c r="AKW20" s="827"/>
      <c r="AKX20" s="827"/>
      <c r="AKY20" s="827"/>
      <c r="AKZ20" s="827"/>
      <c r="ALA20" s="827"/>
      <c r="ALB20" s="827"/>
      <c r="ALC20" s="827"/>
      <c r="ALD20" s="827"/>
      <c r="ALE20" s="827"/>
      <c r="ALF20" s="827"/>
      <c r="ALG20" s="827"/>
      <c r="ALH20" s="827"/>
      <c r="ALI20" s="827"/>
      <c r="ALJ20" s="827"/>
      <c r="ALK20" s="827"/>
      <c r="ALL20" s="827"/>
      <c r="ALM20" s="827"/>
      <c r="ALN20" s="827"/>
      <c r="ALO20" s="827"/>
      <c r="ALP20" s="827"/>
      <c r="ALQ20" s="827"/>
      <c r="ALR20" s="827"/>
      <c r="ALS20" s="827"/>
      <c r="ALT20" s="827"/>
      <c r="ALU20" s="827"/>
      <c r="ALV20" s="827"/>
      <c r="ALW20" s="827"/>
      <c r="ALX20" s="827"/>
      <c r="ALY20" s="827"/>
      <c r="ALZ20" s="827"/>
      <c r="AMA20" s="827"/>
      <c r="AMB20" s="827"/>
      <c r="AMC20" s="827"/>
      <c r="AMD20" s="827"/>
      <c r="AME20" s="827"/>
      <c r="AMF20" s="827"/>
      <c r="AMG20" s="827"/>
      <c r="AMH20" s="827"/>
      <c r="AMI20" s="827"/>
      <c r="AMJ20" s="827"/>
      <c r="AMK20" s="827"/>
      <c r="AML20" s="827"/>
      <c r="AMM20" s="827"/>
      <c r="AMN20" s="827"/>
      <c r="AMO20" s="827"/>
      <c r="AMP20" s="827"/>
      <c r="AMQ20" s="827"/>
      <c r="AMR20" s="827"/>
      <c r="AMS20" s="827"/>
      <c r="AMT20" s="827"/>
      <c r="AMU20" s="827"/>
      <c r="AMV20" s="827"/>
      <c r="AMW20" s="827"/>
      <c r="AMX20" s="827"/>
      <c r="AMY20" s="827"/>
      <c r="AMZ20" s="827"/>
      <c r="ANA20" s="827"/>
      <c r="ANB20" s="827"/>
      <c r="ANC20" s="827"/>
      <c r="AND20" s="827"/>
      <c r="ANE20" s="827"/>
      <c r="ANF20" s="827"/>
      <c r="ANG20" s="827"/>
      <c r="ANH20" s="827"/>
      <c r="ANI20" s="827"/>
      <c r="ANJ20" s="827"/>
      <c r="ANK20" s="827"/>
      <c r="ANL20" s="827"/>
      <c r="ANM20" s="827"/>
      <c r="ANN20" s="827"/>
      <c r="ANO20" s="827"/>
      <c r="ANP20" s="827"/>
      <c r="ANQ20" s="827"/>
      <c r="ANR20" s="827"/>
      <c r="ANS20" s="827"/>
      <c r="ANT20" s="827"/>
      <c r="ANU20" s="827"/>
      <c r="ANV20" s="827"/>
      <c r="ANW20" s="827"/>
      <c r="ANX20" s="827"/>
      <c r="ANY20" s="827"/>
      <c r="ANZ20" s="827"/>
      <c r="AOA20" s="827"/>
      <c r="AOB20" s="827"/>
      <c r="AOC20" s="827"/>
      <c r="AOD20" s="827"/>
      <c r="AOE20" s="827"/>
      <c r="AOF20" s="827"/>
      <c r="AOG20" s="827"/>
      <c r="AOH20" s="827"/>
      <c r="AOI20" s="827"/>
      <c r="AOJ20" s="827"/>
      <c r="AOK20" s="827"/>
      <c r="AOL20" s="827"/>
      <c r="AOM20" s="827"/>
      <c r="AON20" s="827"/>
      <c r="AOO20" s="827"/>
      <c r="AOP20" s="827"/>
      <c r="AOQ20" s="827"/>
      <c r="AOR20" s="827"/>
      <c r="AOS20" s="827"/>
      <c r="AOT20" s="827"/>
      <c r="AOU20" s="827"/>
      <c r="AOV20" s="827"/>
      <c r="AOW20" s="827"/>
      <c r="AOX20" s="827"/>
      <c r="AOY20" s="827"/>
      <c r="AOZ20" s="827"/>
      <c r="APA20" s="827"/>
      <c r="APB20" s="827"/>
      <c r="APC20" s="827"/>
      <c r="APD20" s="827"/>
      <c r="APE20" s="827"/>
      <c r="APF20" s="827"/>
      <c r="APG20" s="827"/>
      <c r="APH20" s="827"/>
      <c r="API20" s="827"/>
      <c r="APJ20" s="827"/>
      <c r="APK20" s="827"/>
      <c r="APL20" s="827"/>
      <c r="APM20" s="827"/>
      <c r="APN20" s="827"/>
      <c r="APO20" s="827"/>
      <c r="APP20" s="827"/>
      <c r="APQ20" s="827"/>
      <c r="APR20" s="827"/>
      <c r="APS20" s="827"/>
      <c r="APT20" s="827"/>
      <c r="APU20" s="827"/>
      <c r="APV20" s="827"/>
      <c r="APW20" s="827"/>
      <c r="APX20" s="827"/>
      <c r="APY20" s="827"/>
      <c r="APZ20" s="827"/>
      <c r="AQA20" s="827"/>
      <c r="AQB20" s="827"/>
      <c r="AQC20" s="827"/>
      <c r="AQD20" s="827"/>
      <c r="AQE20" s="827"/>
      <c r="AQF20" s="827"/>
      <c r="AQG20" s="827"/>
      <c r="AQH20" s="827"/>
      <c r="AQI20" s="827"/>
      <c r="AQJ20" s="827"/>
      <c r="AQK20" s="827"/>
      <c r="AQL20" s="827"/>
      <c r="AQM20" s="827"/>
      <c r="AQN20" s="827"/>
      <c r="AQO20" s="827"/>
      <c r="AQP20" s="827"/>
      <c r="AQQ20" s="827"/>
      <c r="AQR20" s="827"/>
      <c r="AQS20" s="827"/>
      <c r="AQT20" s="827"/>
      <c r="AQU20" s="827"/>
      <c r="AQV20" s="827"/>
      <c r="AQW20" s="827"/>
      <c r="AQX20" s="827"/>
      <c r="AQY20" s="827"/>
      <c r="AQZ20" s="827"/>
      <c r="ARA20" s="827"/>
      <c r="ARB20" s="827"/>
      <c r="ARC20" s="827"/>
      <c r="ARD20" s="827"/>
      <c r="ARE20" s="827"/>
      <c r="ARF20" s="827"/>
      <c r="ARG20" s="827"/>
      <c r="ARH20" s="827"/>
      <c r="ARI20" s="827"/>
      <c r="ARJ20" s="827"/>
      <c r="ARK20" s="827"/>
      <c r="ARL20" s="827"/>
      <c r="ARM20" s="827"/>
      <c r="ARN20" s="827"/>
      <c r="ARO20" s="827"/>
      <c r="ARP20" s="827"/>
      <c r="ARQ20" s="827"/>
      <c r="ARR20" s="827"/>
      <c r="ARS20" s="827"/>
      <c r="ART20" s="827"/>
      <c r="ARU20" s="827"/>
      <c r="ARV20" s="827"/>
      <c r="ARW20" s="827"/>
      <c r="ARX20" s="827"/>
      <c r="ARY20" s="827"/>
      <c r="ARZ20" s="827"/>
      <c r="ASA20" s="827"/>
      <c r="ASB20" s="827"/>
      <c r="ASC20" s="827"/>
      <c r="ASD20" s="827"/>
      <c r="ASE20" s="827"/>
      <c r="ASF20" s="827"/>
      <c r="ASG20" s="827"/>
      <c r="ASH20" s="827"/>
      <c r="ASI20" s="827"/>
      <c r="ASJ20" s="827"/>
      <c r="ASK20" s="827"/>
      <c r="ASL20" s="827"/>
      <c r="ASM20" s="827"/>
      <c r="ASN20" s="827"/>
      <c r="ASO20" s="827"/>
      <c r="ASP20" s="827"/>
      <c r="ASQ20" s="827"/>
      <c r="ASR20" s="827"/>
      <c r="ASS20" s="827"/>
      <c r="AST20" s="827"/>
      <c r="ASU20" s="827"/>
      <c r="ASV20" s="827"/>
      <c r="ASW20" s="827"/>
      <c r="ASX20" s="827"/>
      <c r="ASY20" s="827"/>
      <c r="ASZ20" s="827"/>
      <c r="ATA20" s="827"/>
      <c r="ATB20" s="827"/>
      <c r="ATC20" s="827"/>
      <c r="ATD20" s="827"/>
      <c r="ATE20" s="827"/>
      <c r="ATF20" s="827"/>
      <c r="ATG20" s="827"/>
      <c r="ATH20" s="827"/>
      <c r="ATI20" s="827"/>
      <c r="ATJ20" s="827"/>
      <c r="ATK20" s="827"/>
      <c r="ATL20" s="827"/>
      <c r="ATM20" s="827"/>
      <c r="ATN20" s="827"/>
      <c r="ATO20" s="827"/>
      <c r="ATP20" s="827"/>
      <c r="ATQ20" s="827"/>
      <c r="ATR20" s="827"/>
      <c r="ATS20" s="827"/>
      <c r="ATT20" s="827"/>
      <c r="ATU20" s="827"/>
      <c r="ATV20" s="827"/>
      <c r="ATW20" s="827"/>
      <c r="ATX20" s="827"/>
      <c r="ATY20" s="827"/>
      <c r="ATZ20" s="827"/>
      <c r="AUA20" s="827"/>
      <c r="AUB20" s="827"/>
      <c r="AUC20" s="827"/>
      <c r="AUD20" s="827"/>
      <c r="AUE20" s="827"/>
      <c r="AUF20" s="827"/>
      <c r="AUG20" s="827"/>
      <c r="AUH20" s="827"/>
      <c r="AUI20" s="827"/>
      <c r="AUJ20" s="827"/>
      <c r="AUK20" s="827"/>
      <c r="AUL20" s="827"/>
      <c r="AUM20" s="827"/>
      <c r="AUN20" s="827"/>
      <c r="AUO20" s="827"/>
      <c r="AUP20" s="827"/>
      <c r="AUQ20" s="827"/>
      <c r="AUR20" s="827"/>
      <c r="AUS20" s="827"/>
      <c r="AUT20" s="827"/>
      <c r="AUU20" s="827"/>
      <c r="AUV20" s="827"/>
      <c r="AUW20" s="827"/>
      <c r="AUX20" s="827"/>
      <c r="AUY20" s="827"/>
      <c r="AUZ20" s="827"/>
      <c r="AVA20" s="827"/>
      <c r="AVB20" s="827"/>
      <c r="AVC20" s="827"/>
      <c r="AVD20" s="827"/>
      <c r="AVE20" s="827"/>
      <c r="AVF20" s="827"/>
      <c r="AVG20" s="827"/>
      <c r="AVH20" s="827"/>
      <c r="AVI20" s="827"/>
      <c r="AVJ20" s="827"/>
      <c r="AVK20" s="827"/>
      <c r="AVL20" s="827"/>
      <c r="AVM20" s="827"/>
      <c r="AVN20" s="827"/>
      <c r="AVO20" s="827"/>
      <c r="AVP20" s="827"/>
      <c r="AVQ20" s="827"/>
      <c r="AVR20" s="827"/>
      <c r="AVS20" s="827"/>
      <c r="AVT20" s="827"/>
      <c r="AVU20" s="827"/>
      <c r="AVV20" s="827"/>
      <c r="AVW20" s="827"/>
      <c r="AVX20" s="827"/>
      <c r="AVY20" s="827"/>
      <c r="AVZ20" s="827"/>
      <c r="AWA20" s="827"/>
      <c r="AWB20" s="827"/>
      <c r="AWC20" s="827"/>
      <c r="AWD20" s="827"/>
      <c r="AWE20" s="827"/>
      <c r="AWF20" s="827"/>
      <c r="AWG20" s="827"/>
      <c r="AWH20" s="827"/>
      <c r="AWI20" s="827"/>
      <c r="AWJ20" s="827"/>
      <c r="AWK20" s="827"/>
      <c r="AWL20" s="827"/>
      <c r="AWM20" s="827"/>
      <c r="AWN20" s="827"/>
      <c r="AWO20" s="827"/>
      <c r="AWP20" s="827"/>
      <c r="AWQ20" s="827"/>
      <c r="AWR20" s="827"/>
      <c r="AWS20" s="827"/>
      <c r="AWT20" s="827"/>
      <c r="AWU20" s="827"/>
      <c r="AWV20" s="827"/>
      <c r="AWW20" s="827"/>
      <c r="AWX20" s="827"/>
      <c r="AWY20" s="827"/>
      <c r="AWZ20" s="827"/>
      <c r="AXA20" s="827"/>
      <c r="AXB20" s="827"/>
      <c r="AXC20" s="827"/>
      <c r="AXD20" s="827"/>
      <c r="AXE20" s="827"/>
      <c r="AXF20" s="827"/>
      <c r="AXG20" s="827"/>
      <c r="AXH20" s="827"/>
      <c r="AXI20" s="827"/>
      <c r="AXJ20" s="827"/>
      <c r="AXK20" s="827"/>
      <c r="AXL20" s="827"/>
      <c r="AXM20" s="827"/>
      <c r="AXN20" s="827"/>
      <c r="AXO20" s="827"/>
      <c r="AXP20" s="827"/>
      <c r="AXQ20" s="827"/>
      <c r="AXR20" s="827"/>
      <c r="AXS20" s="827"/>
      <c r="AXT20" s="827"/>
      <c r="AXU20" s="827"/>
      <c r="AXV20" s="827"/>
      <c r="AXW20" s="827"/>
      <c r="AXX20" s="827"/>
      <c r="AXY20" s="827"/>
      <c r="AXZ20" s="827"/>
      <c r="AYA20" s="827"/>
      <c r="AYB20" s="827"/>
      <c r="AYC20" s="827"/>
      <c r="AYD20" s="827"/>
      <c r="AYE20" s="827"/>
      <c r="AYF20" s="827"/>
      <c r="AYG20" s="827"/>
      <c r="AYH20" s="827"/>
      <c r="AYI20" s="827"/>
      <c r="AYJ20" s="827"/>
      <c r="AYK20" s="827"/>
      <c r="AYL20" s="827"/>
      <c r="AYM20" s="827"/>
      <c r="AYN20" s="827"/>
      <c r="AYO20" s="827"/>
      <c r="AYP20" s="827"/>
      <c r="AYQ20" s="827"/>
      <c r="AYR20" s="827"/>
      <c r="AYS20" s="827"/>
      <c r="AYT20" s="827"/>
      <c r="AYU20" s="827"/>
      <c r="AYV20" s="827"/>
      <c r="AYW20" s="827"/>
      <c r="AYX20" s="827"/>
      <c r="AYY20" s="827"/>
      <c r="AYZ20" s="827"/>
      <c r="AZA20" s="827"/>
      <c r="AZB20" s="827"/>
      <c r="AZC20" s="827"/>
      <c r="AZD20" s="827"/>
      <c r="AZE20" s="827"/>
      <c r="AZF20" s="827"/>
      <c r="AZG20" s="827"/>
      <c r="AZH20" s="827"/>
      <c r="AZI20" s="827"/>
      <c r="AZJ20" s="827"/>
      <c r="AZK20" s="827"/>
      <c r="AZL20" s="827"/>
      <c r="AZM20" s="827"/>
      <c r="AZN20" s="827"/>
      <c r="AZO20" s="827"/>
      <c r="AZP20" s="827"/>
      <c r="AZQ20" s="827"/>
      <c r="AZR20" s="827"/>
      <c r="AZS20" s="827"/>
      <c r="AZT20" s="827"/>
      <c r="AZU20" s="827"/>
      <c r="AZV20" s="827"/>
      <c r="AZW20" s="827"/>
      <c r="AZX20" s="827"/>
      <c r="AZY20" s="827"/>
      <c r="AZZ20" s="827"/>
      <c r="BAA20" s="827"/>
      <c r="BAB20" s="827"/>
      <c r="BAC20" s="827"/>
      <c r="BAD20" s="827"/>
      <c r="BAE20" s="827"/>
      <c r="BAF20" s="827"/>
      <c r="BAG20" s="827"/>
      <c r="BAH20" s="827"/>
      <c r="BAI20" s="827"/>
      <c r="BAJ20" s="827"/>
      <c r="BAK20" s="827"/>
      <c r="BAL20" s="827"/>
      <c r="BAM20" s="827"/>
      <c r="BAN20" s="827"/>
      <c r="BAO20" s="827"/>
      <c r="BAP20" s="827"/>
      <c r="BAQ20" s="827"/>
      <c r="BAR20" s="827"/>
      <c r="BAS20" s="827"/>
      <c r="BAT20" s="827"/>
      <c r="BAU20" s="827"/>
      <c r="BAV20" s="827"/>
      <c r="BAW20" s="827"/>
      <c r="BAX20" s="827"/>
      <c r="BAY20" s="827"/>
      <c r="BAZ20" s="827"/>
      <c r="BBA20" s="827"/>
      <c r="BBB20" s="827"/>
      <c r="BBC20" s="827"/>
      <c r="BBD20" s="827"/>
      <c r="BBE20" s="827"/>
      <c r="BBF20" s="827"/>
      <c r="BBG20" s="827"/>
      <c r="BBH20" s="827"/>
      <c r="BBI20" s="827"/>
      <c r="BBJ20" s="827"/>
      <c r="BBK20" s="827"/>
      <c r="BBL20" s="827"/>
      <c r="BBM20" s="827"/>
      <c r="BBN20" s="827"/>
      <c r="BBO20" s="827"/>
      <c r="BBP20" s="827"/>
      <c r="BBQ20" s="827"/>
      <c r="BBR20" s="827"/>
      <c r="BBS20" s="827"/>
      <c r="BBT20" s="827"/>
      <c r="BBU20" s="827"/>
      <c r="BBV20" s="827"/>
      <c r="BBW20" s="827"/>
      <c r="BBX20" s="827"/>
      <c r="BBY20" s="827"/>
      <c r="BBZ20" s="827"/>
      <c r="BCA20" s="827"/>
      <c r="BCB20" s="827"/>
      <c r="BCC20" s="827"/>
      <c r="BCD20" s="827"/>
      <c r="BCE20" s="827"/>
      <c r="BCF20" s="827"/>
      <c r="BCG20" s="827"/>
      <c r="BCH20" s="827"/>
      <c r="BCI20" s="827"/>
      <c r="BCJ20" s="827"/>
      <c r="BCK20" s="827"/>
      <c r="BCL20" s="827"/>
      <c r="BCM20" s="827"/>
      <c r="BCN20" s="827"/>
      <c r="BCO20" s="827"/>
      <c r="BCP20" s="827"/>
      <c r="BCQ20" s="827"/>
      <c r="BCR20" s="827"/>
      <c r="BCS20" s="827"/>
      <c r="BCT20" s="827"/>
      <c r="BCU20" s="827"/>
      <c r="BCV20" s="827"/>
      <c r="BCW20" s="827"/>
      <c r="BCX20" s="827"/>
      <c r="BCY20" s="827"/>
      <c r="BCZ20" s="827"/>
      <c r="BDA20" s="827"/>
      <c r="BDB20" s="827"/>
      <c r="BDC20" s="827"/>
      <c r="BDD20" s="827"/>
      <c r="BDE20" s="827"/>
      <c r="BDF20" s="827"/>
      <c r="BDG20" s="827"/>
      <c r="BDH20" s="827"/>
      <c r="BDI20" s="827"/>
      <c r="BDJ20" s="827"/>
      <c r="BDK20" s="827"/>
      <c r="BDL20" s="827"/>
      <c r="BDM20" s="827"/>
      <c r="BDN20" s="827"/>
      <c r="BDO20" s="827"/>
      <c r="BDP20" s="827"/>
      <c r="BDQ20" s="827"/>
      <c r="BDR20" s="827"/>
      <c r="BDS20" s="827"/>
      <c r="BDT20" s="827"/>
      <c r="BDU20" s="827"/>
      <c r="BDV20" s="827"/>
      <c r="BDW20" s="827"/>
      <c r="BDX20" s="827"/>
      <c r="BDY20" s="827"/>
      <c r="BDZ20" s="827"/>
      <c r="BEA20" s="827"/>
      <c r="BEB20" s="827"/>
      <c r="BEC20" s="827"/>
      <c r="BED20" s="827"/>
      <c r="BEE20" s="827"/>
      <c r="BEF20" s="827"/>
      <c r="BEG20" s="827"/>
      <c r="BEH20" s="827"/>
      <c r="BEI20" s="827"/>
      <c r="BEJ20" s="827"/>
      <c r="BEK20" s="827"/>
      <c r="BEL20" s="827"/>
      <c r="BEM20" s="827"/>
      <c r="BEN20" s="827"/>
      <c r="BEO20" s="827"/>
      <c r="BEP20" s="827"/>
      <c r="BEQ20" s="827"/>
      <c r="BER20" s="827"/>
      <c r="BES20" s="827"/>
      <c r="BET20" s="827"/>
      <c r="BEU20" s="827"/>
      <c r="BEV20" s="827"/>
      <c r="BEW20" s="827"/>
      <c r="BEX20" s="827"/>
      <c r="BEY20" s="827"/>
      <c r="BEZ20" s="827"/>
      <c r="BFA20" s="827"/>
      <c r="BFB20" s="827"/>
      <c r="BFC20" s="827"/>
      <c r="BFD20" s="827"/>
      <c r="BFE20" s="827"/>
      <c r="BFF20" s="827"/>
      <c r="BFG20" s="827"/>
      <c r="BFH20" s="827"/>
      <c r="BFI20" s="827"/>
      <c r="BFJ20" s="827"/>
      <c r="BFK20" s="827"/>
      <c r="BFL20" s="827"/>
      <c r="BFM20" s="827"/>
      <c r="BFN20" s="827"/>
      <c r="BFO20" s="827"/>
      <c r="BFP20" s="827"/>
      <c r="BFQ20" s="827"/>
      <c r="BFR20" s="827"/>
      <c r="BFS20" s="827"/>
      <c r="BFT20" s="827"/>
      <c r="BFU20" s="827"/>
      <c r="BFV20" s="827"/>
      <c r="BFW20" s="827"/>
      <c r="BFX20" s="827"/>
      <c r="BFY20" s="827"/>
      <c r="BFZ20" s="827"/>
      <c r="BGA20" s="827"/>
      <c r="BGB20" s="827"/>
      <c r="BGC20" s="827"/>
      <c r="BGD20" s="827"/>
      <c r="BGE20" s="827"/>
      <c r="BGF20" s="827"/>
      <c r="BGG20" s="827"/>
      <c r="BGH20" s="827"/>
      <c r="BGI20" s="827"/>
      <c r="BGJ20" s="827"/>
      <c r="BGK20" s="827"/>
      <c r="BGL20" s="827"/>
      <c r="BGM20" s="827"/>
      <c r="BGN20" s="827"/>
      <c r="BGO20" s="827"/>
      <c r="BGP20" s="827"/>
      <c r="BGQ20" s="827"/>
      <c r="BGR20" s="827"/>
      <c r="BGS20" s="827"/>
      <c r="BGT20" s="827"/>
      <c r="BGU20" s="827"/>
      <c r="BGV20" s="827"/>
      <c r="BGW20" s="827"/>
      <c r="BGX20" s="827"/>
      <c r="BGY20" s="827"/>
      <c r="BGZ20" s="827"/>
      <c r="BHA20" s="827"/>
      <c r="BHB20" s="827"/>
      <c r="BHC20" s="827"/>
      <c r="BHD20" s="827"/>
      <c r="BHE20" s="827"/>
      <c r="BHF20" s="827"/>
      <c r="BHG20" s="827"/>
      <c r="BHH20" s="827"/>
      <c r="BHI20" s="827"/>
      <c r="BHJ20" s="827"/>
      <c r="BHK20" s="827"/>
      <c r="BHL20" s="827"/>
      <c r="BHM20" s="827"/>
      <c r="BHN20" s="827"/>
      <c r="BHO20" s="827"/>
      <c r="BHP20" s="827"/>
      <c r="BHQ20" s="827"/>
      <c r="BHR20" s="827"/>
      <c r="BHS20" s="827"/>
      <c r="BHT20" s="827"/>
      <c r="BHU20" s="827"/>
      <c r="BHV20" s="827"/>
      <c r="BHW20" s="827"/>
      <c r="BHX20" s="827"/>
      <c r="BHY20" s="827"/>
      <c r="BHZ20" s="827"/>
      <c r="BIA20" s="827"/>
      <c r="BIB20" s="827"/>
      <c r="BIC20" s="827"/>
      <c r="BID20" s="827"/>
      <c r="BIE20" s="827"/>
      <c r="BIF20" s="827"/>
      <c r="BIG20" s="827"/>
      <c r="BIH20" s="827"/>
      <c r="BII20" s="827"/>
      <c r="BIJ20" s="827"/>
      <c r="BIK20" s="827"/>
      <c r="BIL20" s="827"/>
      <c r="BIM20" s="827"/>
      <c r="BIN20" s="827"/>
      <c r="BIO20" s="827"/>
      <c r="BIP20" s="827"/>
      <c r="BIQ20" s="827"/>
      <c r="BIR20" s="827"/>
      <c r="BIS20" s="827"/>
      <c r="BIT20" s="827"/>
      <c r="BIU20" s="827"/>
      <c r="BIV20" s="827"/>
      <c r="BIW20" s="827"/>
      <c r="BIX20" s="827"/>
      <c r="BIY20" s="827"/>
      <c r="BIZ20" s="827"/>
      <c r="BJA20" s="827"/>
      <c r="BJB20" s="827"/>
      <c r="BJC20" s="827"/>
      <c r="BJD20" s="827"/>
      <c r="BJE20" s="827"/>
      <c r="BJF20" s="827"/>
      <c r="BJG20" s="827"/>
      <c r="BJH20" s="827"/>
      <c r="BJI20" s="827"/>
      <c r="BJJ20" s="827"/>
      <c r="BJK20" s="827"/>
      <c r="BJL20" s="827"/>
      <c r="BJM20" s="827"/>
      <c r="BJN20" s="827"/>
      <c r="BJO20" s="827"/>
      <c r="BJP20" s="827"/>
      <c r="BJQ20" s="827"/>
      <c r="BJR20" s="827"/>
      <c r="BJS20" s="827"/>
      <c r="BJT20" s="827"/>
      <c r="BJU20" s="827"/>
      <c r="BJV20" s="827"/>
      <c r="BJW20" s="827"/>
      <c r="BJX20" s="827"/>
      <c r="BJY20" s="827"/>
      <c r="BJZ20" s="827"/>
      <c r="BKA20" s="827"/>
      <c r="BKB20" s="827"/>
      <c r="BKC20" s="827"/>
      <c r="BKD20" s="827"/>
      <c r="BKE20" s="827"/>
      <c r="BKF20" s="827"/>
      <c r="BKG20" s="827"/>
      <c r="BKH20" s="827"/>
      <c r="BKI20" s="827"/>
      <c r="BKJ20" s="827"/>
      <c r="BKK20" s="827"/>
      <c r="BKL20" s="827"/>
      <c r="BKM20" s="827"/>
      <c r="BKN20" s="827"/>
      <c r="BKO20" s="827"/>
      <c r="BKP20" s="827"/>
      <c r="BKQ20" s="827"/>
      <c r="BKR20" s="827"/>
      <c r="BKS20" s="827"/>
      <c r="BKT20" s="827"/>
      <c r="BKU20" s="827"/>
      <c r="BKV20" s="827"/>
      <c r="BKW20" s="827"/>
      <c r="BKX20" s="827"/>
      <c r="BKY20" s="827"/>
      <c r="BKZ20" s="827"/>
      <c r="BLA20" s="827"/>
      <c r="BLB20" s="827"/>
      <c r="BLC20" s="827"/>
      <c r="BLD20" s="827"/>
      <c r="BLE20" s="827"/>
      <c r="BLF20" s="827"/>
      <c r="BLG20" s="827"/>
      <c r="BLH20" s="827"/>
      <c r="BLI20" s="827"/>
      <c r="BLJ20" s="827"/>
      <c r="BLK20" s="827"/>
      <c r="BLL20" s="827"/>
      <c r="BLM20" s="827"/>
      <c r="BLN20" s="827"/>
      <c r="BLO20" s="827"/>
      <c r="BLP20" s="827"/>
      <c r="BLQ20" s="827"/>
      <c r="BLR20" s="827"/>
      <c r="BLS20" s="827"/>
      <c r="BLT20" s="827"/>
      <c r="BLU20" s="827"/>
      <c r="BLV20" s="827"/>
      <c r="BLW20" s="827"/>
      <c r="BLX20" s="827"/>
      <c r="BLY20" s="827"/>
      <c r="BLZ20" s="827"/>
      <c r="BMA20" s="827"/>
      <c r="BMB20" s="827"/>
      <c r="BMC20" s="827"/>
      <c r="BMD20" s="827"/>
      <c r="BME20" s="827"/>
      <c r="BMF20" s="827"/>
      <c r="BMG20" s="827"/>
      <c r="BMH20" s="827"/>
      <c r="BMI20" s="827"/>
      <c r="BMJ20" s="827"/>
      <c r="BMK20" s="827"/>
      <c r="BML20" s="827"/>
      <c r="BMM20" s="827"/>
      <c r="BMN20" s="827"/>
      <c r="BMO20" s="827"/>
      <c r="BMP20" s="827"/>
      <c r="BMQ20" s="827"/>
      <c r="BMR20" s="827"/>
      <c r="BMS20" s="827"/>
      <c r="BMT20" s="827"/>
      <c r="BMU20" s="827"/>
      <c r="BMV20" s="827"/>
      <c r="BMW20" s="827"/>
      <c r="BMX20" s="827"/>
      <c r="BMY20" s="827"/>
      <c r="BMZ20" s="827"/>
      <c r="BNA20" s="827"/>
      <c r="BNB20" s="827"/>
      <c r="BNC20" s="827"/>
      <c r="BND20" s="827"/>
      <c r="BNE20" s="827"/>
      <c r="BNF20" s="827"/>
      <c r="BNG20" s="827"/>
      <c r="BNH20" s="827"/>
      <c r="BNI20" s="827"/>
      <c r="BNJ20" s="827"/>
      <c r="BNK20" s="827"/>
      <c r="BNL20" s="827"/>
      <c r="BNM20" s="827"/>
      <c r="BNN20" s="827"/>
      <c r="BNO20" s="827"/>
      <c r="BNP20" s="827"/>
      <c r="BNQ20" s="827"/>
      <c r="BNR20" s="827"/>
      <c r="BNS20" s="827"/>
      <c r="BNT20" s="827"/>
      <c r="BNU20" s="827"/>
      <c r="BNV20" s="827"/>
      <c r="BNW20" s="827"/>
      <c r="BNX20" s="827"/>
      <c r="BNY20" s="827"/>
      <c r="BNZ20" s="827"/>
      <c r="BOA20" s="827"/>
      <c r="BOB20" s="827"/>
      <c r="BOC20" s="827"/>
      <c r="BOD20" s="827"/>
      <c r="BOE20" s="827"/>
      <c r="BOF20" s="827"/>
      <c r="BOG20" s="827"/>
      <c r="BOH20" s="827"/>
      <c r="BOI20" s="827"/>
      <c r="BOJ20" s="827"/>
      <c r="BOK20" s="827"/>
      <c r="BOL20" s="827"/>
      <c r="BOM20" s="827"/>
      <c r="BON20" s="827"/>
      <c r="BOO20" s="827"/>
      <c r="BOP20" s="827"/>
      <c r="BOQ20" s="827"/>
      <c r="BOR20" s="827"/>
      <c r="BOS20" s="827"/>
      <c r="BOT20" s="827"/>
      <c r="BOU20" s="827"/>
      <c r="BOV20" s="827"/>
      <c r="BOW20" s="827"/>
      <c r="BOX20" s="827"/>
      <c r="BOY20" s="827"/>
      <c r="BOZ20" s="827"/>
      <c r="BPA20" s="827"/>
      <c r="BPB20" s="827"/>
      <c r="BPC20" s="827"/>
      <c r="BPD20" s="827"/>
      <c r="BPE20" s="827"/>
      <c r="BPF20" s="827"/>
      <c r="BPG20" s="827"/>
      <c r="BPH20" s="827"/>
      <c r="BPI20" s="827"/>
      <c r="BPJ20" s="827"/>
      <c r="BPK20" s="827"/>
      <c r="BPL20" s="827"/>
      <c r="BPM20" s="827"/>
      <c r="BPN20" s="827"/>
      <c r="BPO20" s="827"/>
      <c r="BPP20" s="827"/>
      <c r="BPQ20" s="827"/>
      <c r="BPR20" s="827"/>
      <c r="BPS20" s="827"/>
      <c r="BPT20" s="827"/>
      <c r="BPU20" s="827"/>
      <c r="BPV20" s="827"/>
      <c r="BPW20" s="827"/>
      <c r="BPX20" s="827"/>
      <c r="BPY20" s="827"/>
      <c r="BPZ20" s="827"/>
      <c r="BQA20" s="827"/>
      <c r="BQB20" s="827"/>
      <c r="BQC20" s="827"/>
      <c r="BQD20" s="827"/>
      <c r="BQE20" s="827"/>
      <c r="BQF20" s="827"/>
      <c r="BQG20" s="827"/>
      <c r="BQH20" s="827"/>
      <c r="BQI20" s="827"/>
      <c r="BQJ20" s="827"/>
      <c r="BQK20" s="827"/>
      <c r="BQL20" s="827"/>
      <c r="BQM20" s="827"/>
      <c r="BQN20" s="827"/>
      <c r="BQO20" s="827"/>
      <c r="BQP20" s="827"/>
      <c r="BQQ20" s="827"/>
      <c r="BQR20" s="827"/>
      <c r="BQS20" s="827"/>
      <c r="BQT20" s="827"/>
      <c r="BQU20" s="827"/>
      <c r="BQV20" s="827"/>
      <c r="BQW20" s="827"/>
      <c r="BQX20" s="827"/>
      <c r="BQY20" s="827"/>
      <c r="BQZ20" s="827"/>
      <c r="BRA20" s="827"/>
      <c r="BRB20" s="827"/>
      <c r="BRC20" s="827"/>
      <c r="BRD20" s="827"/>
      <c r="BRE20" s="827"/>
      <c r="BRF20" s="827"/>
      <c r="BRG20" s="827"/>
      <c r="BRH20" s="827"/>
      <c r="BRI20" s="827"/>
      <c r="BRJ20" s="827"/>
      <c r="BRK20" s="827"/>
      <c r="BRL20" s="827"/>
      <c r="BRM20" s="827"/>
      <c r="BRN20" s="827"/>
      <c r="BRO20" s="827"/>
      <c r="BRP20" s="827"/>
      <c r="BRQ20" s="827"/>
      <c r="BRR20" s="827"/>
      <c r="BRS20" s="827"/>
      <c r="BRT20" s="827"/>
      <c r="BRU20" s="827"/>
      <c r="BRV20" s="827"/>
      <c r="BRW20" s="827"/>
      <c r="BRX20" s="827"/>
      <c r="BRY20" s="827"/>
      <c r="BRZ20" s="827"/>
      <c r="BSA20" s="827"/>
      <c r="BSB20" s="827"/>
      <c r="BSC20" s="827"/>
      <c r="BSD20" s="827"/>
      <c r="BSE20" s="827"/>
      <c r="BSF20" s="827"/>
      <c r="BSG20" s="827"/>
      <c r="BSH20" s="827"/>
      <c r="BSI20" s="827"/>
      <c r="BSJ20" s="827"/>
      <c r="BSK20" s="827"/>
      <c r="BSL20" s="827"/>
      <c r="BSM20" s="827"/>
      <c r="BSN20" s="827"/>
      <c r="BSO20" s="827"/>
      <c r="BSP20" s="827"/>
      <c r="BSQ20" s="827"/>
      <c r="BSR20" s="827"/>
      <c r="BSS20" s="827"/>
      <c r="BST20" s="827"/>
    </row>
    <row r="21" spans="1:1866" s="845" customFormat="1" ht="21.9" customHeight="1" x14ac:dyDescent="0.25">
      <c r="A21" s="843"/>
      <c r="B21" s="3155" t="s">
        <v>856</v>
      </c>
      <c r="C21" s="3156"/>
      <c r="D21" s="3156"/>
      <c r="E21" s="1441">
        <f>SUM(E14:E20)</f>
        <v>0</v>
      </c>
      <c r="F21" s="1441">
        <f t="shared" ref="F21:V21" si="27">SUM(F14:F20)</f>
        <v>0</v>
      </c>
      <c r="G21" s="1441">
        <f t="shared" si="27"/>
        <v>0</v>
      </c>
      <c r="H21" s="1441">
        <f t="shared" si="27"/>
        <v>0</v>
      </c>
      <c r="I21" s="1441">
        <f t="shared" si="27"/>
        <v>0</v>
      </c>
      <c r="J21" s="1441">
        <f t="shared" si="27"/>
        <v>0</v>
      </c>
      <c r="K21" s="1441">
        <f t="shared" si="27"/>
        <v>0</v>
      </c>
      <c r="L21" s="1441">
        <f t="shared" si="27"/>
        <v>0</v>
      </c>
      <c r="M21" s="1441">
        <f t="shared" si="27"/>
        <v>0</v>
      </c>
      <c r="N21" s="1441">
        <f t="shared" si="27"/>
        <v>0</v>
      </c>
      <c r="O21" s="1441">
        <f t="shared" si="27"/>
        <v>0</v>
      </c>
      <c r="P21" s="1441">
        <f t="shared" si="27"/>
        <v>0</v>
      </c>
      <c r="Q21" s="1441">
        <f t="shared" si="27"/>
        <v>0</v>
      </c>
      <c r="R21" s="1441">
        <f t="shared" si="27"/>
        <v>0</v>
      </c>
      <c r="S21" s="1441">
        <f t="shared" si="27"/>
        <v>0</v>
      </c>
      <c r="T21" s="1441">
        <f t="shared" si="27"/>
        <v>0</v>
      </c>
      <c r="U21" s="1441">
        <f t="shared" si="27"/>
        <v>0</v>
      </c>
      <c r="V21" s="1442">
        <f t="shared" si="27"/>
        <v>0</v>
      </c>
      <c r="W21" s="844"/>
      <c r="X21" s="844"/>
      <c r="Y21" s="844"/>
      <c r="Z21" s="844"/>
      <c r="AA21" s="868"/>
      <c r="AB21" s="844"/>
      <c r="AC21" s="844"/>
      <c r="AD21" s="844"/>
      <c r="AE21" s="844"/>
      <c r="AF21" s="844"/>
      <c r="AG21" s="844"/>
      <c r="AH21" s="844"/>
      <c r="AI21" s="844"/>
      <c r="AJ21" s="844"/>
      <c r="AK21" s="844"/>
      <c r="AL21" s="844"/>
      <c r="AM21" s="843"/>
      <c r="AN21" s="843"/>
      <c r="AO21" s="843"/>
      <c r="AP21" s="843"/>
      <c r="AQ21" s="843"/>
      <c r="AR21" s="843"/>
      <c r="AS21" s="843"/>
      <c r="AT21" s="843"/>
      <c r="AU21" s="843"/>
      <c r="AV21" s="843"/>
      <c r="AW21" s="843"/>
      <c r="AX21" s="843"/>
      <c r="AY21" s="843"/>
      <c r="AZ21" s="843"/>
      <c r="BA21" s="843"/>
      <c r="BB21" s="843"/>
      <c r="BC21" s="843"/>
      <c r="BD21" s="843"/>
      <c r="BE21" s="843"/>
      <c r="BF21" s="843"/>
      <c r="BG21" s="843"/>
      <c r="BH21" s="843"/>
      <c r="BI21" s="843"/>
      <c r="BJ21" s="843"/>
      <c r="BK21" s="843"/>
      <c r="BL21" s="843"/>
      <c r="BM21" s="843"/>
      <c r="BN21" s="843"/>
      <c r="BO21" s="843"/>
      <c r="BP21" s="843"/>
      <c r="BQ21" s="843"/>
      <c r="BR21" s="843"/>
      <c r="BS21" s="843"/>
      <c r="BT21" s="843"/>
      <c r="BU21" s="843"/>
      <c r="BV21" s="843"/>
      <c r="BW21" s="843"/>
      <c r="BX21" s="843"/>
      <c r="BY21" s="843"/>
      <c r="BZ21" s="843"/>
      <c r="CA21" s="843"/>
      <c r="CB21" s="843"/>
      <c r="CC21" s="843"/>
      <c r="CD21" s="843"/>
      <c r="CE21" s="843"/>
      <c r="CF21" s="843"/>
      <c r="CG21" s="843"/>
      <c r="CH21" s="843"/>
      <c r="CI21" s="843"/>
      <c r="CJ21" s="843"/>
      <c r="CK21" s="843"/>
      <c r="CL21" s="843"/>
      <c r="CM21" s="843"/>
      <c r="CN21" s="843"/>
      <c r="CO21" s="843"/>
      <c r="CP21" s="843"/>
      <c r="CQ21" s="843"/>
      <c r="CR21" s="843"/>
      <c r="CS21" s="843"/>
      <c r="CT21" s="843"/>
      <c r="CU21" s="843"/>
      <c r="CV21" s="843"/>
      <c r="CW21" s="843"/>
      <c r="CX21" s="843"/>
      <c r="CY21" s="843"/>
      <c r="CZ21" s="843"/>
      <c r="DA21" s="843"/>
      <c r="DB21" s="843"/>
      <c r="DC21" s="843"/>
      <c r="DD21" s="843"/>
      <c r="DE21" s="843"/>
      <c r="DF21" s="843"/>
      <c r="DG21" s="843"/>
      <c r="DH21" s="843"/>
      <c r="DI21" s="843"/>
      <c r="DJ21" s="843"/>
      <c r="DK21" s="843"/>
      <c r="DL21" s="843"/>
      <c r="DM21" s="843"/>
      <c r="DN21" s="843"/>
      <c r="DO21" s="843"/>
      <c r="DP21" s="843"/>
      <c r="DQ21" s="843"/>
      <c r="DR21" s="843"/>
      <c r="DS21" s="843"/>
      <c r="DT21" s="843"/>
      <c r="DU21" s="843"/>
      <c r="DV21" s="843"/>
      <c r="DW21" s="843"/>
      <c r="DX21" s="843"/>
      <c r="DY21" s="843"/>
      <c r="DZ21" s="843"/>
      <c r="EA21" s="843"/>
      <c r="EB21" s="843"/>
      <c r="EC21" s="843"/>
      <c r="ED21" s="843"/>
      <c r="EE21" s="843"/>
      <c r="EF21" s="843"/>
      <c r="EG21" s="843"/>
      <c r="EH21" s="843"/>
      <c r="EI21" s="843"/>
      <c r="EJ21" s="843"/>
      <c r="EK21" s="843"/>
      <c r="EL21" s="843"/>
      <c r="EM21" s="843"/>
      <c r="EN21" s="843"/>
      <c r="EO21" s="843"/>
      <c r="EP21" s="843"/>
      <c r="EQ21" s="843"/>
      <c r="ER21" s="843"/>
      <c r="ES21" s="843"/>
      <c r="ET21" s="843"/>
      <c r="EU21" s="843"/>
      <c r="EV21" s="843"/>
      <c r="EW21" s="843"/>
      <c r="EX21" s="843"/>
      <c r="EY21" s="843"/>
      <c r="EZ21" s="843"/>
      <c r="FA21" s="843"/>
      <c r="FB21" s="843"/>
      <c r="FC21" s="843"/>
      <c r="FD21" s="843"/>
      <c r="FE21" s="843"/>
      <c r="FF21" s="843"/>
      <c r="FG21" s="843"/>
      <c r="FH21" s="843"/>
      <c r="FI21" s="843"/>
      <c r="FJ21" s="843"/>
      <c r="FK21" s="843"/>
      <c r="FL21" s="843"/>
      <c r="FM21" s="843"/>
      <c r="FN21" s="843"/>
      <c r="FO21" s="843"/>
      <c r="FP21" s="843"/>
      <c r="FQ21" s="843"/>
      <c r="FR21" s="843"/>
      <c r="FS21" s="843"/>
      <c r="FT21" s="843"/>
      <c r="FU21" s="843"/>
      <c r="FV21" s="843"/>
      <c r="FW21" s="843"/>
      <c r="FX21" s="843"/>
      <c r="FY21" s="843"/>
      <c r="FZ21" s="843"/>
      <c r="GA21" s="843"/>
      <c r="GB21" s="843"/>
      <c r="GC21" s="843"/>
      <c r="GD21" s="843"/>
      <c r="GE21" s="843"/>
      <c r="GF21" s="843"/>
      <c r="GG21" s="843"/>
      <c r="GH21" s="843"/>
      <c r="GI21" s="843"/>
      <c r="GJ21" s="843"/>
      <c r="GK21" s="843"/>
      <c r="GL21" s="843"/>
      <c r="GM21" s="843"/>
      <c r="GN21" s="843"/>
      <c r="GO21" s="843"/>
      <c r="GP21" s="843"/>
      <c r="GQ21" s="843"/>
      <c r="GR21" s="843"/>
      <c r="GS21" s="843"/>
      <c r="GT21" s="843"/>
      <c r="GU21" s="843"/>
      <c r="GV21" s="843"/>
      <c r="GW21" s="843"/>
      <c r="GX21" s="843"/>
      <c r="GY21" s="843"/>
      <c r="GZ21" s="843"/>
      <c r="HA21" s="843"/>
      <c r="HB21" s="843"/>
      <c r="HC21" s="843"/>
      <c r="HD21" s="843"/>
      <c r="HE21" s="843"/>
      <c r="HF21" s="843"/>
      <c r="HG21" s="843"/>
      <c r="HH21" s="843"/>
      <c r="HI21" s="843"/>
      <c r="HJ21" s="843"/>
      <c r="HK21" s="843"/>
      <c r="HL21" s="843"/>
      <c r="HM21" s="843"/>
      <c r="HN21" s="843"/>
      <c r="HO21" s="843"/>
      <c r="HP21" s="843"/>
      <c r="HQ21" s="843"/>
      <c r="HR21" s="843"/>
      <c r="HS21" s="843"/>
      <c r="HT21" s="843"/>
      <c r="HU21" s="843"/>
      <c r="HV21" s="843"/>
      <c r="HW21" s="843"/>
      <c r="HX21" s="843"/>
      <c r="HY21" s="843"/>
      <c r="HZ21" s="843"/>
      <c r="IA21" s="843"/>
      <c r="IB21" s="843"/>
      <c r="IC21" s="843"/>
      <c r="ID21" s="843"/>
      <c r="IE21" s="843"/>
      <c r="IF21" s="843"/>
      <c r="IG21" s="843"/>
      <c r="IH21" s="843"/>
      <c r="II21" s="843"/>
      <c r="IJ21" s="843"/>
      <c r="IK21" s="843"/>
      <c r="IL21" s="843"/>
      <c r="IM21" s="843"/>
      <c r="IN21" s="843"/>
      <c r="IO21" s="843"/>
      <c r="IP21" s="843"/>
      <c r="IQ21" s="843"/>
      <c r="IR21" s="843"/>
      <c r="IS21" s="843"/>
      <c r="IT21" s="843"/>
      <c r="IU21" s="843"/>
      <c r="IV21" s="843"/>
      <c r="IW21" s="843"/>
      <c r="IX21" s="843"/>
      <c r="IY21" s="843"/>
      <c r="IZ21" s="843"/>
      <c r="JA21" s="843"/>
      <c r="JB21" s="843"/>
      <c r="JC21" s="843"/>
      <c r="JD21" s="843"/>
      <c r="JE21" s="843"/>
      <c r="JF21" s="843"/>
      <c r="JG21" s="843"/>
      <c r="JH21" s="843"/>
      <c r="JI21" s="843"/>
      <c r="JJ21" s="843"/>
      <c r="JK21" s="843"/>
      <c r="JL21" s="843"/>
      <c r="JM21" s="843"/>
      <c r="JN21" s="843"/>
      <c r="JO21" s="843"/>
      <c r="JP21" s="843"/>
      <c r="JQ21" s="843"/>
      <c r="JR21" s="843"/>
      <c r="JS21" s="843"/>
      <c r="JT21" s="843"/>
      <c r="JU21" s="843"/>
      <c r="JV21" s="843"/>
      <c r="JW21" s="843"/>
      <c r="JX21" s="843"/>
      <c r="JY21" s="843"/>
      <c r="JZ21" s="843"/>
      <c r="KA21" s="843"/>
      <c r="KB21" s="843"/>
      <c r="KC21" s="843"/>
      <c r="KD21" s="843"/>
      <c r="KE21" s="843"/>
      <c r="KF21" s="843"/>
      <c r="KG21" s="843"/>
      <c r="KH21" s="843"/>
      <c r="KI21" s="843"/>
      <c r="KJ21" s="843"/>
      <c r="KK21" s="843"/>
      <c r="KL21" s="843"/>
      <c r="KM21" s="843"/>
      <c r="KN21" s="843"/>
      <c r="KO21" s="843"/>
      <c r="KP21" s="843"/>
      <c r="KQ21" s="843"/>
      <c r="KR21" s="843"/>
      <c r="KS21" s="843"/>
      <c r="KT21" s="843"/>
      <c r="KU21" s="843"/>
      <c r="KV21" s="843"/>
      <c r="KW21" s="843"/>
      <c r="KX21" s="843"/>
      <c r="KY21" s="843"/>
      <c r="KZ21" s="843"/>
      <c r="LA21" s="843"/>
      <c r="LB21" s="843"/>
      <c r="LC21" s="843"/>
      <c r="LD21" s="843"/>
      <c r="LE21" s="843"/>
      <c r="LF21" s="843"/>
      <c r="LG21" s="843"/>
      <c r="LH21" s="843"/>
      <c r="LI21" s="843"/>
      <c r="LJ21" s="843"/>
      <c r="LK21" s="843"/>
      <c r="LL21" s="843"/>
      <c r="LM21" s="843"/>
      <c r="LN21" s="843"/>
      <c r="LO21" s="843"/>
      <c r="LP21" s="843"/>
      <c r="LQ21" s="843"/>
      <c r="LR21" s="843"/>
      <c r="LS21" s="843"/>
      <c r="LT21" s="843"/>
      <c r="LU21" s="843"/>
      <c r="LV21" s="843"/>
      <c r="LW21" s="843"/>
      <c r="LX21" s="843"/>
      <c r="LY21" s="843"/>
      <c r="LZ21" s="843"/>
      <c r="MA21" s="843"/>
      <c r="MB21" s="843"/>
      <c r="MC21" s="843"/>
      <c r="MD21" s="843"/>
      <c r="ME21" s="843"/>
      <c r="MF21" s="843"/>
      <c r="MG21" s="843"/>
      <c r="MH21" s="843"/>
      <c r="MI21" s="843"/>
      <c r="MJ21" s="843"/>
      <c r="MK21" s="843"/>
      <c r="ML21" s="843"/>
      <c r="MM21" s="843"/>
      <c r="MN21" s="843"/>
      <c r="MO21" s="843"/>
      <c r="MP21" s="843"/>
      <c r="MQ21" s="843"/>
      <c r="MR21" s="843"/>
      <c r="MS21" s="843"/>
      <c r="MT21" s="843"/>
      <c r="MU21" s="843"/>
      <c r="MV21" s="843"/>
      <c r="MW21" s="843"/>
      <c r="MX21" s="843"/>
      <c r="MY21" s="843"/>
      <c r="MZ21" s="843"/>
      <c r="NA21" s="843"/>
      <c r="NB21" s="843"/>
      <c r="NC21" s="843"/>
      <c r="ND21" s="843"/>
      <c r="NE21" s="843"/>
      <c r="NF21" s="843"/>
      <c r="NG21" s="843"/>
      <c r="NH21" s="843"/>
      <c r="NI21" s="843"/>
      <c r="NJ21" s="843"/>
      <c r="NK21" s="843"/>
      <c r="NL21" s="843"/>
      <c r="NM21" s="843"/>
      <c r="NN21" s="843"/>
      <c r="NO21" s="843"/>
      <c r="NP21" s="843"/>
      <c r="NQ21" s="843"/>
      <c r="NR21" s="843"/>
      <c r="NS21" s="843"/>
      <c r="NT21" s="843"/>
      <c r="NU21" s="843"/>
      <c r="NV21" s="843"/>
      <c r="NW21" s="843"/>
      <c r="NX21" s="843"/>
      <c r="NY21" s="843"/>
      <c r="NZ21" s="843"/>
      <c r="OA21" s="843"/>
      <c r="OB21" s="843"/>
      <c r="OC21" s="843"/>
      <c r="OD21" s="843"/>
      <c r="OE21" s="843"/>
      <c r="OF21" s="843"/>
      <c r="OG21" s="843"/>
      <c r="OH21" s="843"/>
      <c r="OI21" s="843"/>
      <c r="OJ21" s="843"/>
      <c r="OK21" s="843"/>
      <c r="OL21" s="843"/>
      <c r="OM21" s="843"/>
      <c r="ON21" s="843"/>
      <c r="OO21" s="843"/>
      <c r="OP21" s="843"/>
      <c r="OQ21" s="843"/>
      <c r="OR21" s="843"/>
      <c r="OS21" s="843"/>
      <c r="OT21" s="843"/>
      <c r="OU21" s="843"/>
      <c r="OV21" s="843"/>
      <c r="OW21" s="843"/>
      <c r="OX21" s="843"/>
      <c r="OY21" s="843"/>
      <c r="OZ21" s="843"/>
      <c r="PA21" s="843"/>
      <c r="PB21" s="843"/>
      <c r="PC21" s="843"/>
      <c r="PD21" s="843"/>
      <c r="PE21" s="843"/>
      <c r="PF21" s="843"/>
      <c r="PG21" s="843"/>
      <c r="PH21" s="843"/>
      <c r="PI21" s="843"/>
      <c r="PJ21" s="843"/>
      <c r="PK21" s="843"/>
      <c r="PL21" s="843"/>
      <c r="PM21" s="843"/>
      <c r="PN21" s="843"/>
      <c r="PO21" s="843"/>
      <c r="PP21" s="843"/>
      <c r="PQ21" s="843"/>
      <c r="PR21" s="843"/>
      <c r="PS21" s="843"/>
      <c r="PT21" s="843"/>
      <c r="PU21" s="843"/>
      <c r="PV21" s="843"/>
      <c r="PW21" s="843"/>
      <c r="PX21" s="843"/>
      <c r="PY21" s="843"/>
      <c r="PZ21" s="843"/>
      <c r="QA21" s="843"/>
      <c r="QB21" s="843"/>
      <c r="QC21" s="843"/>
      <c r="QD21" s="843"/>
      <c r="QE21" s="843"/>
      <c r="QF21" s="843"/>
      <c r="QG21" s="843"/>
      <c r="QH21" s="843"/>
      <c r="QI21" s="843"/>
      <c r="QJ21" s="843"/>
      <c r="QK21" s="843"/>
      <c r="QL21" s="843"/>
      <c r="QM21" s="843"/>
      <c r="QN21" s="843"/>
      <c r="QO21" s="843"/>
      <c r="QP21" s="843"/>
      <c r="QQ21" s="843"/>
      <c r="QR21" s="843"/>
      <c r="QS21" s="843"/>
      <c r="QT21" s="843"/>
      <c r="QU21" s="843"/>
      <c r="QV21" s="843"/>
      <c r="QW21" s="843"/>
      <c r="QX21" s="843"/>
      <c r="QY21" s="843"/>
      <c r="QZ21" s="843"/>
      <c r="RA21" s="843"/>
      <c r="RB21" s="843"/>
      <c r="RC21" s="843"/>
      <c r="RD21" s="843"/>
      <c r="RE21" s="843"/>
      <c r="RF21" s="843"/>
      <c r="RG21" s="843"/>
      <c r="RH21" s="843"/>
      <c r="RI21" s="843"/>
      <c r="RJ21" s="843"/>
      <c r="RK21" s="843"/>
      <c r="RL21" s="843"/>
      <c r="RM21" s="843"/>
      <c r="RN21" s="843"/>
      <c r="RO21" s="843"/>
      <c r="RP21" s="843"/>
      <c r="RQ21" s="843"/>
      <c r="RR21" s="843"/>
      <c r="RS21" s="843"/>
      <c r="RT21" s="843"/>
      <c r="RU21" s="843"/>
      <c r="RV21" s="843"/>
      <c r="RW21" s="843"/>
      <c r="RX21" s="843"/>
      <c r="RY21" s="843"/>
      <c r="RZ21" s="843"/>
      <c r="SA21" s="843"/>
      <c r="SB21" s="843"/>
      <c r="SC21" s="843"/>
      <c r="SD21" s="843"/>
      <c r="SE21" s="843"/>
      <c r="SF21" s="843"/>
      <c r="SG21" s="843"/>
      <c r="SH21" s="843"/>
      <c r="SI21" s="843"/>
      <c r="SJ21" s="843"/>
      <c r="SK21" s="843"/>
      <c r="SL21" s="843"/>
      <c r="SM21" s="843"/>
      <c r="SN21" s="843"/>
      <c r="SO21" s="843"/>
      <c r="SP21" s="843"/>
      <c r="SQ21" s="843"/>
      <c r="SR21" s="843"/>
      <c r="SS21" s="843"/>
      <c r="ST21" s="843"/>
      <c r="SU21" s="843"/>
      <c r="SV21" s="843"/>
      <c r="SW21" s="843"/>
      <c r="SX21" s="843"/>
      <c r="SY21" s="843"/>
      <c r="SZ21" s="843"/>
      <c r="TA21" s="843"/>
      <c r="TB21" s="843"/>
      <c r="TC21" s="843"/>
      <c r="TD21" s="843"/>
      <c r="TE21" s="843"/>
      <c r="TF21" s="843"/>
      <c r="TG21" s="843"/>
      <c r="TH21" s="843"/>
      <c r="TI21" s="843"/>
      <c r="TJ21" s="843"/>
      <c r="TK21" s="843"/>
      <c r="TL21" s="843"/>
      <c r="TM21" s="843"/>
      <c r="TN21" s="843"/>
      <c r="TO21" s="843"/>
      <c r="TP21" s="843"/>
      <c r="TQ21" s="843"/>
      <c r="TR21" s="843"/>
      <c r="TS21" s="843"/>
      <c r="TT21" s="843"/>
      <c r="TU21" s="843"/>
      <c r="TV21" s="843"/>
      <c r="TW21" s="843"/>
      <c r="TX21" s="843"/>
      <c r="TY21" s="843"/>
      <c r="TZ21" s="843"/>
      <c r="UA21" s="843"/>
      <c r="UB21" s="843"/>
      <c r="UC21" s="843"/>
      <c r="UD21" s="843"/>
      <c r="UE21" s="843"/>
      <c r="UF21" s="843"/>
      <c r="UG21" s="843"/>
      <c r="UH21" s="843"/>
      <c r="UI21" s="843"/>
      <c r="UJ21" s="843"/>
      <c r="UK21" s="843"/>
      <c r="UL21" s="843"/>
      <c r="UM21" s="843"/>
      <c r="UN21" s="843"/>
      <c r="UO21" s="843"/>
      <c r="UP21" s="843"/>
      <c r="UQ21" s="843"/>
      <c r="UR21" s="843"/>
      <c r="US21" s="843"/>
      <c r="UT21" s="843"/>
      <c r="UU21" s="843"/>
      <c r="UV21" s="843"/>
      <c r="UW21" s="843"/>
      <c r="UX21" s="843"/>
      <c r="UY21" s="843"/>
      <c r="UZ21" s="843"/>
      <c r="VA21" s="843"/>
      <c r="VB21" s="843"/>
      <c r="VC21" s="843"/>
      <c r="VD21" s="843"/>
      <c r="VE21" s="843"/>
      <c r="VF21" s="843"/>
      <c r="VG21" s="843"/>
      <c r="VH21" s="843"/>
      <c r="VI21" s="843"/>
      <c r="VJ21" s="843"/>
      <c r="VK21" s="843"/>
      <c r="VL21" s="843"/>
      <c r="VM21" s="843"/>
      <c r="VN21" s="843"/>
      <c r="VO21" s="843"/>
      <c r="VP21" s="843"/>
      <c r="VQ21" s="843"/>
      <c r="VR21" s="843"/>
      <c r="VS21" s="843"/>
      <c r="VT21" s="843"/>
      <c r="VU21" s="843"/>
      <c r="VV21" s="843"/>
      <c r="VW21" s="843"/>
      <c r="VX21" s="843"/>
      <c r="VY21" s="843"/>
      <c r="VZ21" s="843"/>
      <c r="WA21" s="843"/>
      <c r="WB21" s="843"/>
      <c r="WC21" s="843"/>
      <c r="WD21" s="843"/>
      <c r="WE21" s="843"/>
      <c r="WF21" s="843"/>
      <c r="WG21" s="843"/>
      <c r="WH21" s="843"/>
      <c r="WI21" s="843"/>
      <c r="WJ21" s="843"/>
      <c r="WK21" s="843"/>
      <c r="WL21" s="843"/>
      <c r="WM21" s="843"/>
      <c r="WN21" s="843"/>
      <c r="WO21" s="843"/>
      <c r="WP21" s="843"/>
      <c r="WQ21" s="843"/>
      <c r="WR21" s="843"/>
      <c r="WS21" s="843"/>
      <c r="WT21" s="843"/>
      <c r="WU21" s="843"/>
      <c r="WV21" s="843"/>
      <c r="WW21" s="843"/>
      <c r="WX21" s="843"/>
      <c r="WY21" s="843"/>
      <c r="WZ21" s="843"/>
      <c r="XA21" s="843"/>
      <c r="XB21" s="843"/>
      <c r="XC21" s="843"/>
      <c r="XD21" s="843"/>
      <c r="XE21" s="843"/>
      <c r="XF21" s="843"/>
      <c r="XG21" s="843"/>
      <c r="XH21" s="843"/>
      <c r="XI21" s="843"/>
      <c r="XJ21" s="843"/>
      <c r="XK21" s="843"/>
      <c r="XL21" s="843"/>
      <c r="XM21" s="843"/>
      <c r="XN21" s="843"/>
      <c r="XO21" s="843"/>
      <c r="XP21" s="843"/>
      <c r="XQ21" s="843"/>
      <c r="XR21" s="843"/>
      <c r="XS21" s="843"/>
      <c r="XT21" s="843"/>
      <c r="XU21" s="843"/>
      <c r="XV21" s="843"/>
      <c r="XW21" s="843"/>
      <c r="XX21" s="843"/>
      <c r="XY21" s="843"/>
      <c r="XZ21" s="843"/>
      <c r="YA21" s="843"/>
      <c r="YB21" s="843"/>
      <c r="YC21" s="843"/>
      <c r="YD21" s="843"/>
      <c r="YE21" s="843"/>
      <c r="YF21" s="843"/>
      <c r="YG21" s="843"/>
      <c r="YH21" s="843"/>
      <c r="YI21" s="843"/>
      <c r="YJ21" s="843"/>
      <c r="YK21" s="843"/>
      <c r="YL21" s="843"/>
      <c r="YM21" s="843"/>
      <c r="YN21" s="843"/>
      <c r="YO21" s="843"/>
      <c r="YP21" s="843"/>
      <c r="YQ21" s="843"/>
      <c r="YR21" s="843"/>
      <c r="YS21" s="843"/>
      <c r="YT21" s="843"/>
      <c r="YU21" s="843"/>
      <c r="YV21" s="843"/>
      <c r="YW21" s="843"/>
      <c r="YX21" s="843"/>
      <c r="YY21" s="843"/>
      <c r="YZ21" s="843"/>
      <c r="ZA21" s="843"/>
      <c r="ZB21" s="843"/>
      <c r="ZC21" s="843"/>
      <c r="ZD21" s="843"/>
      <c r="ZE21" s="843"/>
      <c r="ZF21" s="843"/>
      <c r="ZG21" s="843"/>
      <c r="ZH21" s="843"/>
      <c r="ZI21" s="843"/>
      <c r="ZJ21" s="843"/>
      <c r="ZK21" s="843"/>
      <c r="ZL21" s="843"/>
      <c r="ZM21" s="843"/>
      <c r="ZN21" s="843"/>
      <c r="ZO21" s="843"/>
      <c r="ZP21" s="843"/>
      <c r="ZQ21" s="843"/>
      <c r="ZR21" s="843"/>
      <c r="ZS21" s="843"/>
      <c r="ZT21" s="843"/>
      <c r="ZU21" s="843"/>
      <c r="ZV21" s="843"/>
      <c r="ZW21" s="843"/>
      <c r="ZX21" s="843"/>
      <c r="ZY21" s="843"/>
      <c r="ZZ21" s="843"/>
      <c r="AAA21" s="843"/>
      <c r="AAB21" s="843"/>
      <c r="AAC21" s="843"/>
      <c r="AAD21" s="843"/>
      <c r="AAE21" s="843"/>
      <c r="AAF21" s="843"/>
      <c r="AAG21" s="843"/>
      <c r="AAH21" s="843"/>
      <c r="AAI21" s="843"/>
      <c r="AAJ21" s="843"/>
      <c r="AAK21" s="843"/>
      <c r="AAL21" s="843"/>
      <c r="AAM21" s="843"/>
      <c r="AAN21" s="843"/>
      <c r="AAO21" s="843"/>
      <c r="AAP21" s="843"/>
      <c r="AAQ21" s="843"/>
      <c r="AAR21" s="843"/>
      <c r="AAS21" s="843"/>
      <c r="AAT21" s="843"/>
      <c r="AAU21" s="843"/>
      <c r="AAV21" s="843"/>
      <c r="AAW21" s="843"/>
      <c r="AAX21" s="843"/>
      <c r="AAY21" s="843"/>
      <c r="AAZ21" s="843"/>
      <c r="ABA21" s="843"/>
      <c r="ABB21" s="843"/>
      <c r="ABC21" s="843"/>
      <c r="ABD21" s="843"/>
      <c r="ABE21" s="843"/>
      <c r="ABF21" s="843"/>
      <c r="ABG21" s="843"/>
      <c r="ABH21" s="843"/>
      <c r="ABI21" s="843"/>
      <c r="ABJ21" s="843"/>
      <c r="ABK21" s="843"/>
      <c r="ABL21" s="843"/>
      <c r="ABM21" s="843"/>
      <c r="ABN21" s="843"/>
      <c r="ABO21" s="843"/>
      <c r="ABP21" s="843"/>
      <c r="ABQ21" s="843"/>
      <c r="ABR21" s="843"/>
      <c r="ABS21" s="843"/>
      <c r="ABT21" s="843"/>
      <c r="ABU21" s="843"/>
      <c r="ABV21" s="843"/>
      <c r="ABW21" s="843"/>
      <c r="ABX21" s="843"/>
      <c r="ABY21" s="843"/>
      <c r="ABZ21" s="843"/>
      <c r="ACA21" s="843"/>
      <c r="ACB21" s="843"/>
      <c r="ACC21" s="843"/>
      <c r="ACD21" s="843"/>
      <c r="ACE21" s="843"/>
      <c r="ACF21" s="843"/>
      <c r="ACG21" s="843"/>
      <c r="ACH21" s="843"/>
      <c r="ACI21" s="843"/>
      <c r="ACJ21" s="843"/>
      <c r="ACK21" s="843"/>
      <c r="ACL21" s="843"/>
      <c r="ACM21" s="843"/>
      <c r="ACN21" s="843"/>
      <c r="ACO21" s="843"/>
      <c r="ACP21" s="843"/>
      <c r="ACQ21" s="843"/>
      <c r="ACR21" s="843"/>
      <c r="ACS21" s="843"/>
      <c r="ACT21" s="843"/>
      <c r="ACU21" s="843"/>
      <c r="ACV21" s="843"/>
      <c r="ACW21" s="843"/>
      <c r="ACX21" s="843"/>
      <c r="ACY21" s="843"/>
      <c r="ACZ21" s="843"/>
      <c r="ADA21" s="843"/>
      <c r="ADB21" s="843"/>
      <c r="ADC21" s="843"/>
      <c r="ADD21" s="843"/>
      <c r="ADE21" s="843"/>
      <c r="ADF21" s="843"/>
      <c r="ADG21" s="843"/>
      <c r="ADH21" s="843"/>
      <c r="ADI21" s="843"/>
      <c r="ADJ21" s="843"/>
      <c r="ADK21" s="843"/>
      <c r="ADL21" s="843"/>
      <c r="ADM21" s="843"/>
      <c r="ADN21" s="843"/>
      <c r="ADO21" s="843"/>
      <c r="ADP21" s="843"/>
      <c r="ADQ21" s="843"/>
      <c r="ADR21" s="843"/>
      <c r="ADS21" s="843"/>
      <c r="ADT21" s="843"/>
      <c r="ADU21" s="843"/>
      <c r="ADV21" s="843"/>
      <c r="ADW21" s="843"/>
      <c r="ADX21" s="843"/>
      <c r="ADY21" s="843"/>
      <c r="ADZ21" s="843"/>
      <c r="AEA21" s="843"/>
      <c r="AEB21" s="843"/>
      <c r="AEC21" s="843"/>
      <c r="AED21" s="843"/>
      <c r="AEE21" s="843"/>
      <c r="AEF21" s="843"/>
      <c r="AEG21" s="843"/>
      <c r="AEH21" s="843"/>
      <c r="AEI21" s="843"/>
      <c r="AEJ21" s="843"/>
      <c r="AEK21" s="843"/>
      <c r="AEL21" s="843"/>
      <c r="AEM21" s="843"/>
      <c r="AEN21" s="843"/>
      <c r="AEO21" s="843"/>
      <c r="AEP21" s="843"/>
      <c r="AEQ21" s="843"/>
      <c r="AER21" s="843"/>
      <c r="AES21" s="843"/>
      <c r="AET21" s="843"/>
      <c r="AEU21" s="843"/>
      <c r="AEV21" s="843"/>
      <c r="AEW21" s="843"/>
      <c r="AEX21" s="843"/>
      <c r="AEY21" s="843"/>
      <c r="AEZ21" s="843"/>
      <c r="AFA21" s="843"/>
      <c r="AFB21" s="843"/>
      <c r="AFC21" s="843"/>
      <c r="AFD21" s="843"/>
      <c r="AFE21" s="843"/>
      <c r="AFF21" s="843"/>
      <c r="AFG21" s="843"/>
      <c r="AFH21" s="843"/>
      <c r="AFI21" s="843"/>
      <c r="AFJ21" s="843"/>
      <c r="AFK21" s="843"/>
      <c r="AFL21" s="843"/>
      <c r="AFM21" s="843"/>
      <c r="AFN21" s="843"/>
      <c r="AFO21" s="843"/>
      <c r="AFP21" s="843"/>
      <c r="AFQ21" s="843"/>
      <c r="AFR21" s="843"/>
      <c r="AFS21" s="843"/>
      <c r="AFT21" s="843"/>
      <c r="AFU21" s="843"/>
      <c r="AFV21" s="843"/>
      <c r="AFW21" s="843"/>
      <c r="AFX21" s="843"/>
      <c r="AFY21" s="843"/>
      <c r="AFZ21" s="843"/>
      <c r="AGA21" s="843"/>
      <c r="AGB21" s="843"/>
      <c r="AGC21" s="843"/>
      <c r="AGD21" s="843"/>
      <c r="AGE21" s="843"/>
      <c r="AGF21" s="843"/>
      <c r="AGG21" s="843"/>
      <c r="AGH21" s="843"/>
      <c r="AGI21" s="843"/>
      <c r="AGJ21" s="843"/>
      <c r="AGK21" s="843"/>
      <c r="AGL21" s="843"/>
      <c r="AGM21" s="843"/>
      <c r="AGN21" s="843"/>
      <c r="AGO21" s="843"/>
      <c r="AGP21" s="843"/>
      <c r="AGQ21" s="843"/>
      <c r="AGR21" s="843"/>
      <c r="AGS21" s="843"/>
      <c r="AGT21" s="843"/>
      <c r="AGU21" s="843"/>
      <c r="AGV21" s="843"/>
      <c r="AGW21" s="843"/>
      <c r="AGX21" s="843"/>
      <c r="AGY21" s="843"/>
      <c r="AGZ21" s="843"/>
      <c r="AHA21" s="843"/>
      <c r="AHB21" s="843"/>
      <c r="AHC21" s="843"/>
      <c r="AHD21" s="843"/>
      <c r="AHE21" s="843"/>
      <c r="AHF21" s="843"/>
      <c r="AHG21" s="843"/>
      <c r="AHH21" s="843"/>
      <c r="AHI21" s="843"/>
      <c r="AHJ21" s="843"/>
      <c r="AHK21" s="843"/>
      <c r="AHL21" s="843"/>
      <c r="AHM21" s="843"/>
      <c r="AHN21" s="843"/>
      <c r="AHO21" s="843"/>
      <c r="AHP21" s="843"/>
      <c r="AHQ21" s="843"/>
      <c r="AHR21" s="843"/>
      <c r="AHS21" s="843"/>
      <c r="AHT21" s="843"/>
      <c r="AHU21" s="843"/>
      <c r="AHV21" s="843"/>
      <c r="AHW21" s="843"/>
      <c r="AHX21" s="843"/>
      <c r="AHY21" s="843"/>
      <c r="AHZ21" s="843"/>
      <c r="AIA21" s="843"/>
      <c r="AIB21" s="843"/>
      <c r="AIC21" s="843"/>
      <c r="AID21" s="843"/>
      <c r="AIE21" s="843"/>
      <c r="AIF21" s="843"/>
      <c r="AIG21" s="843"/>
      <c r="AIH21" s="843"/>
      <c r="AII21" s="843"/>
      <c r="AIJ21" s="843"/>
      <c r="AIK21" s="843"/>
      <c r="AIL21" s="843"/>
      <c r="AIM21" s="843"/>
      <c r="AIN21" s="843"/>
      <c r="AIO21" s="843"/>
      <c r="AIP21" s="843"/>
      <c r="AIQ21" s="843"/>
      <c r="AIR21" s="843"/>
      <c r="AIS21" s="843"/>
      <c r="AIT21" s="843"/>
      <c r="AIU21" s="843"/>
      <c r="AIV21" s="843"/>
      <c r="AIW21" s="843"/>
      <c r="AIX21" s="843"/>
      <c r="AIY21" s="843"/>
      <c r="AIZ21" s="843"/>
      <c r="AJA21" s="843"/>
      <c r="AJB21" s="843"/>
      <c r="AJC21" s="843"/>
      <c r="AJD21" s="843"/>
      <c r="AJE21" s="843"/>
      <c r="AJF21" s="843"/>
      <c r="AJG21" s="843"/>
      <c r="AJH21" s="843"/>
      <c r="AJI21" s="843"/>
      <c r="AJJ21" s="843"/>
      <c r="AJK21" s="843"/>
      <c r="AJL21" s="843"/>
      <c r="AJM21" s="843"/>
      <c r="AJN21" s="843"/>
      <c r="AJO21" s="843"/>
      <c r="AJP21" s="843"/>
      <c r="AJQ21" s="843"/>
      <c r="AJR21" s="843"/>
      <c r="AJS21" s="843"/>
      <c r="AJT21" s="843"/>
      <c r="AJU21" s="843"/>
      <c r="AJV21" s="843"/>
      <c r="AJW21" s="843"/>
      <c r="AJX21" s="843"/>
      <c r="AJY21" s="843"/>
      <c r="AJZ21" s="843"/>
      <c r="AKA21" s="843"/>
      <c r="AKB21" s="843"/>
      <c r="AKC21" s="843"/>
      <c r="AKD21" s="843"/>
      <c r="AKE21" s="843"/>
      <c r="AKF21" s="843"/>
      <c r="AKG21" s="843"/>
      <c r="AKH21" s="843"/>
      <c r="AKI21" s="843"/>
      <c r="AKJ21" s="843"/>
      <c r="AKK21" s="843"/>
      <c r="AKL21" s="843"/>
      <c r="AKM21" s="843"/>
      <c r="AKN21" s="843"/>
      <c r="AKO21" s="843"/>
      <c r="AKP21" s="843"/>
      <c r="AKQ21" s="843"/>
      <c r="AKR21" s="843"/>
      <c r="AKS21" s="843"/>
      <c r="AKT21" s="843"/>
      <c r="AKU21" s="843"/>
      <c r="AKV21" s="843"/>
      <c r="AKW21" s="843"/>
      <c r="AKX21" s="843"/>
      <c r="AKY21" s="843"/>
      <c r="AKZ21" s="843"/>
      <c r="ALA21" s="843"/>
      <c r="ALB21" s="843"/>
      <c r="ALC21" s="843"/>
      <c r="ALD21" s="843"/>
      <c r="ALE21" s="843"/>
      <c r="ALF21" s="843"/>
      <c r="ALG21" s="843"/>
      <c r="ALH21" s="843"/>
      <c r="ALI21" s="843"/>
      <c r="ALJ21" s="843"/>
      <c r="ALK21" s="843"/>
      <c r="ALL21" s="843"/>
      <c r="ALM21" s="843"/>
      <c r="ALN21" s="843"/>
      <c r="ALO21" s="843"/>
      <c r="ALP21" s="843"/>
      <c r="ALQ21" s="843"/>
      <c r="ALR21" s="843"/>
      <c r="ALS21" s="843"/>
      <c r="ALT21" s="843"/>
      <c r="ALU21" s="843"/>
      <c r="ALV21" s="843"/>
      <c r="ALW21" s="843"/>
      <c r="ALX21" s="843"/>
      <c r="ALY21" s="843"/>
      <c r="ALZ21" s="843"/>
      <c r="AMA21" s="843"/>
      <c r="AMB21" s="843"/>
      <c r="AMC21" s="843"/>
      <c r="AMD21" s="843"/>
      <c r="AME21" s="843"/>
      <c r="AMF21" s="843"/>
      <c r="AMG21" s="843"/>
      <c r="AMH21" s="843"/>
      <c r="AMI21" s="843"/>
      <c r="AMJ21" s="843"/>
      <c r="AMK21" s="843"/>
      <c r="AML21" s="843"/>
      <c r="AMM21" s="843"/>
      <c r="AMN21" s="843"/>
      <c r="AMO21" s="843"/>
      <c r="AMP21" s="843"/>
      <c r="AMQ21" s="843"/>
      <c r="AMR21" s="843"/>
      <c r="AMS21" s="843"/>
      <c r="AMT21" s="843"/>
      <c r="AMU21" s="843"/>
      <c r="AMV21" s="843"/>
      <c r="AMW21" s="843"/>
      <c r="AMX21" s="843"/>
      <c r="AMY21" s="843"/>
      <c r="AMZ21" s="843"/>
      <c r="ANA21" s="843"/>
      <c r="ANB21" s="843"/>
      <c r="ANC21" s="843"/>
      <c r="AND21" s="843"/>
      <c r="ANE21" s="843"/>
      <c r="ANF21" s="843"/>
      <c r="ANG21" s="843"/>
      <c r="ANH21" s="843"/>
      <c r="ANI21" s="843"/>
      <c r="ANJ21" s="843"/>
      <c r="ANK21" s="843"/>
      <c r="ANL21" s="843"/>
      <c r="ANM21" s="843"/>
      <c r="ANN21" s="843"/>
      <c r="ANO21" s="843"/>
      <c r="ANP21" s="843"/>
      <c r="ANQ21" s="843"/>
      <c r="ANR21" s="843"/>
      <c r="ANS21" s="843"/>
      <c r="ANT21" s="843"/>
      <c r="ANU21" s="843"/>
      <c r="ANV21" s="843"/>
      <c r="ANW21" s="843"/>
      <c r="ANX21" s="843"/>
      <c r="ANY21" s="843"/>
      <c r="ANZ21" s="843"/>
      <c r="AOA21" s="843"/>
      <c r="AOB21" s="843"/>
      <c r="AOC21" s="843"/>
      <c r="AOD21" s="843"/>
      <c r="AOE21" s="843"/>
      <c r="AOF21" s="843"/>
      <c r="AOG21" s="843"/>
      <c r="AOH21" s="843"/>
      <c r="AOI21" s="843"/>
      <c r="AOJ21" s="843"/>
      <c r="AOK21" s="843"/>
      <c r="AOL21" s="843"/>
      <c r="AOM21" s="843"/>
      <c r="AON21" s="843"/>
      <c r="AOO21" s="843"/>
      <c r="AOP21" s="843"/>
      <c r="AOQ21" s="843"/>
      <c r="AOR21" s="843"/>
      <c r="AOS21" s="843"/>
      <c r="AOT21" s="843"/>
      <c r="AOU21" s="843"/>
      <c r="AOV21" s="843"/>
      <c r="AOW21" s="843"/>
      <c r="AOX21" s="843"/>
      <c r="AOY21" s="843"/>
      <c r="AOZ21" s="843"/>
      <c r="APA21" s="843"/>
      <c r="APB21" s="843"/>
      <c r="APC21" s="843"/>
      <c r="APD21" s="843"/>
      <c r="APE21" s="843"/>
      <c r="APF21" s="843"/>
      <c r="APG21" s="843"/>
      <c r="APH21" s="843"/>
      <c r="API21" s="843"/>
      <c r="APJ21" s="843"/>
      <c r="APK21" s="843"/>
      <c r="APL21" s="843"/>
      <c r="APM21" s="843"/>
      <c r="APN21" s="843"/>
      <c r="APO21" s="843"/>
      <c r="APP21" s="843"/>
      <c r="APQ21" s="843"/>
      <c r="APR21" s="843"/>
      <c r="APS21" s="843"/>
      <c r="APT21" s="843"/>
      <c r="APU21" s="843"/>
      <c r="APV21" s="843"/>
      <c r="APW21" s="843"/>
      <c r="APX21" s="843"/>
      <c r="APY21" s="843"/>
      <c r="APZ21" s="843"/>
      <c r="AQA21" s="843"/>
      <c r="AQB21" s="843"/>
      <c r="AQC21" s="843"/>
      <c r="AQD21" s="843"/>
      <c r="AQE21" s="843"/>
      <c r="AQF21" s="843"/>
      <c r="AQG21" s="843"/>
      <c r="AQH21" s="843"/>
      <c r="AQI21" s="843"/>
      <c r="AQJ21" s="843"/>
      <c r="AQK21" s="843"/>
      <c r="AQL21" s="843"/>
      <c r="AQM21" s="843"/>
      <c r="AQN21" s="843"/>
      <c r="AQO21" s="843"/>
      <c r="AQP21" s="843"/>
      <c r="AQQ21" s="843"/>
      <c r="AQR21" s="843"/>
      <c r="AQS21" s="843"/>
      <c r="AQT21" s="843"/>
      <c r="AQU21" s="843"/>
      <c r="AQV21" s="843"/>
      <c r="AQW21" s="843"/>
      <c r="AQX21" s="843"/>
      <c r="AQY21" s="843"/>
      <c r="AQZ21" s="843"/>
      <c r="ARA21" s="843"/>
      <c r="ARB21" s="843"/>
      <c r="ARC21" s="843"/>
      <c r="ARD21" s="843"/>
      <c r="ARE21" s="843"/>
      <c r="ARF21" s="843"/>
      <c r="ARG21" s="843"/>
      <c r="ARH21" s="843"/>
      <c r="ARI21" s="843"/>
      <c r="ARJ21" s="843"/>
      <c r="ARK21" s="843"/>
      <c r="ARL21" s="843"/>
      <c r="ARM21" s="843"/>
      <c r="ARN21" s="843"/>
      <c r="ARO21" s="843"/>
      <c r="ARP21" s="843"/>
      <c r="ARQ21" s="843"/>
      <c r="ARR21" s="843"/>
      <c r="ARS21" s="843"/>
      <c r="ART21" s="843"/>
      <c r="ARU21" s="843"/>
      <c r="ARV21" s="843"/>
      <c r="ARW21" s="843"/>
      <c r="ARX21" s="843"/>
      <c r="ARY21" s="843"/>
      <c r="ARZ21" s="843"/>
      <c r="ASA21" s="843"/>
      <c r="ASB21" s="843"/>
      <c r="ASC21" s="843"/>
      <c r="ASD21" s="843"/>
      <c r="ASE21" s="843"/>
      <c r="ASF21" s="843"/>
      <c r="ASG21" s="843"/>
      <c r="ASH21" s="843"/>
      <c r="ASI21" s="843"/>
      <c r="ASJ21" s="843"/>
      <c r="ASK21" s="843"/>
      <c r="ASL21" s="843"/>
      <c r="ASM21" s="843"/>
      <c r="ASN21" s="843"/>
      <c r="ASO21" s="843"/>
      <c r="ASP21" s="843"/>
      <c r="ASQ21" s="843"/>
      <c r="ASR21" s="843"/>
      <c r="ASS21" s="843"/>
      <c r="AST21" s="843"/>
      <c r="ASU21" s="843"/>
      <c r="ASV21" s="843"/>
      <c r="ASW21" s="843"/>
      <c r="ASX21" s="843"/>
      <c r="ASY21" s="843"/>
      <c r="ASZ21" s="843"/>
      <c r="ATA21" s="843"/>
      <c r="ATB21" s="843"/>
      <c r="ATC21" s="843"/>
      <c r="ATD21" s="843"/>
      <c r="ATE21" s="843"/>
      <c r="ATF21" s="843"/>
      <c r="ATG21" s="843"/>
      <c r="ATH21" s="843"/>
      <c r="ATI21" s="843"/>
      <c r="ATJ21" s="843"/>
      <c r="ATK21" s="843"/>
      <c r="ATL21" s="843"/>
      <c r="ATM21" s="843"/>
      <c r="ATN21" s="843"/>
      <c r="ATO21" s="843"/>
      <c r="ATP21" s="843"/>
      <c r="ATQ21" s="843"/>
      <c r="ATR21" s="843"/>
      <c r="ATS21" s="843"/>
      <c r="ATT21" s="843"/>
      <c r="ATU21" s="843"/>
      <c r="ATV21" s="843"/>
      <c r="ATW21" s="843"/>
      <c r="ATX21" s="843"/>
      <c r="ATY21" s="843"/>
      <c r="ATZ21" s="843"/>
      <c r="AUA21" s="843"/>
      <c r="AUB21" s="843"/>
      <c r="AUC21" s="843"/>
      <c r="AUD21" s="843"/>
      <c r="AUE21" s="843"/>
      <c r="AUF21" s="843"/>
      <c r="AUG21" s="843"/>
      <c r="AUH21" s="843"/>
      <c r="AUI21" s="843"/>
      <c r="AUJ21" s="843"/>
      <c r="AUK21" s="843"/>
      <c r="AUL21" s="843"/>
      <c r="AUM21" s="843"/>
      <c r="AUN21" s="843"/>
      <c r="AUO21" s="843"/>
      <c r="AUP21" s="843"/>
      <c r="AUQ21" s="843"/>
      <c r="AUR21" s="843"/>
      <c r="AUS21" s="843"/>
      <c r="AUT21" s="843"/>
      <c r="AUU21" s="843"/>
      <c r="AUV21" s="843"/>
      <c r="AUW21" s="843"/>
      <c r="AUX21" s="843"/>
      <c r="AUY21" s="843"/>
      <c r="AUZ21" s="843"/>
      <c r="AVA21" s="843"/>
      <c r="AVB21" s="843"/>
      <c r="AVC21" s="843"/>
      <c r="AVD21" s="843"/>
      <c r="AVE21" s="843"/>
      <c r="AVF21" s="843"/>
      <c r="AVG21" s="843"/>
      <c r="AVH21" s="843"/>
      <c r="AVI21" s="843"/>
      <c r="AVJ21" s="843"/>
      <c r="AVK21" s="843"/>
      <c r="AVL21" s="843"/>
      <c r="AVM21" s="843"/>
      <c r="AVN21" s="843"/>
      <c r="AVO21" s="843"/>
      <c r="AVP21" s="843"/>
      <c r="AVQ21" s="843"/>
      <c r="AVR21" s="843"/>
      <c r="AVS21" s="843"/>
      <c r="AVT21" s="843"/>
      <c r="AVU21" s="843"/>
      <c r="AVV21" s="843"/>
      <c r="AVW21" s="843"/>
      <c r="AVX21" s="843"/>
      <c r="AVY21" s="843"/>
      <c r="AVZ21" s="843"/>
      <c r="AWA21" s="843"/>
      <c r="AWB21" s="843"/>
      <c r="AWC21" s="843"/>
      <c r="AWD21" s="843"/>
      <c r="AWE21" s="843"/>
      <c r="AWF21" s="843"/>
      <c r="AWG21" s="843"/>
      <c r="AWH21" s="843"/>
      <c r="AWI21" s="843"/>
      <c r="AWJ21" s="843"/>
      <c r="AWK21" s="843"/>
      <c r="AWL21" s="843"/>
      <c r="AWM21" s="843"/>
      <c r="AWN21" s="843"/>
      <c r="AWO21" s="843"/>
      <c r="AWP21" s="843"/>
      <c r="AWQ21" s="843"/>
      <c r="AWR21" s="843"/>
      <c r="AWS21" s="843"/>
      <c r="AWT21" s="843"/>
      <c r="AWU21" s="843"/>
      <c r="AWV21" s="843"/>
      <c r="AWW21" s="843"/>
      <c r="AWX21" s="843"/>
      <c r="AWY21" s="843"/>
      <c r="AWZ21" s="843"/>
      <c r="AXA21" s="843"/>
      <c r="AXB21" s="843"/>
      <c r="AXC21" s="843"/>
      <c r="AXD21" s="843"/>
      <c r="AXE21" s="843"/>
      <c r="AXF21" s="843"/>
      <c r="AXG21" s="843"/>
      <c r="AXH21" s="843"/>
      <c r="AXI21" s="843"/>
      <c r="AXJ21" s="843"/>
      <c r="AXK21" s="843"/>
      <c r="AXL21" s="843"/>
      <c r="AXM21" s="843"/>
      <c r="AXN21" s="843"/>
      <c r="AXO21" s="843"/>
      <c r="AXP21" s="843"/>
      <c r="AXQ21" s="843"/>
      <c r="AXR21" s="843"/>
      <c r="AXS21" s="843"/>
      <c r="AXT21" s="843"/>
      <c r="AXU21" s="843"/>
      <c r="AXV21" s="843"/>
      <c r="AXW21" s="843"/>
      <c r="AXX21" s="843"/>
      <c r="AXY21" s="843"/>
      <c r="AXZ21" s="843"/>
      <c r="AYA21" s="843"/>
      <c r="AYB21" s="843"/>
      <c r="AYC21" s="843"/>
      <c r="AYD21" s="843"/>
      <c r="AYE21" s="843"/>
      <c r="AYF21" s="843"/>
      <c r="AYG21" s="843"/>
      <c r="AYH21" s="843"/>
      <c r="AYI21" s="843"/>
      <c r="AYJ21" s="843"/>
      <c r="AYK21" s="843"/>
      <c r="AYL21" s="843"/>
      <c r="AYM21" s="843"/>
      <c r="AYN21" s="843"/>
      <c r="AYO21" s="843"/>
      <c r="AYP21" s="843"/>
      <c r="AYQ21" s="843"/>
      <c r="AYR21" s="843"/>
      <c r="AYS21" s="843"/>
      <c r="AYT21" s="843"/>
      <c r="AYU21" s="843"/>
      <c r="AYV21" s="843"/>
      <c r="AYW21" s="843"/>
      <c r="AYX21" s="843"/>
      <c r="AYY21" s="843"/>
      <c r="AYZ21" s="843"/>
      <c r="AZA21" s="843"/>
      <c r="AZB21" s="843"/>
      <c r="AZC21" s="843"/>
      <c r="AZD21" s="843"/>
      <c r="AZE21" s="843"/>
      <c r="AZF21" s="843"/>
      <c r="AZG21" s="843"/>
      <c r="AZH21" s="843"/>
      <c r="AZI21" s="843"/>
      <c r="AZJ21" s="843"/>
      <c r="AZK21" s="843"/>
      <c r="AZL21" s="843"/>
      <c r="AZM21" s="843"/>
      <c r="AZN21" s="843"/>
      <c r="AZO21" s="843"/>
      <c r="AZP21" s="843"/>
      <c r="AZQ21" s="843"/>
      <c r="AZR21" s="843"/>
      <c r="AZS21" s="843"/>
      <c r="AZT21" s="843"/>
      <c r="AZU21" s="843"/>
      <c r="AZV21" s="843"/>
      <c r="AZW21" s="843"/>
      <c r="AZX21" s="843"/>
      <c r="AZY21" s="843"/>
      <c r="AZZ21" s="843"/>
      <c r="BAA21" s="843"/>
      <c r="BAB21" s="843"/>
      <c r="BAC21" s="843"/>
      <c r="BAD21" s="843"/>
      <c r="BAE21" s="843"/>
      <c r="BAF21" s="843"/>
      <c r="BAG21" s="843"/>
      <c r="BAH21" s="843"/>
      <c r="BAI21" s="843"/>
      <c r="BAJ21" s="843"/>
      <c r="BAK21" s="843"/>
      <c r="BAL21" s="843"/>
      <c r="BAM21" s="843"/>
      <c r="BAN21" s="843"/>
      <c r="BAO21" s="843"/>
      <c r="BAP21" s="843"/>
      <c r="BAQ21" s="843"/>
      <c r="BAR21" s="843"/>
      <c r="BAS21" s="843"/>
      <c r="BAT21" s="843"/>
      <c r="BAU21" s="843"/>
      <c r="BAV21" s="843"/>
      <c r="BAW21" s="843"/>
      <c r="BAX21" s="843"/>
      <c r="BAY21" s="843"/>
      <c r="BAZ21" s="843"/>
      <c r="BBA21" s="843"/>
      <c r="BBB21" s="843"/>
      <c r="BBC21" s="843"/>
      <c r="BBD21" s="843"/>
      <c r="BBE21" s="843"/>
      <c r="BBF21" s="843"/>
      <c r="BBG21" s="843"/>
      <c r="BBH21" s="843"/>
      <c r="BBI21" s="843"/>
      <c r="BBJ21" s="843"/>
      <c r="BBK21" s="843"/>
      <c r="BBL21" s="843"/>
      <c r="BBM21" s="843"/>
      <c r="BBN21" s="843"/>
      <c r="BBO21" s="843"/>
      <c r="BBP21" s="843"/>
      <c r="BBQ21" s="843"/>
      <c r="BBR21" s="843"/>
      <c r="BBS21" s="843"/>
      <c r="BBT21" s="843"/>
      <c r="BBU21" s="843"/>
      <c r="BBV21" s="843"/>
      <c r="BBW21" s="843"/>
      <c r="BBX21" s="843"/>
      <c r="BBY21" s="843"/>
      <c r="BBZ21" s="843"/>
      <c r="BCA21" s="843"/>
      <c r="BCB21" s="843"/>
      <c r="BCC21" s="843"/>
      <c r="BCD21" s="843"/>
      <c r="BCE21" s="843"/>
      <c r="BCF21" s="843"/>
      <c r="BCG21" s="843"/>
      <c r="BCH21" s="843"/>
      <c r="BCI21" s="843"/>
      <c r="BCJ21" s="843"/>
      <c r="BCK21" s="843"/>
      <c r="BCL21" s="843"/>
      <c r="BCM21" s="843"/>
      <c r="BCN21" s="843"/>
      <c r="BCO21" s="843"/>
      <c r="BCP21" s="843"/>
      <c r="BCQ21" s="843"/>
      <c r="BCR21" s="843"/>
      <c r="BCS21" s="843"/>
      <c r="BCT21" s="843"/>
      <c r="BCU21" s="843"/>
      <c r="BCV21" s="843"/>
      <c r="BCW21" s="843"/>
      <c r="BCX21" s="843"/>
      <c r="BCY21" s="843"/>
      <c r="BCZ21" s="843"/>
      <c r="BDA21" s="843"/>
      <c r="BDB21" s="843"/>
      <c r="BDC21" s="843"/>
      <c r="BDD21" s="843"/>
      <c r="BDE21" s="843"/>
      <c r="BDF21" s="843"/>
      <c r="BDG21" s="843"/>
      <c r="BDH21" s="843"/>
      <c r="BDI21" s="843"/>
      <c r="BDJ21" s="843"/>
      <c r="BDK21" s="843"/>
      <c r="BDL21" s="843"/>
      <c r="BDM21" s="843"/>
      <c r="BDN21" s="843"/>
      <c r="BDO21" s="843"/>
      <c r="BDP21" s="843"/>
      <c r="BDQ21" s="843"/>
      <c r="BDR21" s="843"/>
      <c r="BDS21" s="843"/>
      <c r="BDT21" s="843"/>
      <c r="BDU21" s="843"/>
      <c r="BDV21" s="843"/>
      <c r="BDW21" s="843"/>
      <c r="BDX21" s="843"/>
      <c r="BDY21" s="843"/>
      <c r="BDZ21" s="843"/>
      <c r="BEA21" s="843"/>
      <c r="BEB21" s="843"/>
      <c r="BEC21" s="843"/>
      <c r="BED21" s="843"/>
      <c r="BEE21" s="843"/>
      <c r="BEF21" s="843"/>
      <c r="BEG21" s="843"/>
      <c r="BEH21" s="843"/>
      <c r="BEI21" s="843"/>
      <c r="BEJ21" s="843"/>
      <c r="BEK21" s="843"/>
      <c r="BEL21" s="843"/>
      <c r="BEM21" s="843"/>
      <c r="BEN21" s="843"/>
      <c r="BEO21" s="843"/>
      <c r="BEP21" s="843"/>
      <c r="BEQ21" s="843"/>
      <c r="BER21" s="843"/>
      <c r="BES21" s="843"/>
      <c r="BET21" s="843"/>
      <c r="BEU21" s="843"/>
      <c r="BEV21" s="843"/>
      <c r="BEW21" s="843"/>
      <c r="BEX21" s="843"/>
      <c r="BEY21" s="843"/>
      <c r="BEZ21" s="843"/>
      <c r="BFA21" s="843"/>
      <c r="BFB21" s="843"/>
      <c r="BFC21" s="843"/>
      <c r="BFD21" s="843"/>
      <c r="BFE21" s="843"/>
      <c r="BFF21" s="843"/>
      <c r="BFG21" s="843"/>
      <c r="BFH21" s="843"/>
      <c r="BFI21" s="843"/>
      <c r="BFJ21" s="843"/>
      <c r="BFK21" s="843"/>
      <c r="BFL21" s="843"/>
      <c r="BFM21" s="843"/>
      <c r="BFN21" s="843"/>
      <c r="BFO21" s="843"/>
      <c r="BFP21" s="843"/>
      <c r="BFQ21" s="843"/>
      <c r="BFR21" s="843"/>
      <c r="BFS21" s="843"/>
      <c r="BFT21" s="843"/>
      <c r="BFU21" s="843"/>
      <c r="BFV21" s="843"/>
      <c r="BFW21" s="843"/>
      <c r="BFX21" s="843"/>
      <c r="BFY21" s="843"/>
      <c r="BFZ21" s="843"/>
      <c r="BGA21" s="843"/>
      <c r="BGB21" s="843"/>
      <c r="BGC21" s="843"/>
      <c r="BGD21" s="843"/>
      <c r="BGE21" s="843"/>
      <c r="BGF21" s="843"/>
      <c r="BGG21" s="843"/>
      <c r="BGH21" s="843"/>
      <c r="BGI21" s="843"/>
      <c r="BGJ21" s="843"/>
      <c r="BGK21" s="843"/>
      <c r="BGL21" s="843"/>
      <c r="BGM21" s="843"/>
      <c r="BGN21" s="843"/>
      <c r="BGO21" s="843"/>
      <c r="BGP21" s="843"/>
      <c r="BGQ21" s="843"/>
      <c r="BGR21" s="843"/>
      <c r="BGS21" s="843"/>
      <c r="BGT21" s="843"/>
      <c r="BGU21" s="843"/>
      <c r="BGV21" s="843"/>
      <c r="BGW21" s="843"/>
      <c r="BGX21" s="843"/>
      <c r="BGY21" s="843"/>
      <c r="BGZ21" s="843"/>
      <c r="BHA21" s="843"/>
      <c r="BHB21" s="843"/>
      <c r="BHC21" s="843"/>
      <c r="BHD21" s="843"/>
      <c r="BHE21" s="843"/>
      <c r="BHF21" s="843"/>
      <c r="BHG21" s="843"/>
      <c r="BHH21" s="843"/>
      <c r="BHI21" s="843"/>
      <c r="BHJ21" s="843"/>
      <c r="BHK21" s="843"/>
      <c r="BHL21" s="843"/>
      <c r="BHM21" s="843"/>
      <c r="BHN21" s="843"/>
      <c r="BHO21" s="843"/>
      <c r="BHP21" s="843"/>
      <c r="BHQ21" s="843"/>
      <c r="BHR21" s="843"/>
      <c r="BHS21" s="843"/>
      <c r="BHT21" s="843"/>
      <c r="BHU21" s="843"/>
      <c r="BHV21" s="843"/>
      <c r="BHW21" s="843"/>
      <c r="BHX21" s="843"/>
      <c r="BHY21" s="843"/>
      <c r="BHZ21" s="843"/>
      <c r="BIA21" s="843"/>
      <c r="BIB21" s="843"/>
      <c r="BIC21" s="843"/>
      <c r="BID21" s="843"/>
      <c r="BIE21" s="843"/>
      <c r="BIF21" s="843"/>
      <c r="BIG21" s="843"/>
      <c r="BIH21" s="843"/>
      <c r="BII21" s="843"/>
      <c r="BIJ21" s="843"/>
      <c r="BIK21" s="843"/>
      <c r="BIL21" s="843"/>
      <c r="BIM21" s="843"/>
      <c r="BIN21" s="843"/>
      <c r="BIO21" s="843"/>
      <c r="BIP21" s="843"/>
      <c r="BIQ21" s="843"/>
      <c r="BIR21" s="843"/>
      <c r="BIS21" s="843"/>
      <c r="BIT21" s="843"/>
      <c r="BIU21" s="843"/>
      <c r="BIV21" s="843"/>
      <c r="BIW21" s="843"/>
      <c r="BIX21" s="843"/>
      <c r="BIY21" s="843"/>
      <c r="BIZ21" s="843"/>
      <c r="BJA21" s="843"/>
      <c r="BJB21" s="843"/>
      <c r="BJC21" s="843"/>
      <c r="BJD21" s="843"/>
      <c r="BJE21" s="843"/>
      <c r="BJF21" s="843"/>
      <c r="BJG21" s="843"/>
      <c r="BJH21" s="843"/>
      <c r="BJI21" s="843"/>
      <c r="BJJ21" s="843"/>
      <c r="BJK21" s="843"/>
      <c r="BJL21" s="843"/>
      <c r="BJM21" s="843"/>
      <c r="BJN21" s="843"/>
      <c r="BJO21" s="843"/>
      <c r="BJP21" s="843"/>
      <c r="BJQ21" s="843"/>
      <c r="BJR21" s="843"/>
      <c r="BJS21" s="843"/>
      <c r="BJT21" s="843"/>
      <c r="BJU21" s="843"/>
      <c r="BJV21" s="843"/>
      <c r="BJW21" s="843"/>
      <c r="BJX21" s="843"/>
      <c r="BJY21" s="843"/>
      <c r="BJZ21" s="843"/>
      <c r="BKA21" s="843"/>
      <c r="BKB21" s="843"/>
      <c r="BKC21" s="843"/>
      <c r="BKD21" s="843"/>
      <c r="BKE21" s="843"/>
      <c r="BKF21" s="843"/>
      <c r="BKG21" s="843"/>
      <c r="BKH21" s="843"/>
      <c r="BKI21" s="843"/>
      <c r="BKJ21" s="843"/>
      <c r="BKK21" s="843"/>
      <c r="BKL21" s="843"/>
      <c r="BKM21" s="843"/>
      <c r="BKN21" s="843"/>
      <c r="BKO21" s="843"/>
      <c r="BKP21" s="843"/>
      <c r="BKQ21" s="843"/>
      <c r="BKR21" s="843"/>
      <c r="BKS21" s="843"/>
      <c r="BKT21" s="843"/>
      <c r="BKU21" s="843"/>
      <c r="BKV21" s="843"/>
      <c r="BKW21" s="843"/>
      <c r="BKX21" s="843"/>
      <c r="BKY21" s="843"/>
      <c r="BKZ21" s="843"/>
      <c r="BLA21" s="843"/>
      <c r="BLB21" s="843"/>
      <c r="BLC21" s="843"/>
      <c r="BLD21" s="843"/>
      <c r="BLE21" s="843"/>
      <c r="BLF21" s="843"/>
      <c r="BLG21" s="843"/>
      <c r="BLH21" s="843"/>
      <c r="BLI21" s="843"/>
      <c r="BLJ21" s="843"/>
      <c r="BLK21" s="843"/>
      <c r="BLL21" s="843"/>
      <c r="BLM21" s="843"/>
      <c r="BLN21" s="843"/>
      <c r="BLO21" s="843"/>
      <c r="BLP21" s="843"/>
      <c r="BLQ21" s="843"/>
      <c r="BLR21" s="843"/>
      <c r="BLS21" s="843"/>
      <c r="BLT21" s="843"/>
      <c r="BLU21" s="843"/>
      <c r="BLV21" s="843"/>
      <c r="BLW21" s="843"/>
      <c r="BLX21" s="843"/>
      <c r="BLY21" s="843"/>
      <c r="BLZ21" s="843"/>
      <c r="BMA21" s="843"/>
      <c r="BMB21" s="843"/>
      <c r="BMC21" s="843"/>
      <c r="BMD21" s="843"/>
      <c r="BME21" s="843"/>
      <c r="BMF21" s="843"/>
      <c r="BMG21" s="843"/>
      <c r="BMH21" s="843"/>
      <c r="BMI21" s="843"/>
      <c r="BMJ21" s="843"/>
      <c r="BMK21" s="843"/>
      <c r="BML21" s="843"/>
      <c r="BMM21" s="843"/>
      <c r="BMN21" s="843"/>
      <c r="BMO21" s="843"/>
      <c r="BMP21" s="843"/>
      <c r="BMQ21" s="843"/>
      <c r="BMR21" s="843"/>
      <c r="BMS21" s="843"/>
      <c r="BMT21" s="843"/>
      <c r="BMU21" s="843"/>
      <c r="BMV21" s="843"/>
      <c r="BMW21" s="843"/>
      <c r="BMX21" s="843"/>
      <c r="BMY21" s="843"/>
      <c r="BMZ21" s="843"/>
      <c r="BNA21" s="843"/>
      <c r="BNB21" s="843"/>
      <c r="BNC21" s="843"/>
      <c r="BND21" s="843"/>
      <c r="BNE21" s="843"/>
      <c r="BNF21" s="843"/>
      <c r="BNG21" s="843"/>
      <c r="BNH21" s="843"/>
      <c r="BNI21" s="843"/>
      <c r="BNJ21" s="843"/>
      <c r="BNK21" s="843"/>
      <c r="BNL21" s="843"/>
      <c r="BNM21" s="843"/>
      <c r="BNN21" s="843"/>
      <c r="BNO21" s="843"/>
      <c r="BNP21" s="843"/>
      <c r="BNQ21" s="843"/>
      <c r="BNR21" s="843"/>
      <c r="BNS21" s="843"/>
      <c r="BNT21" s="843"/>
      <c r="BNU21" s="843"/>
      <c r="BNV21" s="843"/>
      <c r="BNW21" s="843"/>
      <c r="BNX21" s="843"/>
      <c r="BNY21" s="843"/>
      <c r="BNZ21" s="843"/>
      <c r="BOA21" s="843"/>
      <c r="BOB21" s="843"/>
      <c r="BOC21" s="843"/>
      <c r="BOD21" s="843"/>
      <c r="BOE21" s="843"/>
      <c r="BOF21" s="843"/>
      <c r="BOG21" s="843"/>
      <c r="BOH21" s="843"/>
      <c r="BOI21" s="843"/>
      <c r="BOJ21" s="843"/>
      <c r="BOK21" s="843"/>
      <c r="BOL21" s="843"/>
      <c r="BOM21" s="843"/>
      <c r="BON21" s="843"/>
      <c r="BOO21" s="843"/>
      <c r="BOP21" s="843"/>
      <c r="BOQ21" s="843"/>
      <c r="BOR21" s="843"/>
      <c r="BOS21" s="843"/>
      <c r="BOT21" s="843"/>
      <c r="BOU21" s="843"/>
      <c r="BOV21" s="843"/>
      <c r="BOW21" s="843"/>
      <c r="BOX21" s="843"/>
      <c r="BOY21" s="843"/>
      <c r="BOZ21" s="843"/>
      <c r="BPA21" s="843"/>
      <c r="BPB21" s="843"/>
      <c r="BPC21" s="843"/>
      <c r="BPD21" s="843"/>
      <c r="BPE21" s="843"/>
      <c r="BPF21" s="843"/>
      <c r="BPG21" s="843"/>
      <c r="BPH21" s="843"/>
      <c r="BPI21" s="843"/>
      <c r="BPJ21" s="843"/>
      <c r="BPK21" s="843"/>
      <c r="BPL21" s="843"/>
      <c r="BPM21" s="843"/>
      <c r="BPN21" s="843"/>
      <c r="BPO21" s="843"/>
      <c r="BPP21" s="843"/>
      <c r="BPQ21" s="843"/>
      <c r="BPR21" s="843"/>
      <c r="BPS21" s="843"/>
      <c r="BPT21" s="843"/>
      <c r="BPU21" s="843"/>
      <c r="BPV21" s="843"/>
      <c r="BPW21" s="843"/>
      <c r="BPX21" s="843"/>
      <c r="BPY21" s="843"/>
      <c r="BPZ21" s="843"/>
      <c r="BQA21" s="843"/>
      <c r="BQB21" s="843"/>
      <c r="BQC21" s="843"/>
      <c r="BQD21" s="843"/>
      <c r="BQE21" s="843"/>
      <c r="BQF21" s="843"/>
      <c r="BQG21" s="843"/>
      <c r="BQH21" s="843"/>
      <c r="BQI21" s="843"/>
      <c r="BQJ21" s="843"/>
      <c r="BQK21" s="843"/>
      <c r="BQL21" s="843"/>
      <c r="BQM21" s="843"/>
      <c r="BQN21" s="843"/>
      <c r="BQO21" s="843"/>
      <c r="BQP21" s="843"/>
      <c r="BQQ21" s="843"/>
      <c r="BQR21" s="843"/>
      <c r="BQS21" s="843"/>
      <c r="BQT21" s="843"/>
      <c r="BQU21" s="843"/>
      <c r="BQV21" s="843"/>
      <c r="BQW21" s="843"/>
      <c r="BQX21" s="843"/>
      <c r="BQY21" s="843"/>
      <c r="BQZ21" s="843"/>
      <c r="BRA21" s="843"/>
      <c r="BRB21" s="843"/>
      <c r="BRC21" s="843"/>
      <c r="BRD21" s="843"/>
      <c r="BRE21" s="843"/>
      <c r="BRF21" s="843"/>
      <c r="BRG21" s="843"/>
      <c r="BRH21" s="843"/>
      <c r="BRI21" s="843"/>
      <c r="BRJ21" s="843"/>
      <c r="BRK21" s="843"/>
      <c r="BRL21" s="843"/>
      <c r="BRM21" s="843"/>
      <c r="BRN21" s="843"/>
      <c r="BRO21" s="843"/>
      <c r="BRP21" s="843"/>
      <c r="BRQ21" s="843"/>
      <c r="BRR21" s="843"/>
      <c r="BRS21" s="843"/>
      <c r="BRT21" s="843"/>
      <c r="BRU21" s="843"/>
      <c r="BRV21" s="843"/>
      <c r="BRW21" s="843"/>
      <c r="BRX21" s="843"/>
      <c r="BRY21" s="843"/>
      <c r="BRZ21" s="843"/>
      <c r="BSA21" s="843"/>
      <c r="BSB21" s="843"/>
      <c r="BSC21" s="843"/>
      <c r="BSD21" s="843"/>
      <c r="BSE21" s="843"/>
      <c r="BSF21" s="843"/>
      <c r="BSG21" s="843"/>
      <c r="BSH21" s="843"/>
      <c r="BSI21" s="843"/>
      <c r="BSJ21" s="843"/>
      <c r="BSK21" s="843"/>
      <c r="BSL21" s="843"/>
      <c r="BSM21" s="843"/>
      <c r="BSN21" s="843"/>
      <c r="BSO21" s="843"/>
      <c r="BSP21" s="843"/>
      <c r="BSQ21" s="843"/>
      <c r="BSR21" s="843"/>
      <c r="BSS21" s="843"/>
      <c r="BST21" s="843"/>
    </row>
    <row r="22" spans="1:1866" s="824" customFormat="1" ht="21.9" customHeight="1" x14ac:dyDescent="0.25">
      <c r="A22" s="827"/>
      <c r="B22" s="3195" t="s">
        <v>859</v>
      </c>
      <c r="C22" s="3195"/>
      <c r="D22" s="3196"/>
      <c r="E22" s="1279"/>
      <c r="F22" s="1280"/>
      <c r="G22" s="1280"/>
      <c r="H22" s="1280"/>
      <c r="I22" s="1280"/>
      <c r="J22" s="1280"/>
      <c r="K22" s="1280"/>
      <c r="L22" s="1280"/>
      <c r="M22" s="1280"/>
      <c r="N22" s="1280"/>
      <c r="O22" s="1280"/>
      <c r="P22" s="1280"/>
      <c r="Q22" s="1281"/>
      <c r="R22" s="1281"/>
      <c r="S22" s="1281"/>
      <c r="T22" s="1453"/>
      <c r="U22" s="1281"/>
      <c r="V22" s="1453"/>
      <c r="W22" s="827"/>
      <c r="X22" s="827"/>
      <c r="Y22" s="827"/>
      <c r="Z22" s="827"/>
      <c r="AA22" s="866"/>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7"/>
      <c r="AY22" s="827"/>
      <c r="AZ22" s="827"/>
      <c r="BA22" s="827"/>
      <c r="BB22" s="827"/>
      <c r="BC22" s="827"/>
      <c r="BD22" s="827"/>
      <c r="BE22" s="827"/>
      <c r="BF22" s="827"/>
      <c r="BG22" s="827"/>
      <c r="BH22" s="827"/>
      <c r="BI22" s="827"/>
      <c r="BJ22" s="827"/>
      <c r="BK22" s="827"/>
      <c r="BL22" s="827"/>
      <c r="BM22" s="827"/>
      <c r="BN22" s="827"/>
      <c r="BO22" s="827"/>
      <c r="BP22" s="827"/>
      <c r="BQ22" s="827"/>
      <c r="BR22" s="827"/>
      <c r="BS22" s="827"/>
      <c r="BT22" s="827"/>
      <c r="BU22" s="827"/>
      <c r="BV22" s="827"/>
      <c r="BW22" s="827"/>
      <c r="BX22" s="827"/>
      <c r="BY22" s="827"/>
      <c r="BZ22" s="827"/>
      <c r="CA22" s="827"/>
      <c r="CB22" s="827"/>
      <c r="CC22" s="827"/>
      <c r="CD22" s="827"/>
      <c r="CE22" s="827"/>
      <c r="CF22" s="827"/>
      <c r="CG22" s="827"/>
      <c r="CH22" s="827"/>
      <c r="CI22" s="827"/>
      <c r="CJ22" s="827"/>
      <c r="CK22" s="827"/>
      <c r="CL22" s="827"/>
      <c r="CM22" s="827"/>
      <c r="CN22" s="827"/>
      <c r="CO22" s="827"/>
      <c r="CP22" s="827"/>
      <c r="CQ22" s="827"/>
      <c r="CR22" s="827"/>
      <c r="CS22" s="827"/>
      <c r="CT22" s="827"/>
      <c r="CU22" s="827"/>
      <c r="CV22" s="827"/>
      <c r="CW22" s="827"/>
      <c r="CX22" s="827"/>
      <c r="CY22" s="827"/>
      <c r="CZ22" s="827"/>
      <c r="DA22" s="827"/>
      <c r="DB22" s="827"/>
      <c r="DC22" s="827"/>
      <c r="DD22" s="827"/>
      <c r="DE22" s="827"/>
      <c r="DF22" s="827"/>
      <c r="DG22" s="827"/>
      <c r="DH22" s="827"/>
      <c r="DI22" s="827"/>
      <c r="DJ22" s="827"/>
      <c r="DK22" s="827"/>
      <c r="DL22" s="827"/>
      <c r="DM22" s="827"/>
      <c r="DN22" s="827"/>
      <c r="DO22" s="827"/>
      <c r="DP22" s="827"/>
      <c r="DQ22" s="827"/>
      <c r="DR22" s="827"/>
      <c r="DS22" s="827"/>
      <c r="DT22" s="827"/>
      <c r="DU22" s="827"/>
      <c r="DV22" s="827"/>
      <c r="DW22" s="827"/>
      <c r="DX22" s="827"/>
      <c r="DY22" s="827"/>
      <c r="DZ22" s="827"/>
      <c r="EA22" s="827"/>
      <c r="EB22" s="827"/>
      <c r="EC22" s="827"/>
      <c r="ED22" s="827"/>
      <c r="EE22" s="827"/>
      <c r="EF22" s="827"/>
      <c r="EG22" s="827"/>
      <c r="EH22" s="827"/>
      <c r="EI22" s="827"/>
      <c r="EJ22" s="827"/>
      <c r="EK22" s="827"/>
      <c r="EL22" s="827"/>
      <c r="EM22" s="827"/>
      <c r="EN22" s="827"/>
      <c r="EO22" s="827"/>
      <c r="EP22" s="827"/>
      <c r="EQ22" s="827"/>
      <c r="ER22" s="827"/>
      <c r="ES22" s="827"/>
      <c r="ET22" s="827"/>
      <c r="EU22" s="827"/>
      <c r="EV22" s="827"/>
      <c r="EW22" s="827"/>
      <c r="EX22" s="827"/>
      <c r="EY22" s="827"/>
      <c r="EZ22" s="827"/>
      <c r="FA22" s="827"/>
      <c r="FB22" s="827"/>
      <c r="FC22" s="827"/>
      <c r="FD22" s="827"/>
      <c r="FE22" s="827"/>
      <c r="FF22" s="827"/>
      <c r="FG22" s="827"/>
      <c r="FH22" s="827"/>
      <c r="FI22" s="827"/>
      <c r="FJ22" s="827"/>
      <c r="FK22" s="827"/>
      <c r="FL22" s="827"/>
      <c r="FM22" s="827"/>
      <c r="FN22" s="827"/>
      <c r="FO22" s="827"/>
      <c r="FP22" s="827"/>
      <c r="FQ22" s="827"/>
      <c r="FR22" s="827"/>
      <c r="FS22" s="827"/>
      <c r="FT22" s="827"/>
      <c r="FU22" s="827"/>
      <c r="FV22" s="827"/>
      <c r="FW22" s="827"/>
      <c r="FX22" s="827"/>
      <c r="FY22" s="827"/>
      <c r="FZ22" s="827"/>
      <c r="GA22" s="827"/>
      <c r="GB22" s="827"/>
      <c r="GC22" s="827"/>
      <c r="GD22" s="827"/>
      <c r="GE22" s="827"/>
      <c r="GF22" s="827"/>
      <c r="GG22" s="827"/>
      <c r="GH22" s="827"/>
      <c r="GI22" s="827"/>
      <c r="GJ22" s="827"/>
      <c r="GK22" s="827"/>
      <c r="GL22" s="827"/>
      <c r="GM22" s="827"/>
      <c r="GN22" s="827"/>
      <c r="GO22" s="827"/>
      <c r="GP22" s="827"/>
      <c r="GQ22" s="827"/>
      <c r="GR22" s="827"/>
      <c r="GS22" s="827"/>
      <c r="GT22" s="827"/>
      <c r="GU22" s="827"/>
      <c r="GV22" s="827"/>
      <c r="GW22" s="827"/>
      <c r="GX22" s="827"/>
      <c r="GY22" s="827"/>
      <c r="GZ22" s="827"/>
      <c r="HA22" s="827"/>
      <c r="HB22" s="827"/>
      <c r="HC22" s="827"/>
      <c r="HD22" s="827"/>
      <c r="HE22" s="827"/>
      <c r="HF22" s="827"/>
      <c r="HG22" s="827"/>
      <c r="HH22" s="827"/>
      <c r="HI22" s="827"/>
      <c r="HJ22" s="827"/>
      <c r="HK22" s="827"/>
      <c r="HL22" s="827"/>
      <c r="HM22" s="827"/>
      <c r="HN22" s="827"/>
      <c r="HO22" s="827"/>
      <c r="HP22" s="827"/>
      <c r="HQ22" s="827"/>
      <c r="HR22" s="827"/>
      <c r="HS22" s="827"/>
      <c r="HT22" s="827"/>
      <c r="HU22" s="827"/>
      <c r="HV22" s="827"/>
      <c r="HW22" s="827"/>
      <c r="HX22" s="827"/>
      <c r="HY22" s="827"/>
      <c r="HZ22" s="827"/>
      <c r="IA22" s="827"/>
      <c r="IB22" s="827"/>
      <c r="IC22" s="827"/>
      <c r="ID22" s="827"/>
      <c r="IE22" s="827"/>
      <c r="IF22" s="827"/>
      <c r="IG22" s="827"/>
      <c r="IH22" s="827"/>
      <c r="II22" s="827"/>
      <c r="IJ22" s="827"/>
      <c r="IK22" s="827"/>
      <c r="IL22" s="827"/>
      <c r="IM22" s="827"/>
      <c r="IN22" s="827"/>
      <c r="IO22" s="827"/>
      <c r="IP22" s="827"/>
      <c r="IQ22" s="827"/>
      <c r="IR22" s="827"/>
      <c r="IS22" s="827"/>
      <c r="IT22" s="827"/>
      <c r="IU22" s="827"/>
      <c r="IV22" s="827"/>
      <c r="IW22" s="827"/>
      <c r="IX22" s="827"/>
      <c r="IY22" s="827"/>
      <c r="IZ22" s="827"/>
      <c r="JA22" s="827"/>
      <c r="JB22" s="827"/>
      <c r="JC22" s="827"/>
      <c r="JD22" s="827"/>
      <c r="JE22" s="827"/>
      <c r="JF22" s="827"/>
      <c r="JG22" s="827"/>
      <c r="JH22" s="827"/>
      <c r="JI22" s="827"/>
      <c r="JJ22" s="827"/>
      <c r="JK22" s="827"/>
      <c r="JL22" s="827"/>
      <c r="JM22" s="827"/>
      <c r="JN22" s="827"/>
      <c r="JO22" s="827"/>
      <c r="JP22" s="827"/>
      <c r="JQ22" s="827"/>
      <c r="JR22" s="827"/>
      <c r="JS22" s="827"/>
      <c r="JT22" s="827"/>
      <c r="JU22" s="827"/>
      <c r="JV22" s="827"/>
      <c r="JW22" s="827"/>
      <c r="JX22" s="827"/>
      <c r="JY22" s="827"/>
      <c r="JZ22" s="827"/>
      <c r="KA22" s="827"/>
      <c r="KB22" s="827"/>
      <c r="KC22" s="827"/>
      <c r="KD22" s="827"/>
      <c r="KE22" s="827"/>
      <c r="KF22" s="827"/>
      <c r="KG22" s="827"/>
      <c r="KH22" s="827"/>
      <c r="KI22" s="827"/>
      <c r="KJ22" s="827"/>
      <c r="KK22" s="827"/>
      <c r="KL22" s="827"/>
      <c r="KM22" s="827"/>
      <c r="KN22" s="827"/>
      <c r="KO22" s="827"/>
      <c r="KP22" s="827"/>
      <c r="KQ22" s="827"/>
      <c r="KR22" s="827"/>
      <c r="KS22" s="827"/>
      <c r="KT22" s="827"/>
      <c r="KU22" s="827"/>
      <c r="KV22" s="827"/>
      <c r="KW22" s="827"/>
      <c r="KX22" s="827"/>
      <c r="KY22" s="827"/>
      <c r="KZ22" s="827"/>
      <c r="LA22" s="827"/>
      <c r="LB22" s="827"/>
      <c r="LC22" s="827"/>
      <c r="LD22" s="827"/>
      <c r="LE22" s="827"/>
      <c r="LF22" s="827"/>
      <c r="LG22" s="827"/>
      <c r="LH22" s="827"/>
      <c r="LI22" s="827"/>
      <c r="LJ22" s="827"/>
      <c r="LK22" s="827"/>
      <c r="LL22" s="827"/>
      <c r="LM22" s="827"/>
      <c r="LN22" s="827"/>
      <c r="LO22" s="827"/>
      <c r="LP22" s="827"/>
      <c r="LQ22" s="827"/>
      <c r="LR22" s="827"/>
      <c r="LS22" s="827"/>
      <c r="LT22" s="827"/>
      <c r="LU22" s="827"/>
      <c r="LV22" s="827"/>
      <c r="LW22" s="827"/>
      <c r="LX22" s="827"/>
      <c r="LY22" s="827"/>
      <c r="LZ22" s="827"/>
      <c r="MA22" s="827"/>
      <c r="MB22" s="827"/>
      <c r="MC22" s="827"/>
      <c r="MD22" s="827"/>
      <c r="ME22" s="827"/>
      <c r="MF22" s="827"/>
      <c r="MG22" s="827"/>
      <c r="MH22" s="827"/>
      <c r="MI22" s="827"/>
      <c r="MJ22" s="827"/>
      <c r="MK22" s="827"/>
      <c r="ML22" s="827"/>
      <c r="MM22" s="827"/>
      <c r="MN22" s="827"/>
      <c r="MO22" s="827"/>
      <c r="MP22" s="827"/>
      <c r="MQ22" s="827"/>
      <c r="MR22" s="827"/>
      <c r="MS22" s="827"/>
      <c r="MT22" s="827"/>
      <c r="MU22" s="827"/>
      <c r="MV22" s="827"/>
      <c r="MW22" s="827"/>
      <c r="MX22" s="827"/>
      <c r="MY22" s="827"/>
      <c r="MZ22" s="827"/>
      <c r="NA22" s="827"/>
      <c r="NB22" s="827"/>
      <c r="NC22" s="827"/>
      <c r="ND22" s="827"/>
      <c r="NE22" s="827"/>
      <c r="NF22" s="827"/>
      <c r="NG22" s="827"/>
      <c r="NH22" s="827"/>
      <c r="NI22" s="827"/>
      <c r="NJ22" s="827"/>
      <c r="NK22" s="827"/>
      <c r="NL22" s="827"/>
      <c r="NM22" s="827"/>
      <c r="NN22" s="827"/>
      <c r="NO22" s="827"/>
      <c r="NP22" s="827"/>
      <c r="NQ22" s="827"/>
      <c r="NR22" s="827"/>
      <c r="NS22" s="827"/>
      <c r="NT22" s="827"/>
      <c r="NU22" s="827"/>
      <c r="NV22" s="827"/>
      <c r="NW22" s="827"/>
      <c r="NX22" s="827"/>
      <c r="NY22" s="827"/>
      <c r="NZ22" s="827"/>
      <c r="OA22" s="827"/>
      <c r="OB22" s="827"/>
      <c r="OC22" s="827"/>
      <c r="OD22" s="827"/>
      <c r="OE22" s="827"/>
      <c r="OF22" s="827"/>
      <c r="OG22" s="827"/>
      <c r="OH22" s="827"/>
      <c r="OI22" s="827"/>
      <c r="OJ22" s="827"/>
      <c r="OK22" s="827"/>
      <c r="OL22" s="827"/>
      <c r="OM22" s="827"/>
      <c r="ON22" s="827"/>
      <c r="OO22" s="827"/>
      <c r="OP22" s="827"/>
      <c r="OQ22" s="827"/>
      <c r="OR22" s="827"/>
      <c r="OS22" s="827"/>
      <c r="OT22" s="827"/>
      <c r="OU22" s="827"/>
      <c r="OV22" s="827"/>
      <c r="OW22" s="827"/>
      <c r="OX22" s="827"/>
      <c r="OY22" s="827"/>
      <c r="OZ22" s="827"/>
      <c r="PA22" s="827"/>
      <c r="PB22" s="827"/>
      <c r="PC22" s="827"/>
      <c r="PD22" s="827"/>
      <c r="PE22" s="827"/>
      <c r="PF22" s="827"/>
      <c r="PG22" s="827"/>
      <c r="PH22" s="827"/>
      <c r="PI22" s="827"/>
      <c r="PJ22" s="827"/>
      <c r="PK22" s="827"/>
      <c r="PL22" s="827"/>
      <c r="PM22" s="827"/>
      <c r="PN22" s="827"/>
      <c r="PO22" s="827"/>
      <c r="PP22" s="827"/>
      <c r="PQ22" s="827"/>
      <c r="PR22" s="827"/>
      <c r="PS22" s="827"/>
      <c r="PT22" s="827"/>
      <c r="PU22" s="827"/>
      <c r="PV22" s="827"/>
      <c r="PW22" s="827"/>
      <c r="PX22" s="827"/>
      <c r="PY22" s="827"/>
      <c r="PZ22" s="827"/>
      <c r="QA22" s="827"/>
      <c r="QB22" s="827"/>
      <c r="QC22" s="827"/>
      <c r="QD22" s="827"/>
      <c r="QE22" s="827"/>
      <c r="QF22" s="827"/>
      <c r="QG22" s="827"/>
      <c r="QH22" s="827"/>
      <c r="QI22" s="827"/>
      <c r="QJ22" s="827"/>
      <c r="QK22" s="827"/>
      <c r="QL22" s="827"/>
      <c r="QM22" s="827"/>
      <c r="QN22" s="827"/>
      <c r="QO22" s="827"/>
      <c r="QP22" s="827"/>
      <c r="QQ22" s="827"/>
      <c r="QR22" s="827"/>
      <c r="QS22" s="827"/>
      <c r="QT22" s="827"/>
      <c r="QU22" s="827"/>
      <c r="QV22" s="827"/>
      <c r="QW22" s="827"/>
      <c r="QX22" s="827"/>
      <c r="QY22" s="827"/>
      <c r="QZ22" s="827"/>
      <c r="RA22" s="827"/>
      <c r="RB22" s="827"/>
      <c r="RC22" s="827"/>
      <c r="RD22" s="827"/>
      <c r="RE22" s="827"/>
      <c r="RF22" s="827"/>
      <c r="RG22" s="827"/>
      <c r="RH22" s="827"/>
      <c r="RI22" s="827"/>
      <c r="RJ22" s="827"/>
      <c r="RK22" s="827"/>
      <c r="RL22" s="827"/>
      <c r="RM22" s="827"/>
      <c r="RN22" s="827"/>
      <c r="RO22" s="827"/>
      <c r="RP22" s="827"/>
      <c r="RQ22" s="827"/>
      <c r="RR22" s="827"/>
      <c r="RS22" s="827"/>
      <c r="RT22" s="827"/>
      <c r="RU22" s="827"/>
      <c r="RV22" s="827"/>
      <c r="RW22" s="827"/>
      <c r="RX22" s="827"/>
      <c r="RY22" s="827"/>
      <c r="RZ22" s="827"/>
      <c r="SA22" s="827"/>
      <c r="SB22" s="827"/>
      <c r="SC22" s="827"/>
      <c r="SD22" s="827"/>
      <c r="SE22" s="827"/>
      <c r="SF22" s="827"/>
      <c r="SG22" s="827"/>
      <c r="SH22" s="827"/>
      <c r="SI22" s="827"/>
      <c r="SJ22" s="827"/>
      <c r="SK22" s="827"/>
      <c r="SL22" s="827"/>
      <c r="SM22" s="827"/>
      <c r="SN22" s="827"/>
      <c r="SO22" s="827"/>
      <c r="SP22" s="827"/>
      <c r="SQ22" s="827"/>
      <c r="SR22" s="827"/>
      <c r="SS22" s="827"/>
      <c r="ST22" s="827"/>
      <c r="SU22" s="827"/>
      <c r="SV22" s="827"/>
      <c r="SW22" s="827"/>
      <c r="SX22" s="827"/>
      <c r="SY22" s="827"/>
      <c r="SZ22" s="827"/>
      <c r="TA22" s="827"/>
      <c r="TB22" s="827"/>
      <c r="TC22" s="827"/>
      <c r="TD22" s="827"/>
      <c r="TE22" s="827"/>
      <c r="TF22" s="827"/>
      <c r="TG22" s="827"/>
      <c r="TH22" s="827"/>
      <c r="TI22" s="827"/>
      <c r="TJ22" s="827"/>
      <c r="TK22" s="827"/>
      <c r="TL22" s="827"/>
      <c r="TM22" s="827"/>
      <c r="TN22" s="827"/>
      <c r="TO22" s="827"/>
      <c r="TP22" s="827"/>
      <c r="TQ22" s="827"/>
      <c r="TR22" s="827"/>
      <c r="TS22" s="827"/>
      <c r="TT22" s="827"/>
      <c r="TU22" s="827"/>
      <c r="TV22" s="827"/>
      <c r="TW22" s="827"/>
      <c r="TX22" s="827"/>
      <c r="TY22" s="827"/>
      <c r="TZ22" s="827"/>
      <c r="UA22" s="827"/>
      <c r="UB22" s="827"/>
      <c r="UC22" s="827"/>
      <c r="UD22" s="827"/>
      <c r="UE22" s="827"/>
      <c r="UF22" s="827"/>
      <c r="UG22" s="827"/>
      <c r="UH22" s="827"/>
      <c r="UI22" s="827"/>
      <c r="UJ22" s="827"/>
      <c r="UK22" s="827"/>
      <c r="UL22" s="827"/>
      <c r="UM22" s="827"/>
      <c r="UN22" s="827"/>
      <c r="UO22" s="827"/>
      <c r="UP22" s="827"/>
      <c r="UQ22" s="827"/>
      <c r="UR22" s="827"/>
      <c r="US22" s="827"/>
      <c r="UT22" s="827"/>
      <c r="UU22" s="827"/>
      <c r="UV22" s="827"/>
      <c r="UW22" s="827"/>
      <c r="UX22" s="827"/>
      <c r="UY22" s="827"/>
      <c r="UZ22" s="827"/>
      <c r="VA22" s="827"/>
      <c r="VB22" s="827"/>
      <c r="VC22" s="827"/>
      <c r="VD22" s="827"/>
      <c r="VE22" s="827"/>
      <c r="VF22" s="827"/>
      <c r="VG22" s="827"/>
      <c r="VH22" s="827"/>
      <c r="VI22" s="827"/>
      <c r="VJ22" s="827"/>
      <c r="VK22" s="827"/>
      <c r="VL22" s="827"/>
      <c r="VM22" s="827"/>
      <c r="VN22" s="827"/>
      <c r="VO22" s="827"/>
      <c r="VP22" s="827"/>
      <c r="VQ22" s="827"/>
      <c r="VR22" s="827"/>
      <c r="VS22" s="827"/>
      <c r="VT22" s="827"/>
      <c r="VU22" s="827"/>
      <c r="VV22" s="827"/>
      <c r="VW22" s="827"/>
      <c r="VX22" s="827"/>
      <c r="VY22" s="827"/>
      <c r="VZ22" s="827"/>
      <c r="WA22" s="827"/>
      <c r="WB22" s="827"/>
      <c r="WC22" s="827"/>
      <c r="WD22" s="827"/>
      <c r="WE22" s="827"/>
      <c r="WF22" s="827"/>
      <c r="WG22" s="827"/>
      <c r="WH22" s="827"/>
      <c r="WI22" s="827"/>
      <c r="WJ22" s="827"/>
      <c r="WK22" s="827"/>
      <c r="WL22" s="827"/>
      <c r="WM22" s="827"/>
      <c r="WN22" s="827"/>
      <c r="WO22" s="827"/>
      <c r="WP22" s="827"/>
      <c r="WQ22" s="827"/>
      <c r="WR22" s="827"/>
      <c r="WS22" s="827"/>
      <c r="WT22" s="827"/>
      <c r="WU22" s="827"/>
      <c r="WV22" s="827"/>
      <c r="WW22" s="827"/>
      <c r="WX22" s="827"/>
      <c r="WY22" s="827"/>
      <c r="WZ22" s="827"/>
      <c r="XA22" s="827"/>
      <c r="XB22" s="827"/>
      <c r="XC22" s="827"/>
      <c r="XD22" s="827"/>
      <c r="XE22" s="827"/>
      <c r="XF22" s="827"/>
      <c r="XG22" s="827"/>
      <c r="XH22" s="827"/>
      <c r="XI22" s="827"/>
      <c r="XJ22" s="827"/>
      <c r="XK22" s="827"/>
      <c r="XL22" s="827"/>
      <c r="XM22" s="827"/>
      <c r="XN22" s="827"/>
      <c r="XO22" s="827"/>
      <c r="XP22" s="827"/>
      <c r="XQ22" s="827"/>
      <c r="XR22" s="827"/>
      <c r="XS22" s="827"/>
      <c r="XT22" s="827"/>
      <c r="XU22" s="827"/>
      <c r="XV22" s="827"/>
      <c r="XW22" s="827"/>
      <c r="XX22" s="827"/>
      <c r="XY22" s="827"/>
      <c r="XZ22" s="827"/>
      <c r="YA22" s="827"/>
      <c r="YB22" s="827"/>
      <c r="YC22" s="827"/>
      <c r="YD22" s="827"/>
      <c r="YE22" s="827"/>
      <c r="YF22" s="827"/>
      <c r="YG22" s="827"/>
      <c r="YH22" s="827"/>
      <c r="YI22" s="827"/>
      <c r="YJ22" s="827"/>
      <c r="YK22" s="827"/>
      <c r="YL22" s="827"/>
      <c r="YM22" s="827"/>
      <c r="YN22" s="827"/>
      <c r="YO22" s="827"/>
      <c r="YP22" s="827"/>
      <c r="YQ22" s="827"/>
      <c r="YR22" s="827"/>
      <c r="YS22" s="827"/>
      <c r="YT22" s="827"/>
      <c r="YU22" s="827"/>
      <c r="YV22" s="827"/>
      <c r="YW22" s="827"/>
      <c r="YX22" s="827"/>
      <c r="YY22" s="827"/>
      <c r="YZ22" s="827"/>
      <c r="ZA22" s="827"/>
      <c r="ZB22" s="827"/>
      <c r="ZC22" s="827"/>
      <c r="ZD22" s="827"/>
      <c r="ZE22" s="827"/>
      <c r="ZF22" s="827"/>
      <c r="ZG22" s="827"/>
      <c r="ZH22" s="827"/>
      <c r="ZI22" s="827"/>
      <c r="ZJ22" s="827"/>
      <c r="ZK22" s="827"/>
      <c r="ZL22" s="827"/>
      <c r="ZM22" s="827"/>
      <c r="ZN22" s="827"/>
      <c r="ZO22" s="827"/>
      <c r="ZP22" s="827"/>
      <c r="ZQ22" s="827"/>
      <c r="ZR22" s="827"/>
      <c r="ZS22" s="827"/>
      <c r="ZT22" s="827"/>
      <c r="ZU22" s="827"/>
      <c r="ZV22" s="827"/>
      <c r="ZW22" s="827"/>
      <c r="ZX22" s="827"/>
      <c r="ZY22" s="827"/>
      <c r="ZZ22" s="827"/>
      <c r="AAA22" s="827"/>
      <c r="AAB22" s="827"/>
      <c r="AAC22" s="827"/>
      <c r="AAD22" s="827"/>
      <c r="AAE22" s="827"/>
      <c r="AAF22" s="827"/>
      <c r="AAG22" s="827"/>
      <c r="AAH22" s="827"/>
      <c r="AAI22" s="827"/>
      <c r="AAJ22" s="827"/>
      <c r="AAK22" s="827"/>
      <c r="AAL22" s="827"/>
      <c r="AAM22" s="827"/>
      <c r="AAN22" s="827"/>
      <c r="AAO22" s="827"/>
      <c r="AAP22" s="827"/>
      <c r="AAQ22" s="827"/>
      <c r="AAR22" s="827"/>
      <c r="AAS22" s="827"/>
      <c r="AAT22" s="827"/>
      <c r="AAU22" s="827"/>
      <c r="AAV22" s="827"/>
      <c r="AAW22" s="827"/>
      <c r="AAX22" s="827"/>
      <c r="AAY22" s="827"/>
      <c r="AAZ22" s="827"/>
      <c r="ABA22" s="827"/>
      <c r="ABB22" s="827"/>
      <c r="ABC22" s="827"/>
      <c r="ABD22" s="827"/>
      <c r="ABE22" s="827"/>
      <c r="ABF22" s="827"/>
      <c r="ABG22" s="827"/>
      <c r="ABH22" s="827"/>
      <c r="ABI22" s="827"/>
      <c r="ABJ22" s="827"/>
      <c r="ABK22" s="827"/>
      <c r="ABL22" s="827"/>
      <c r="ABM22" s="827"/>
      <c r="ABN22" s="827"/>
      <c r="ABO22" s="827"/>
      <c r="ABP22" s="827"/>
      <c r="ABQ22" s="827"/>
      <c r="ABR22" s="827"/>
      <c r="ABS22" s="827"/>
      <c r="ABT22" s="827"/>
      <c r="ABU22" s="827"/>
      <c r="ABV22" s="827"/>
      <c r="ABW22" s="827"/>
      <c r="ABX22" s="827"/>
      <c r="ABY22" s="827"/>
      <c r="ABZ22" s="827"/>
      <c r="ACA22" s="827"/>
      <c r="ACB22" s="827"/>
      <c r="ACC22" s="827"/>
      <c r="ACD22" s="827"/>
      <c r="ACE22" s="827"/>
      <c r="ACF22" s="827"/>
      <c r="ACG22" s="827"/>
      <c r="ACH22" s="827"/>
      <c r="ACI22" s="827"/>
      <c r="ACJ22" s="827"/>
      <c r="ACK22" s="827"/>
      <c r="ACL22" s="827"/>
      <c r="ACM22" s="827"/>
      <c r="ACN22" s="827"/>
      <c r="ACO22" s="827"/>
      <c r="ACP22" s="827"/>
      <c r="ACQ22" s="827"/>
      <c r="ACR22" s="827"/>
      <c r="ACS22" s="827"/>
      <c r="ACT22" s="827"/>
      <c r="ACU22" s="827"/>
      <c r="ACV22" s="827"/>
      <c r="ACW22" s="827"/>
      <c r="ACX22" s="827"/>
      <c r="ACY22" s="827"/>
      <c r="ACZ22" s="827"/>
      <c r="ADA22" s="827"/>
      <c r="ADB22" s="827"/>
      <c r="ADC22" s="827"/>
      <c r="ADD22" s="827"/>
      <c r="ADE22" s="827"/>
      <c r="ADF22" s="827"/>
      <c r="ADG22" s="827"/>
      <c r="ADH22" s="827"/>
      <c r="ADI22" s="827"/>
      <c r="ADJ22" s="827"/>
      <c r="ADK22" s="827"/>
      <c r="ADL22" s="827"/>
      <c r="ADM22" s="827"/>
      <c r="ADN22" s="827"/>
      <c r="ADO22" s="827"/>
      <c r="ADP22" s="827"/>
      <c r="ADQ22" s="827"/>
      <c r="ADR22" s="827"/>
      <c r="ADS22" s="827"/>
      <c r="ADT22" s="827"/>
      <c r="ADU22" s="827"/>
      <c r="ADV22" s="827"/>
      <c r="ADW22" s="827"/>
      <c r="ADX22" s="827"/>
      <c r="ADY22" s="827"/>
      <c r="ADZ22" s="827"/>
      <c r="AEA22" s="827"/>
      <c r="AEB22" s="827"/>
      <c r="AEC22" s="827"/>
      <c r="AED22" s="827"/>
      <c r="AEE22" s="827"/>
      <c r="AEF22" s="827"/>
      <c r="AEG22" s="827"/>
      <c r="AEH22" s="827"/>
      <c r="AEI22" s="827"/>
      <c r="AEJ22" s="827"/>
      <c r="AEK22" s="827"/>
      <c r="AEL22" s="827"/>
      <c r="AEM22" s="827"/>
      <c r="AEN22" s="827"/>
      <c r="AEO22" s="827"/>
      <c r="AEP22" s="827"/>
      <c r="AEQ22" s="827"/>
      <c r="AER22" s="827"/>
      <c r="AES22" s="827"/>
      <c r="AET22" s="827"/>
      <c r="AEU22" s="827"/>
      <c r="AEV22" s="827"/>
      <c r="AEW22" s="827"/>
      <c r="AEX22" s="827"/>
      <c r="AEY22" s="827"/>
      <c r="AEZ22" s="827"/>
      <c r="AFA22" s="827"/>
      <c r="AFB22" s="827"/>
      <c r="AFC22" s="827"/>
      <c r="AFD22" s="827"/>
      <c r="AFE22" s="827"/>
      <c r="AFF22" s="827"/>
      <c r="AFG22" s="827"/>
      <c r="AFH22" s="827"/>
      <c r="AFI22" s="827"/>
      <c r="AFJ22" s="827"/>
      <c r="AFK22" s="827"/>
      <c r="AFL22" s="827"/>
      <c r="AFM22" s="827"/>
      <c r="AFN22" s="827"/>
      <c r="AFO22" s="827"/>
      <c r="AFP22" s="827"/>
      <c r="AFQ22" s="827"/>
      <c r="AFR22" s="827"/>
      <c r="AFS22" s="827"/>
      <c r="AFT22" s="827"/>
      <c r="AFU22" s="827"/>
      <c r="AFV22" s="827"/>
      <c r="AFW22" s="827"/>
      <c r="AFX22" s="827"/>
      <c r="AFY22" s="827"/>
      <c r="AFZ22" s="827"/>
      <c r="AGA22" s="827"/>
      <c r="AGB22" s="827"/>
      <c r="AGC22" s="827"/>
      <c r="AGD22" s="827"/>
      <c r="AGE22" s="827"/>
      <c r="AGF22" s="827"/>
      <c r="AGG22" s="827"/>
      <c r="AGH22" s="827"/>
      <c r="AGI22" s="827"/>
      <c r="AGJ22" s="827"/>
      <c r="AGK22" s="827"/>
      <c r="AGL22" s="827"/>
      <c r="AGM22" s="827"/>
      <c r="AGN22" s="827"/>
      <c r="AGO22" s="827"/>
      <c r="AGP22" s="827"/>
      <c r="AGQ22" s="827"/>
      <c r="AGR22" s="827"/>
      <c r="AGS22" s="827"/>
      <c r="AGT22" s="827"/>
      <c r="AGU22" s="827"/>
      <c r="AGV22" s="827"/>
      <c r="AGW22" s="827"/>
      <c r="AGX22" s="827"/>
      <c r="AGY22" s="827"/>
      <c r="AGZ22" s="827"/>
      <c r="AHA22" s="827"/>
      <c r="AHB22" s="827"/>
      <c r="AHC22" s="827"/>
      <c r="AHD22" s="827"/>
      <c r="AHE22" s="827"/>
      <c r="AHF22" s="827"/>
      <c r="AHG22" s="827"/>
      <c r="AHH22" s="827"/>
      <c r="AHI22" s="827"/>
      <c r="AHJ22" s="827"/>
      <c r="AHK22" s="827"/>
      <c r="AHL22" s="827"/>
      <c r="AHM22" s="827"/>
      <c r="AHN22" s="827"/>
      <c r="AHO22" s="827"/>
      <c r="AHP22" s="827"/>
      <c r="AHQ22" s="827"/>
      <c r="AHR22" s="827"/>
      <c r="AHS22" s="827"/>
      <c r="AHT22" s="827"/>
      <c r="AHU22" s="827"/>
      <c r="AHV22" s="827"/>
      <c r="AHW22" s="827"/>
      <c r="AHX22" s="827"/>
      <c r="AHY22" s="827"/>
      <c r="AHZ22" s="827"/>
      <c r="AIA22" s="827"/>
      <c r="AIB22" s="827"/>
      <c r="AIC22" s="827"/>
      <c r="AID22" s="827"/>
      <c r="AIE22" s="827"/>
      <c r="AIF22" s="827"/>
      <c r="AIG22" s="827"/>
      <c r="AIH22" s="827"/>
      <c r="AII22" s="827"/>
      <c r="AIJ22" s="827"/>
      <c r="AIK22" s="827"/>
      <c r="AIL22" s="827"/>
      <c r="AIM22" s="827"/>
      <c r="AIN22" s="827"/>
      <c r="AIO22" s="827"/>
      <c r="AIP22" s="827"/>
      <c r="AIQ22" s="827"/>
      <c r="AIR22" s="827"/>
      <c r="AIS22" s="827"/>
      <c r="AIT22" s="827"/>
      <c r="AIU22" s="827"/>
      <c r="AIV22" s="827"/>
      <c r="AIW22" s="827"/>
      <c r="AIX22" s="827"/>
      <c r="AIY22" s="827"/>
      <c r="AIZ22" s="827"/>
      <c r="AJA22" s="827"/>
      <c r="AJB22" s="827"/>
      <c r="AJC22" s="827"/>
      <c r="AJD22" s="827"/>
      <c r="AJE22" s="827"/>
      <c r="AJF22" s="827"/>
      <c r="AJG22" s="827"/>
      <c r="AJH22" s="827"/>
      <c r="AJI22" s="827"/>
      <c r="AJJ22" s="827"/>
      <c r="AJK22" s="827"/>
      <c r="AJL22" s="827"/>
      <c r="AJM22" s="827"/>
      <c r="AJN22" s="827"/>
      <c r="AJO22" s="827"/>
      <c r="AJP22" s="827"/>
      <c r="AJQ22" s="827"/>
      <c r="AJR22" s="827"/>
      <c r="AJS22" s="827"/>
      <c r="AJT22" s="827"/>
      <c r="AJU22" s="827"/>
      <c r="AJV22" s="827"/>
      <c r="AJW22" s="827"/>
      <c r="AJX22" s="827"/>
      <c r="AJY22" s="827"/>
      <c r="AJZ22" s="827"/>
      <c r="AKA22" s="827"/>
      <c r="AKB22" s="827"/>
      <c r="AKC22" s="827"/>
      <c r="AKD22" s="827"/>
      <c r="AKE22" s="827"/>
      <c r="AKF22" s="827"/>
      <c r="AKG22" s="827"/>
      <c r="AKH22" s="827"/>
      <c r="AKI22" s="827"/>
      <c r="AKJ22" s="827"/>
      <c r="AKK22" s="827"/>
      <c r="AKL22" s="827"/>
      <c r="AKM22" s="827"/>
      <c r="AKN22" s="827"/>
      <c r="AKO22" s="827"/>
      <c r="AKP22" s="827"/>
      <c r="AKQ22" s="827"/>
      <c r="AKR22" s="827"/>
      <c r="AKS22" s="827"/>
      <c r="AKT22" s="827"/>
      <c r="AKU22" s="827"/>
      <c r="AKV22" s="827"/>
      <c r="AKW22" s="827"/>
      <c r="AKX22" s="827"/>
      <c r="AKY22" s="827"/>
      <c r="AKZ22" s="827"/>
      <c r="ALA22" s="827"/>
      <c r="ALB22" s="827"/>
      <c r="ALC22" s="827"/>
      <c r="ALD22" s="827"/>
      <c r="ALE22" s="827"/>
      <c r="ALF22" s="827"/>
      <c r="ALG22" s="827"/>
      <c r="ALH22" s="827"/>
      <c r="ALI22" s="827"/>
      <c r="ALJ22" s="827"/>
      <c r="ALK22" s="827"/>
      <c r="ALL22" s="827"/>
      <c r="ALM22" s="827"/>
      <c r="ALN22" s="827"/>
      <c r="ALO22" s="827"/>
      <c r="ALP22" s="827"/>
      <c r="ALQ22" s="827"/>
      <c r="ALR22" s="827"/>
      <c r="ALS22" s="827"/>
      <c r="ALT22" s="827"/>
      <c r="ALU22" s="827"/>
      <c r="ALV22" s="827"/>
      <c r="ALW22" s="827"/>
      <c r="ALX22" s="827"/>
      <c r="ALY22" s="827"/>
      <c r="ALZ22" s="827"/>
      <c r="AMA22" s="827"/>
      <c r="AMB22" s="827"/>
      <c r="AMC22" s="827"/>
      <c r="AMD22" s="827"/>
      <c r="AME22" s="827"/>
      <c r="AMF22" s="827"/>
      <c r="AMG22" s="827"/>
      <c r="AMH22" s="827"/>
      <c r="AMI22" s="827"/>
      <c r="AMJ22" s="827"/>
      <c r="AMK22" s="827"/>
      <c r="AML22" s="827"/>
      <c r="AMM22" s="827"/>
      <c r="AMN22" s="827"/>
      <c r="AMO22" s="827"/>
      <c r="AMP22" s="827"/>
      <c r="AMQ22" s="827"/>
      <c r="AMR22" s="827"/>
      <c r="AMS22" s="827"/>
      <c r="AMT22" s="827"/>
      <c r="AMU22" s="827"/>
      <c r="AMV22" s="827"/>
      <c r="AMW22" s="827"/>
      <c r="AMX22" s="827"/>
      <c r="AMY22" s="827"/>
      <c r="AMZ22" s="827"/>
      <c r="ANA22" s="827"/>
      <c r="ANB22" s="827"/>
      <c r="ANC22" s="827"/>
      <c r="AND22" s="827"/>
      <c r="ANE22" s="827"/>
      <c r="ANF22" s="827"/>
      <c r="ANG22" s="827"/>
      <c r="ANH22" s="827"/>
      <c r="ANI22" s="827"/>
      <c r="ANJ22" s="827"/>
      <c r="ANK22" s="827"/>
      <c r="ANL22" s="827"/>
      <c r="ANM22" s="827"/>
      <c r="ANN22" s="827"/>
      <c r="ANO22" s="827"/>
      <c r="ANP22" s="827"/>
      <c r="ANQ22" s="827"/>
      <c r="ANR22" s="827"/>
      <c r="ANS22" s="827"/>
      <c r="ANT22" s="827"/>
      <c r="ANU22" s="827"/>
      <c r="ANV22" s="827"/>
      <c r="ANW22" s="827"/>
      <c r="ANX22" s="827"/>
      <c r="ANY22" s="827"/>
      <c r="ANZ22" s="827"/>
      <c r="AOA22" s="827"/>
      <c r="AOB22" s="827"/>
      <c r="AOC22" s="827"/>
      <c r="AOD22" s="827"/>
      <c r="AOE22" s="827"/>
      <c r="AOF22" s="827"/>
      <c r="AOG22" s="827"/>
      <c r="AOH22" s="827"/>
      <c r="AOI22" s="827"/>
      <c r="AOJ22" s="827"/>
      <c r="AOK22" s="827"/>
      <c r="AOL22" s="827"/>
      <c r="AOM22" s="827"/>
      <c r="AON22" s="827"/>
      <c r="AOO22" s="827"/>
      <c r="AOP22" s="827"/>
      <c r="AOQ22" s="827"/>
      <c r="AOR22" s="827"/>
      <c r="AOS22" s="827"/>
      <c r="AOT22" s="827"/>
      <c r="AOU22" s="827"/>
      <c r="AOV22" s="827"/>
      <c r="AOW22" s="827"/>
      <c r="AOX22" s="827"/>
      <c r="AOY22" s="827"/>
      <c r="AOZ22" s="827"/>
      <c r="APA22" s="827"/>
      <c r="APB22" s="827"/>
      <c r="APC22" s="827"/>
      <c r="APD22" s="827"/>
      <c r="APE22" s="827"/>
      <c r="APF22" s="827"/>
      <c r="APG22" s="827"/>
      <c r="APH22" s="827"/>
      <c r="API22" s="827"/>
      <c r="APJ22" s="827"/>
      <c r="APK22" s="827"/>
      <c r="APL22" s="827"/>
      <c r="APM22" s="827"/>
      <c r="APN22" s="827"/>
      <c r="APO22" s="827"/>
      <c r="APP22" s="827"/>
      <c r="APQ22" s="827"/>
      <c r="APR22" s="827"/>
      <c r="APS22" s="827"/>
      <c r="APT22" s="827"/>
      <c r="APU22" s="827"/>
      <c r="APV22" s="827"/>
      <c r="APW22" s="827"/>
      <c r="APX22" s="827"/>
      <c r="APY22" s="827"/>
      <c r="APZ22" s="827"/>
      <c r="AQA22" s="827"/>
      <c r="AQB22" s="827"/>
      <c r="AQC22" s="827"/>
      <c r="AQD22" s="827"/>
      <c r="AQE22" s="827"/>
      <c r="AQF22" s="827"/>
      <c r="AQG22" s="827"/>
      <c r="AQH22" s="827"/>
      <c r="AQI22" s="827"/>
      <c r="AQJ22" s="827"/>
      <c r="AQK22" s="827"/>
      <c r="AQL22" s="827"/>
      <c r="AQM22" s="827"/>
      <c r="AQN22" s="827"/>
      <c r="AQO22" s="827"/>
      <c r="AQP22" s="827"/>
      <c r="AQQ22" s="827"/>
      <c r="AQR22" s="827"/>
      <c r="AQS22" s="827"/>
      <c r="AQT22" s="827"/>
      <c r="AQU22" s="827"/>
      <c r="AQV22" s="827"/>
      <c r="AQW22" s="827"/>
      <c r="AQX22" s="827"/>
      <c r="AQY22" s="827"/>
      <c r="AQZ22" s="827"/>
      <c r="ARA22" s="827"/>
      <c r="ARB22" s="827"/>
      <c r="ARC22" s="827"/>
      <c r="ARD22" s="827"/>
      <c r="ARE22" s="827"/>
      <c r="ARF22" s="827"/>
      <c r="ARG22" s="827"/>
      <c r="ARH22" s="827"/>
      <c r="ARI22" s="827"/>
      <c r="ARJ22" s="827"/>
      <c r="ARK22" s="827"/>
      <c r="ARL22" s="827"/>
      <c r="ARM22" s="827"/>
      <c r="ARN22" s="827"/>
      <c r="ARO22" s="827"/>
      <c r="ARP22" s="827"/>
      <c r="ARQ22" s="827"/>
      <c r="ARR22" s="827"/>
      <c r="ARS22" s="827"/>
      <c r="ART22" s="827"/>
      <c r="ARU22" s="827"/>
      <c r="ARV22" s="827"/>
      <c r="ARW22" s="827"/>
      <c r="ARX22" s="827"/>
      <c r="ARY22" s="827"/>
      <c r="ARZ22" s="827"/>
      <c r="ASA22" s="827"/>
      <c r="ASB22" s="827"/>
      <c r="ASC22" s="827"/>
      <c r="ASD22" s="827"/>
      <c r="ASE22" s="827"/>
      <c r="ASF22" s="827"/>
      <c r="ASG22" s="827"/>
      <c r="ASH22" s="827"/>
      <c r="ASI22" s="827"/>
      <c r="ASJ22" s="827"/>
      <c r="ASK22" s="827"/>
      <c r="ASL22" s="827"/>
      <c r="ASM22" s="827"/>
      <c r="ASN22" s="827"/>
      <c r="ASO22" s="827"/>
      <c r="ASP22" s="827"/>
      <c r="ASQ22" s="827"/>
      <c r="ASR22" s="827"/>
      <c r="ASS22" s="827"/>
      <c r="AST22" s="827"/>
      <c r="ASU22" s="827"/>
      <c r="ASV22" s="827"/>
      <c r="ASW22" s="827"/>
      <c r="ASX22" s="827"/>
      <c r="ASY22" s="827"/>
      <c r="ASZ22" s="827"/>
      <c r="ATA22" s="827"/>
      <c r="ATB22" s="827"/>
      <c r="ATC22" s="827"/>
      <c r="ATD22" s="827"/>
      <c r="ATE22" s="827"/>
      <c r="ATF22" s="827"/>
      <c r="ATG22" s="827"/>
      <c r="ATH22" s="827"/>
      <c r="ATI22" s="827"/>
      <c r="ATJ22" s="827"/>
      <c r="ATK22" s="827"/>
      <c r="ATL22" s="827"/>
      <c r="ATM22" s="827"/>
      <c r="ATN22" s="827"/>
      <c r="ATO22" s="827"/>
      <c r="ATP22" s="827"/>
      <c r="ATQ22" s="827"/>
      <c r="ATR22" s="827"/>
      <c r="ATS22" s="827"/>
      <c r="ATT22" s="827"/>
      <c r="ATU22" s="827"/>
      <c r="ATV22" s="827"/>
      <c r="ATW22" s="827"/>
      <c r="ATX22" s="827"/>
      <c r="ATY22" s="827"/>
      <c r="ATZ22" s="827"/>
      <c r="AUA22" s="827"/>
      <c r="AUB22" s="827"/>
      <c r="AUC22" s="827"/>
      <c r="AUD22" s="827"/>
      <c r="AUE22" s="827"/>
      <c r="AUF22" s="827"/>
      <c r="AUG22" s="827"/>
      <c r="AUH22" s="827"/>
      <c r="AUI22" s="827"/>
      <c r="AUJ22" s="827"/>
      <c r="AUK22" s="827"/>
      <c r="AUL22" s="827"/>
      <c r="AUM22" s="827"/>
      <c r="AUN22" s="827"/>
      <c r="AUO22" s="827"/>
      <c r="AUP22" s="827"/>
      <c r="AUQ22" s="827"/>
      <c r="AUR22" s="827"/>
      <c r="AUS22" s="827"/>
      <c r="AUT22" s="827"/>
      <c r="AUU22" s="827"/>
      <c r="AUV22" s="827"/>
      <c r="AUW22" s="827"/>
      <c r="AUX22" s="827"/>
      <c r="AUY22" s="827"/>
      <c r="AUZ22" s="827"/>
      <c r="AVA22" s="827"/>
      <c r="AVB22" s="827"/>
      <c r="AVC22" s="827"/>
      <c r="AVD22" s="827"/>
      <c r="AVE22" s="827"/>
      <c r="AVF22" s="827"/>
      <c r="AVG22" s="827"/>
      <c r="AVH22" s="827"/>
      <c r="AVI22" s="827"/>
      <c r="AVJ22" s="827"/>
      <c r="AVK22" s="827"/>
      <c r="AVL22" s="827"/>
      <c r="AVM22" s="827"/>
      <c r="AVN22" s="827"/>
      <c r="AVO22" s="827"/>
      <c r="AVP22" s="827"/>
      <c r="AVQ22" s="827"/>
      <c r="AVR22" s="827"/>
      <c r="AVS22" s="827"/>
      <c r="AVT22" s="827"/>
      <c r="AVU22" s="827"/>
      <c r="AVV22" s="827"/>
      <c r="AVW22" s="827"/>
      <c r="AVX22" s="827"/>
      <c r="AVY22" s="827"/>
      <c r="AVZ22" s="827"/>
      <c r="AWA22" s="827"/>
      <c r="AWB22" s="827"/>
      <c r="AWC22" s="827"/>
      <c r="AWD22" s="827"/>
      <c r="AWE22" s="827"/>
      <c r="AWF22" s="827"/>
      <c r="AWG22" s="827"/>
      <c r="AWH22" s="827"/>
      <c r="AWI22" s="827"/>
      <c r="AWJ22" s="827"/>
      <c r="AWK22" s="827"/>
      <c r="AWL22" s="827"/>
      <c r="AWM22" s="827"/>
      <c r="AWN22" s="827"/>
      <c r="AWO22" s="827"/>
      <c r="AWP22" s="827"/>
      <c r="AWQ22" s="827"/>
      <c r="AWR22" s="827"/>
      <c r="AWS22" s="827"/>
      <c r="AWT22" s="827"/>
      <c r="AWU22" s="827"/>
      <c r="AWV22" s="827"/>
      <c r="AWW22" s="827"/>
      <c r="AWX22" s="827"/>
      <c r="AWY22" s="827"/>
      <c r="AWZ22" s="827"/>
      <c r="AXA22" s="827"/>
      <c r="AXB22" s="827"/>
      <c r="AXC22" s="827"/>
      <c r="AXD22" s="827"/>
      <c r="AXE22" s="827"/>
      <c r="AXF22" s="827"/>
      <c r="AXG22" s="827"/>
      <c r="AXH22" s="827"/>
      <c r="AXI22" s="827"/>
      <c r="AXJ22" s="827"/>
      <c r="AXK22" s="827"/>
      <c r="AXL22" s="827"/>
      <c r="AXM22" s="827"/>
      <c r="AXN22" s="827"/>
      <c r="AXO22" s="827"/>
      <c r="AXP22" s="827"/>
      <c r="AXQ22" s="827"/>
      <c r="AXR22" s="827"/>
      <c r="AXS22" s="827"/>
      <c r="AXT22" s="827"/>
      <c r="AXU22" s="827"/>
      <c r="AXV22" s="827"/>
      <c r="AXW22" s="827"/>
      <c r="AXX22" s="827"/>
      <c r="AXY22" s="827"/>
      <c r="AXZ22" s="827"/>
      <c r="AYA22" s="827"/>
      <c r="AYB22" s="827"/>
      <c r="AYC22" s="827"/>
      <c r="AYD22" s="827"/>
      <c r="AYE22" s="827"/>
      <c r="AYF22" s="827"/>
      <c r="AYG22" s="827"/>
      <c r="AYH22" s="827"/>
      <c r="AYI22" s="827"/>
      <c r="AYJ22" s="827"/>
      <c r="AYK22" s="827"/>
      <c r="AYL22" s="827"/>
      <c r="AYM22" s="827"/>
      <c r="AYN22" s="827"/>
      <c r="AYO22" s="827"/>
      <c r="AYP22" s="827"/>
      <c r="AYQ22" s="827"/>
      <c r="AYR22" s="827"/>
      <c r="AYS22" s="827"/>
      <c r="AYT22" s="827"/>
      <c r="AYU22" s="827"/>
      <c r="AYV22" s="827"/>
      <c r="AYW22" s="827"/>
      <c r="AYX22" s="827"/>
      <c r="AYY22" s="827"/>
      <c r="AYZ22" s="827"/>
      <c r="AZA22" s="827"/>
      <c r="AZB22" s="827"/>
      <c r="AZC22" s="827"/>
      <c r="AZD22" s="827"/>
      <c r="AZE22" s="827"/>
      <c r="AZF22" s="827"/>
      <c r="AZG22" s="827"/>
      <c r="AZH22" s="827"/>
      <c r="AZI22" s="827"/>
      <c r="AZJ22" s="827"/>
      <c r="AZK22" s="827"/>
      <c r="AZL22" s="827"/>
      <c r="AZM22" s="827"/>
      <c r="AZN22" s="827"/>
      <c r="AZO22" s="827"/>
      <c r="AZP22" s="827"/>
      <c r="AZQ22" s="827"/>
      <c r="AZR22" s="827"/>
      <c r="AZS22" s="827"/>
      <c r="AZT22" s="827"/>
      <c r="AZU22" s="827"/>
      <c r="AZV22" s="827"/>
      <c r="AZW22" s="827"/>
      <c r="AZX22" s="827"/>
      <c r="AZY22" s="827"/>
      <c r="AZZ22" s="827"/>
      <c r="BAA22" s="827"/>
      <c r="BAB22" s="827"/>
      <c r="BAC22" s="827"/>
      <c r="BAD22" s="827"/>
      <c r="BAE22" s="827"/>
      <c r="BAF22" s="827"/>
      <c r="BAG22" s="827"/>
      <c r="BAH22" s="827"/>
      <c r="BAI22" s="827"/>
      <c r="BAJ22" s="827"/>
      <c r="BAK22" s="827"/>
      <c r="BAL22" s="827"/>
      <c r="BAM22" s="827"/>
      <c r="BAN22" s="827"/>
      <c r="BAO22" s="827"/>
      <c r="BAP22" s="827"/>
      <c r="BAQ22" s="827"/>
      <c r="BAR22" s="827"/>
      <c r="BAS22" s="827"/>
      <c r="BAT22" s="827"/>
      <c r="BAU22" s="827"/>
      <c r="BAV22" s="827"/>
      <c r="BAW22" s="827"/>
      <c r="BAX22" s="827"/>
      <c r="BAY22" s="827"/>
      <c r="BAZ22" s="827"/>
      <c r="BBA22" s="827"/>
      <c r="BBB22" s="827"/>
      <c r="BBC22" s="827"/>
      <c r="BBD22" s="827"/>
      <c r="BBE22" s="827"/>
      <c r="BBF22" s="827"/>
      <c r="BBG22" s="827"/>
      <c r="BBH22" s="827"/>
      <c r="BBI22" s="827"/>
      <c r="BBJ22" s="827"/>
      <c r="BBK22" s="827"/>
      <c r="BBL22" s="827"/>
      <c r="BBM22" s="827"/>
      <c r="BBN22" s="827"/>
      <c r="BBO22" s="827"/>
      <c r="BBP22" s="827"/>
      <c r="BBQ22" s="827"/>
      <c r="BBR22" s="827"/>
      <c r="BBS22" s="827"/>
      <c r="BBT22" s="827"/>
      <c r="BBU22" s="827"/>
      <c r="BBV22" s="827"/>
      <c r="BBW22" s="827"/>
      <c r="BBX22" s="827"/>
      <c r="BBY22" s="827"/>
      <c r="BBZ22" s="827"/>
      <c r="BCA22" s="827"/>
      <c r="BCB22" s="827"/>
      <c r="BCC22" s="827"/>
      <c r="BCD22" s="827"/>
      <c r="BCE22" s="827"/>
      <c r="BCF22" s="827"/>
      <c r="BCG22" s="827"/>
      <c r="BCH22" s="827"/>
      <c r="BCI22" s="827"/>
      <c r="BCJ22" s="827"/>
      <c r="BCK22" s="827"/>
      <c r="BCL22" s="827"/>
      <c r="BCM22" s="827"/>
      <c r="BCN22" s="827"/>
      <c r="BCO22" s="827"/>
      <c r="BCP22" s="827"/>
      <c r="BCQ22" s="827"/>
      <c r="BCR22" s="827"/>
      <c r="BCS22" s="827"/>
      <c r="BCT22" s="827"/>
      <c r="BCU22" s="827"/>
      <c r="BCV22" s="827"/>
      <c r="BCW22" s="827"/>
      <c r="BCX22" s="827"/>
      <c r="BCY22" s="827"/>
      <c r="BCZ22" s="827"/>
      <c r="BDA22" s="827"/>
      <c r="BDB22" s="827"/>
      <c r="BDC22" s="827"/>
      <c r="BDD22" s="827"/>
      <c r="BDE22" s="827"/>
      <c r="BDF22" s="827"/>
      <c r="BDG22" s="827"/>
      <c r="BDH22" s="827"/>
      <c r="BDI22" s="827"/>
      <c r="BDJ22" s="827"/>
      <c r="BDK22" s="827"/>
      <c r="BDL22" s="827"/>
      <c r="BDM22" s="827"/>
      <c r="BDN22" s="827"/>
      <c r="BDO22" s="827"/>
      <c r="BDP22" s="827"/>
      <c r="BDQ22" s="827"/>
      <c r="BDR22" s="827"/>
      <c r="BDS22" s="827"/>
      <c r="BDT22" s="827"/>
      <c r="BDU22" s="827"/>
      <c r="BDV22" s="827"/>
      <c r="BDW22" s="827"/>
      <c r="BDX22" s="827"/>
      <c r="BDY22" s="827"/>
      <c r="BDZ22" s="827"/>
      <c r="BEA22" s="827"/>
      <c r="BEB22" s="827"/>
      <c r="BEC22" s="827"/>
      <c r="BED22" s="827"/>
      <c r="BEE22" s="827"/>
      <c r="BEF22" s="827"/>
      <c r="BEG22" s="827"/>
      <c r="BEH22" s="827"/>
      <c r="BEI22" s="827"/>
      <c r="BEJ22" s="827"/>
      <c r="BEK22" s="827"/>
      <c r="BEL22" s="827"/>
      <c r="BEM22" s="827"/>
      <c r="BEN22" s="827"/>
      <c r="BEO22" s="827"/>
      <c r="BEP22" s="827"/>
      <c r="BEQ22" s="827"/>
      <c r="BER22" s="827"/>
      <c r="BES22" s="827"/>
      <c r="BET22" s="827"/>
      <c r="BEU22" s="827"/>
      <c r="BEV22" s="827"/>
      <c r="BEW22" s="827"/>
      <c r="BEX22" s="827"/>
      <c r="BEY22" s="827"/>
      <c r="BEZ22" s="827"/>
      <c r="BFA22" s="827"/>
      <c r="BFB22" s="827"/>
      <c r="BFC22" s="827"/>
      <c r="BFD22" s="827"/>
      <c r="BFE22" s="827"/>
      <c r="BFF22" s="827"/>
      <c r="BFG22" s="827"/>
      <c r="BFH22" s="827"/>
      <c r="BFI22" s="827"/>
      <c r="BFJ22" s="827"/>
      <c r="BFK22" s="827"/>
      <c r="BFL22" s="827"/>
      <c r="BFM22" s="827"/>
      <c r="BFN22" s="827"/>
      <c r="BFO22" s="827"/>
      <c r="BFP22" s="827"/>
      <c r="BFQ22" s="827"/>
      <c r="BFR22" s="827"/>
      <c r="BFS22" s="827"/>
      <c r="BFT22" s="827"/>
      <c r="BFU22" s="827"/>
      <c r="BFV22" s="827"/>
      <c r="BFW22" s="827"/>
      <c r="BFX22" s="827"/>
      <c r="BFY22" s="827"/>
      <c r="BFZ22" s="827"/>
      <c r="BGA22" s="827"/>
      <c r="BGB22" s="827"/>
      <c r="BGC22" s="827"/>
      <c r="BGD22" s="827"/>
      <c r="BGE22" s="827"/>
      <c r="BGF22" s="827"/>
      <c r="BGG22" s="827"/>
      <c r="BGH22" s="827"/>
      <c r="BGI22" s="827"/>
      <c r="BGJ22" s="827"/>
      <c r="BGK22" s="827"/>
      <c r="BGL22" s="827"/>
      <c r="BGM22" s="827"/>
      <c r="BGN22" s="827"/>
      <c r="BGO22" s="827"/>
      <c r="BGP22" s="827"/>
      <c r="BGQ22" s="827"/>
      <c r="BGR22" s="827"/>
      <c r="BGS22" s="827"/>
      <c r="BGT22" s="827"/>
      <c r="BGU22" s="827"/>
      <c r="BGV22" s="827"/>
      <c r="BGW22" s="827"/>
      <c r="BGX22" s="827"/>
      <c r="BGY22" s="827"/>
      <c r="BGZ22" s="827"/>
      <c r="BHA22" s="827"/>
      <c r="BHB22" s="827"/>
      <c r="BHC22" s="827"/>
      <c r="BHD22" s="827"/>
      <c r="BHE22" s="827"/>
      <c r="BHF22" s="827"/>
      <c r="BHG22" s="827"/>
      <c r="BHH22" s="827"/>
      <c r="BHI22" s="827"/>
      <c r="BHJ22" s="827"/>
      <c r="BHK22" s="827"/>
      <c r="BHL22" s="827"/>
      <c r="BHM22" s="827"/>
      <c r="BHN22" s="827"/>
      <c r="BHO22" s="827"/>
      <c r="BHP22" s="827"/>
      <c r="BHQ22" s="827"/>
      <c r="BHR22" s="827"/>
      <c r="BHS22" s="827"/>
      <c r="BHT22" s="827"/>
      <c r="BHU22" s="827"/>
      <c r="BHV22" s="827"/>
      <c r="BHW22" s="827"/>
      <c r="BHX22" s="827"/>
      <c r="BHY22" s="827"/>
      <c r="BHZ22" s="827"/>
      <c r="BIA22" s="827"/>
      <c r="BIB22" s="827"/>
      <c r="BIC22" s="827"/>
      <c r="BID22" s="827"/>
      <c r="BIE22" s="827"/>
      <c r="BIF22" s="827"/>
      <c r="BIG22" s="827"/>
      <c r="BIH22" s="827"/>
      <c r="BII22" s="827"/>
      <c r="BIJ22" s="827"/>
      <c r="BIK22" s="827"/>
      <c r="BIL22" s="827"/>
      <c r="BIM22" s="827"/>
      <c r="BIN22" s="827"/>
      <c r="BIO22" s="827"/>
      <c r="BIP22" s="827"/>
      <c r="BIQ22" s="827"/>
      <c r="BIR22" s="827"/>
      <c r="BIS22" s="827"/>
      <c r="BIT22" s="827"/>
      <c r="BIU22" s="827"/>
      <c r="BIV22" s="827"/>
      <c r="BIW22" s="827"/>
      <c r="BIX22" s="827"/>
      <c r="BIY22" s="827"/>
      <c r="BIZ22" s="827"/>
      <c r="BJA22" s="827"/>
      <c r="BJB22" s="827"/>
      <c r="BJC22" s="827"/>
      <c r="BJD22" s="827"/>
      <c r="BJE22" s="827"/>
      <c r="BJF22" s="827"/>
      <c r="BJG22" s="827"/>
      <c r="BJH22" s="827"/>
      <c r="BJI22" s="827"/>
      <c r="BJJ22" s="827"/>
      <c r="BJK22" s="827"/>
      <c r="BJL22" s="827"/>
      <c r="BJM22" s="827"/>
      <c r="BJN22" s="827"/>
      <c r="BJO22" s="827"/>
      <c r="BJP22" s="827"/>
      <c r="BJQ22" s="827"/>
      <c r="BJR22" s="827"/>
      <c r="BJS22" s="827"/>
      <c r="BJT22" s="827"/>
      <c r="BJU22" s="827"/>
      <c r="BJV22" s="827"/>
      <c r="BJW22" s="827"/>
      <c r="BJX22" s="827"/>
      <c r="BJY22" s="827"/>
      <c r="BJZ22" s="827"/>
      <c r="BKA22" s="827"/>
      <c r="BKB22" s="827"/>
      <c r="BKC22" s="827"/>
      <c r="BKD22" s="827"/>
      <c r="BKE22" s="827"/>
      <c r="BKF22" s="827"/>
      <c r="BKG22" s="827"/>
      <c r="BKH22" s="827"/>
      <c r="BKI22" s="827"/>
      <c r="BKJ22" s="827"/>
      <c r="BKK22" s="827"/>
      <c r="BKL22" s="827"/>
      <c r="BKM22" s="827"/>
      <c r="BKN22" s="827"/>
      <c r="BKO22" s="827"/>
      <c r="BKP22" s="827"/>
      <c r="BKQ22" s="827"/>
      <c r="BKR22" s="827"/>
      <c r="BKS22" s="827"/>
      <c r="BKT22" s="827"/>
      <c r="BKU22" s="827"/>
      <c r="BKV22" s="827"/>
      <c r="BKW22" s="827"/>
      <c r="BKX22" s="827"/>
      <c r="BKY22" s="827"/>
      <c r="BKZ22" s="827"/>
      <c r="BLA22" s="827"/>
      <c r="BLB22" s="827"/>
      <c r="BLC22" s="827"/>
      <c r="BLD22" s="827"/>
      <c r="BLE22" s="827"/>
      <c r="BLF22" s="827"/>
      <c r="BLG22" s="827"/>
      <c r="BLH22" s="827"/>
      <c r="BLI22" s="827"/>
      <c r="BLJ22" s="827"/>
      <c r="BLK22" s="827"/>
      <c r="BLL22" s="827"/>
      <c r="BLM22" s="827"/>
      <c r="BLN22" s="827"/>
      <c r="BLO22" s="827"/>
      <c r="BLP22" s="827"/>
      <c r="BLQ22" s="827"/>
      <c r="BLR22" s="827"/>
      <c r="BLS22" s="827"/>
      <c r="BLT22" s="827"/>
      <c r="BLU22" s="827"/>
      <c r="BLV22" s="827"/>
      <c r="BLW22" s="827"/>
      <c r="BLX22" s="827"/>
      <c r="BLY22" s="827"/>
      <c r="BLZ22" s="827"/>
      <c r="BMA22" s="827"/>
      <c r="BMB22" s="827"/>
      <c r="BMC22" s="827"/>
      <c r="BMD22" s="827"/>
      <c r="BME22" s="827"/>
      <c r="BMF22" s="827"/>
      <c r="BMG22" s="827"/>
      <c r="BMH22" s="827"/>
      <c r="BMI22" s="827"/>
      <c r="BMJ22" s="827"/>
      <c r="BMK22" s="827"/>
      <c r="BML22" s="827"/>
      <c r="BMM22" s="827"/>
      <c r="BMN22" s="827"/>
      <c r="BMO22" s="827"/>
      <c r="BMP22" s="827"/>
      <c r="BMQ22" s="827"/>
      <c r="BMR22" s="827"/>
      <c r="BMS22" s="827"/>
      <c r="BMT22" s="827"/>
      <c r="BMU22" s="827"/>
      <c r="BMV22" s="827"/>
      <c r="BMW22" s="827"/>
      <c r="BMX22" s="827"/>
      <c r="BMY22" s="827"/>
      <c r="BMZ22" s="827"/>
      <c r="BNA22" s="827"/>
      <c r="BNB22" s="827"/>
      <c r="BNC22" s="827"/>
      <c r="BND22" s="827"/>
      <c r="BNE22" s="827"/>
      <c r="BNF22" s="827"/>
      <c r="BNG22" s="827"/>
      <c r="BNH22" s="827"/>
      <c r="BNI22" s="827"/>
      <c r="BNJ22" s="827"/>
      <c r="BNK22" s="827"/>
      <c r="BNL22" s="827"/>
      <c r="BNM22" s="827"/>
      <c r="BNN22" s="827"/>
      <c r="BNO22" s="827"/>
      <c r="BNP22" s="827"/>
      <c r="BNQ22" s="827"/>
      <c r="BNR22" s="827"/>
      <c r="BNS22" s="827"/>
      <c r="BNT22" s="827"/>
      <c r="BNU22" s="827"/>
      <c r="BNV22" s="827"/>
      <c r="BNW22" s="827"/>
      <c r="BNX22" s="827"/>
      <c r="BNY22" s="827"/>
      <c r="BNZ22" s="827"/>
      <c r="BOA22" s="827"/>
      <c r="BOB22" s="827"/>
      <c r="BOC22" s="827"/>
      <c r="BOD22" s="827"/>
      <c r="BOE22" s="827"/>
      <c r="BOF22" s="827"/>
      <c r="BOG22" s="827"/>
      <c r="BOH22" s="827"/>
      <c r="BOI22" s="827"/>
      <c r="BOJ22" s="827"/>
      <c r="BOK22" s="827"/>
      <c r="BOL22" s="827"/>
      <c r="BOM22" s="827"/>
      <c r="BON22" s="827"/>
      <c r="BOO22" s="827"/>
      <c r="BOP22" s="827"/>
      <c r="BOQ22" s="827"/>
      <c r="BOR22" s="827"/>
      <c r="BOS22" s="827"/>
      <c r="BOT22" s="827"/>
      <c r="BOU22" s="827"/>
      <c r="BOV22" s="827"/>
      <c r="BOW22" s="827"/>
      <c r="BOX22" s="827"/>
      <c r="BOY22" s="827"/>
      <c r="BOZ22" s="827"/>
      <c r="BPA22" s="827"/>
      <c r="BPB22" s="827"/>
      <c r="BPC22" s="827"/>
      <c r="BPD22" s="827"/>
      <c r="BPE22" s="827"/>
      <c r="BPF22" s="827"/>
      <c r="BPG22" s="827"/>
      <c r="BPH22" s="827"/>
      <c r="BPI22" s="827"/>
      <c r="BPJ22" s="827"/>
      <c r="BPK22" s="827"/>
      <c r="BPL22" s="827"/>
      <c r="BPM22" s="827"/>
      <c r="BPN22" s="827"/>
      <c r="BPO22" s="827"/>
      <c r="BPP22" s="827"/>
      <c r="BPQ22" s="827"/>
      <c r="BPR22" s="827"/>
      <c r="BPS22" s="827"/>
      <c r="BPT22" s="827"/>
      <c r="BPU22" s="827"/>
      <c r="BPV22" s="827"/>
      <c r="BPW22" s="827"/>
      <c r="BPX22" s="827"/>
      <c r="BPY22" s="827"/>
      <c r="BPZ22" s="827"/>
      <c r="BQA22" s="827"/>
      <c r="BQB22" s="827"/>
      <c r="BQC22" s="827"/>
      <c r="BQD22" s="827"/>
      <c r="BQE22" s="827"/>
      <c r="BQF22" s="827"/>
      <c r="BQG22" s="827"/>
      <c r="BQH22" s="827"/>
      <c r="BQI22" s="827"/>
      <c r="BQJ22" s="827"/>
      <c r="BQK22" s="827"/>
      <c r="BQL22" s="827"/>
      <c r="BQM22" s="827"/>
      <c r="BQN22" s="827"/>
      <c r="BQO22" s="827"/>
      <c r="BQP22" s="827"/>
      <c r="BQQ22" s="827"/>
      <c r="BQR22" s="827"/>
      <c r="BQS22" s="827"/>
      <c r="BQT22" s="827"/>
      <c r="BQU22" s="827"/>
      <c r="BQV22" s="827"/>
      <c r="BQW22" s="827"/>
      <c r="BQX22" s="827"/>
      <c r="BQY22" s="827"/>
      <c r="BQZ22" s="827"/>
      <c r="BRA22" s="827"/>
      <c r="BRB22" s="827"/>
      <c r="BRC22" s="827"/>
      <c r="BRD22" s="827"/>
      <c r="BRE22" s="827"/>
      <c r="BRF22" s="827"/>
      <c r="BRG22" s="827"/>
      <c r="BRH22" s="827"/>
      <c r="BRI22" s="827"/>
      <c r="BRJ22" s="827"/>
      <c r="BRK22" s="827"/>
      <c r="BRL22" s="827"/>
      <c r="BRM22" s="827"/>
      <c r="BRN22" s="827"/>
      <c r="BRO22" s="827"/>
      <c r="BRP22" s="827"/>
      <c r="BRQ22" s="827"/>
      <c r="BRR22" s="827"/>
      <c r="BRS22" s="827"/>
      <c r="BRT22" s="827"/>
      <c r="BRU22" s="827"/>
      <c r="BRV22" s="827"/>
      <c r="BRW22" s="827"/>
      <c r="BRX22" s="827"/>
      <c r="BRY22" s="827"/>
      <c r="BRZ22" s="827"/>
      <c r="BSA22" s="827"/>
      <c r="BSB22" s="827"/>
      <c r="BSC22" s="827"/>
      <c r="BSD22" s="827"/>
      <c r="BSE22" s="827"/>
      <c r="BSF22" s="827"/>
      <c r="BSG22" s="827"/>
      <c r="BSH22" s="827"/>
      <c r="BSI22" s="827"/>
      <c r="BSJ22" s="827"/>
      <c r="BSK22" s="827"/>
      <c r="BSL22" s="827"/>
      <c r="BSM22" s="827"/>
      <c r="BSN22" s="827"/>
      <c r="BSO22" s="827"/>
      <c r="BSP22" s="827"/>
      <c r="BSQ22" s="827"/>
      <c r="BSR22" s="827"/>
      <c r="BSS22" s="827"/>
      <c r="BST22" s="827"/>
    </row>
    <row r="23" spans="1:1866" s="824" customFormat="1" ht="30" customHeight="1" x14ac:dyDescent="0.25">
      <c r="A23" s="827"/>
      <c r="B23" s="3197" t="s">
        <v>1035</v>
      </c>
      <c r="C23" s="3198"/>
      <c r="D23" s="3199"/>
      <c r="E23" s="1438"/>
      <c r="F23" s="1438"/>
      <c r="G23" s="1438"/>
      <c r="H23" s="1438"/>
      <c r="I23" s="1438"/>
      <c r="J23" s="1438"/>
      <c r="K23" s="1438"/>
      <c r="L23" s="1438"/>
      <c r="M23" s="1438"/>
      <c r="N23" s="1438"/>
      <c r="O23" s="1438"/>
      <c r="P23" s="1438"/>
      <c r="Q23" s="1438"/>
      <c r="R23" s="1438"/>
      <c r="S23" s="1438"/>
      <c r="T23" s="1438"/>
      <c r="U23" s="1438"/>
      <c r="V23" s="1282"/>
      <c r="W23" s="827"/>
      <c r="X23" s="827"/>
      <c r="Y23" s="827"/>
      <c r="Z23" s="827"/>
      <c r="AA23" s="866"/>
      <c r="AB23" s="827"/>
      <c r="AC23" s="827"/>
      <c r="AD23" s="827"/>
      <c r="AE23" s="827"/>
      <c r="AF23" s="827"/>
      <c r="AG23" s="827"/>
      <c r="AH23" s="827"/>
      <c r="AI23" s="827"/>
      <c r="AJ23" s="827"/>
      <c r="AK23" s="827"/>
      <c r="AL23" s="827"/>
      <c r="AM23" s="827"/>
      <c r="AN23" s="827"/>
      <c r="AO23" s="827"/>
      <c r="AP23" s="827"/>
      <c r="AQ23" s="827"/>
      <c r="AR23" s="827"/>
      <c r="AS23" s="827"/>
      <c r="AT23" s="827"/>
      <c r="AU23" s="827"/>
      <c r="AV23" s="827"/>
      <c r="AW23" s="827"/>
      <c r="AX23" s="827"/>
      <c r="AY23" s="827"/>
      <c r="AZ23" s="827"/>
      <c r="BA23" s="827"/>
      <c r="BB23" s="827"/>
      <c r="BC23" s="827"/>
      <c r="BD23" s="827"/>
      <c r="BE23" s="827"/>
      <c r="BF23" s="827"/>
      <c r="BG23" s="827"/>
      <c r="BH23" s="827"/>
      <c r="BI23" s="827"/>
      <c r="BJ23" s="827"/>
      <c r="BK23" s="827"/>
      <c r="BL23" s="827"/>
      <c r="BM23" s="827"/>
      <c r="BN23" s="827"/>
      <c r="BO23" s="827"/>
      <c r="BP23" s="827"/>
      <c r="BQ23" s="827"/>
      <c r="BR23" s="827"/>
      <c r="BS23" s="827"/>
      <c r="BT23" s="827"/>
      <c r="BU23" s="827"/>
      <c r="BV23" s="827"/>
      <c r="BW23" s="827"/>
      <c r="BX23" s="827"/>
      <c r="BY23" s="827"/>
      <c r="BZ23" s="827"/>
      <c r="CA23" s="827"/>
      <c r="CB23" s="827"/>
      <c r="CC23" s="827"/>
      <c r="CD23" s="827"/>
      <c r="CE23" s="827"/>
      <c r="CF23" s="827"/>
      <c r="CG23" s="827"/>
      <c r="CH23" s="827"/>
      <c r="CI23" s="827"/>
      <c r="CJ23" s="827"/>
      <c r="CK23" s="827"/>
      <c r="CL23" s="827"/>
      <c r="CM23" s="827"/>
      <c r="CN23" s="827"/>
      <c r="CO23" s="827"/>
      <c r="CP23" s="827"/>
      <c r="CQ23" s="827"/>
      <c r="CR23" s="827"/>
      <c r="CS23" s="827"/>
      <c r="CT23" s="827"/>
      <c r="CU23" s="827"/>
      <c r="CV23" s="827"/>
      <c r="CW23" s="827"/>
      <c r="CX23" s="827"/>
      <c r="CY23" s="827"/>
      <c r="CZ23" s="827"/>
      <c r="DA23" s="827"/>
      <c r="DB23" s="827"/>
      <c r="DC23" s="827"/>
      <c r="DD23" s="827"/>
      <c r="DE23" s="827"/>
      <c r="DF23" s="827"/>
      <c r="DG23" s="827"/>
      <c r="DH23" s="827"/>
      <c r="DI23" s="827"/>
      <c r="DJ23" s="827"/>
      <c r="DK23" s="827"/>
      <c r="DL23" s="827"/>
      <c r="DM23" s="827"/>
      <c r="DN23" s="827"/>
      <c r="DO23" s="827"/>
      <c r="DP23" s="827"/>
      <c r="DQ23" s="827"/>
      <c r="DR23" s="827"/>
      <c r="DS23" s="827"/>
      <c r="DT23" s="827"/>
      <c r="DU23" s="827"/>
      <c r="DV23" s="827"/>
      <c r="DW23" s="827"/>
      <c r="DX23" s="827"/>
      <c r="DY23" s="827"/>
      <c r="DZ23" s="827"/>
      <c r="EA23" s="827"/>
      <c r="EB23" s="827"/>
      <c r="EC23" s="827"/>
      <c r="ED23" s="827"/>
      <c r="EE23" s="827"/>
      <c r="EF23" s="827"/>
      <c r="EG23" s="827"/>
      <c r="EH23" s="827"/>
      <c r="EI23" s="827"/>
      <c r="EJ23" s="827"/>
      <c r="EK23" s="827"/>
      <c r="EL23" s="827"/>
      <c r="EM23" s="827"/>
      <c r="EN23" s="827"/>
      <c r="EO23" s="827"/>
      <c r="EP23" s="827"/>
      <c r="EQ23" s="827"/>
      <c r="ER23" s="827"/>
      <c r="ES23" s="827"/>
      <c r="ET23" s="827"/>
      <c r="EU23" s="827"/>
      <c r="EV23" s="827"/>
      <c r="EW23" s="827"/>
      <c r="EX23" s="827"/>
      <c r="EY23" s="827"/>
      <c r="EZ23" s="827"/>
      <c r="FA23" s="827"/>
      <c r="FB23" s="827"/>
      <c r="FC23" s="827"/>
      <c r="FD23" s="827"/>
      <c r="FE23" s="827"/>
      <c r="FF23" s="827"/>
      <c r="FG23" s="827"/>
      <c r="FH23" s="827"/>
      <c r="FI23" s="827"/>
      <c r="FJ23" s="827"/>
      <c r="FK23" s="827"/>
      <c r="FL23" s="827"/>
      <c r="FM23" s="827"/>
      <c r="FN23" s="827"/>
      <c r="FO23" s="827"/>
      <c r="FP23" s="827"/>
      <c r="FQ23" s="827"/>
      <c r="FR23" s="827"/>
      <c r="FS23" s="827"/>
      <c r="FT23" s="827"/>
      <c r="FU23" s="827"/>
      <c r="FV23" s="827"/>
      <c r="FW23" s="827"/>
      <c r="FX23" s="827"/>
      <c r="FY23" s="827"/>
      <c r="FZ23" s="827"/>
      <c r="GA23" s="827"/>
      <c r="GB23" s="827"/>
      <c r="GC23" s="827"/>
      <c r="GD23" s="827"/>
      <c r="GE23" s="827"/>
      <c r="GF23" s="827"/>
      <c r="GG23" s="827"/>
      <c r="GH23" s="827"/>
      <c r="GI23" s="827"/>
      <c r="GJ23" s="827"/>
      <c r="GK23" s="827"/>
      <c r="GL23" s="827"/>
      <c r="GM23" s="827"/>
      <c r="GN23" s="827"/>
      <c r="GO23" s="827"/>
      <c r="GP23" s="827"/>
      <c r="GQ23" s="827"/>
      <c r="GR23" s="827"/>
      <c r="GS23" s="827"/>
      <c r="GT23" s="827"/>
      <c r="GU23" s="827"/>
      <c r="GV23" s="827"/>
      <c r="GW23" s="827"/>
      <c r="GX23" s="827"/>
      <c r="GY23" s="827"/>
      <c r="GZ23" s="827"/>
      <c r="HA23" s="827"/>
      <c r="HB23" s="827"/>
      <c r="HC23" s="827"/>
      <c r="HD23" s="827"/>
      <c r="HE23" s="827"/>
      <c r="HF23" s="827"/>
      <c r="HG23" s="827"/>
      <c r="HH23" s="827"/>
      <c r="HI23" s="827"/>
      <c r="HJ23" s="827"/>
      <c r="HK23" s="827"/>
      <c r="HL23" s="827"/>
      <c r="HM23" s="827"/>
      <c r="HN23" s="827"/>
      <c r="HO23" s="827"/>
      <c r="HP23" s="827"/>
      <c r="HQ23" s="827"/>
      <c r="HR23" s="827"/>
      <c r="HS23" s="827"/>
      <c r="HT23" s="827"/>
      <c r="HU23" s="827"/>
      <c r="HV23" s="827"/>
      <c r="HW23" s="827"/>
      <c r="HX23" s="827"/>
      <c r="HY23" s="827"/>
      <c r="HZ23" s="827"/>
      <c r="IA23" s="827"/>
      <c r="IB23" s="827"/>
      <c r="IC23" s="827"/>
      <c r="ID23" s="827"/>
      <c r="IE23" s="827"/>
      <c r="IF23" s="827"/>
      <c r="IG23" s="827"/>
      <c r="IH23" s="827"/>
      <c r="II23" s="827"/>
      <c r="IJ23" s="827"/>
      <c r="IK23" s="827"/>
      <c r="IL23" s="827"/>
      <c r="IM23" s="827"/>
      <c r="IN23" s="827"/>
      <c r="IO23" s="827"/>
      <c r="IP23" s="827"/>
      <c r="IQ23" s="827"/>
      <c r="IR23" s="827"/>
      <c r="IS23" s="827"/>
      <c r="IT23" s="827"/>
      <c r="IU23" s="827"/>
      <c r="IV23" s="827"/>
      <c r="IW23" s="827"/>
      <c r="IX23" s="827"/>
      <c r="IY23" s="827"/>
      <c r="IZ23" s="827"/>
      <c r="JA23" s="827"/>
      <c r="JB23" s="827"/>
      <c r="JC23" s="827"/>
      <c r="JD23" s="827"/>
      <c r="JE23" s="827"/>
      <c r="JF23" s="827"/>
      <c r="JG23" s="827"/>
      <c r="JH23" s="827"/>
      <c r="JI23" s="827"/>
      <c r="JJ23" s="827"/>
      <c r="JK23" s="827"/>
      <c r="JL23" s="827"/>
      <c r="JM23" s="827"/>
      <c r="JN23" s="827"/>
      <c r="JO23" s="827"/>
      <c r="JP23" s="827"/>
      <c r="JQ23" s="827"/>
      <c r="JR23" s="827"/>
      <c r="JS23" s="827"/>
      <c r="JT23" s="827"/>
      <c r="JU23" s="827"/>
      <c r="JV23" s="827"/>
      <c r="JW23" s="827"/>
      <c r="JX23" s="827"/>
      <c r="JY23" s="827"/>
      <c r="JZ23" s="827"/>
      <c r="KA23" s="827"/>
      <c r="KB23" s="827"/>
      <c r="KC23" s="827"/>
      <c r="KD23" s="827"/>
      <c r="KE23" s="827"/>
      <c r="KF23" s="827"/>
      <c r="KG23" s="827"/>
      <c r="KH23" s="827"/>
      <c r="KI23" s="827"/>
      <c r="KJ23" s="827"/>
      <c r="KK23" s="827"/>
      <c r="KL23" s="827"/>
      <c r="KM23" s="827"/>
      <c r="KN23" s="827"/>
      <c r="KO23" s="827"/>
      <c r="KP23" s="827"/>
      <c r="KQ23" s="827"/>
      <c r="KR23" s="827"/>
      <c r="KS23" s="827"/>
      <c r="KT23" s="827"/>
      <c r="KU23" s="827"/>
      <c r="KV23" s="827"/>
      <c r="KW23" s="827"/>
      <c r="KX23" s="827"/>
      <c r="KY23" s="827"/>
      <c r="KZ23" s="827"/>
      <c r="LA23" s="827"/>
      <c r="LB23" s="827"/>
      <c r="LC23" s="827"/>
      <c r="LD23" s="827"/>
      <c r="LE23" s="827"/>
      <c r="LF23" s="827"/>
      <c r="LG23" s="827"/>
      <c r="LH23" s="827"/>
      <c r="LI23" s="827"/>
      <c r="LJ23" s="827"/>
      <c r="LK23" s="827"/>
      <c r="LL23" s="827"/>
      <c r="LM23" s="827"/>
      <c r="LN23" s="827"/>
      <c r="LO23" s="827"/>
      <c r="LP23" s="827"/>
      <c r="LQ23" s="827"/>
      <c r="LR23" s="827"/>
      <c r="LS23" s="827"/>
      <c r="LT23" s="827"/>
      <c r="LU23" s="827"/>
      <c r="LV23" s="827"/>
      <c r="LW23" s="827"/>
      <c r="LX23" s="827"/>
      <c r="LY23" s="827"/>
      <c r="LZ23" s="827"/>
      <c r="MA23" s="827"/>
      <c r="MB23" s="827"/>
      <c r="MC23" s="827"/>
      <c r="MD23" s="827"/>
      <c r="ME23" s="827"/>
      <c r="MF23" s="827"/>
      <c r="MG23" s="827"/>
      <c r="MH23" s="827"/>
      <c r="MI23" s="827"/>
      <c r="MJ23" s="827"/>
      <c r="MK23" s="827"/>
      <c r="ML23" s="827"/>
      <c r="MM23" s="827"/>
      <c r="MN23" s="827"/>
      <c r="MO23" s="827"/>
      <c r="MP23" s="827"/>
      <c r="MQ23" s="827"/>
      <c r="MR23" s="827"/>
      <c r="MS23" s="827"/>
      <c r="MT23" s="827"/>
      <c r="MU23" s="827"/>
      <c r="MV23" s="827"/>
      <c r="MW23" s="827"/>
      <c r="MX23" s="827"/>
      <c r="MY23" s="827"/>
      <c r="MZ23" s="827"/>
      <c r="NA23" s="827"/>
      <c r="NB23" s="827"/>
      <c r="NC23" s="827"/>
      <c r="ND23" s="827"/>
      <c r="NE23" s="827"/>
      <c r="NF23" s="827"/>
      <c r="NG23" s="827"/>
      <c r="NH23" s="827"/>
      <c r="NI23" s="827"/>
      <c r="NJ23" s="827"/>
      <c r="NK23" s="827"/>
      <c r="NL23" s="827"/>
      <c r="NM23" s="827"/>
      <c r="NN23" s="827"/>
      <c r="NO23" s="827"/>
      <c r="NP23" s="827"/>
      <c r="NQ23" s="827"/>
      <c r="NR23" s="827"/>
      <c r="NS23" s="827"/>
      <c r="NT23" s="827"/>
      <c r="NU23" s="827"/>
      <c r="NV23" s="827"/>
      <c r="NW23" s="827"/>
      <c r="NX23" s="827"/>
      <c r="NY23" s="827"/>
      <c r="NZ23" s="827"/>
      <c r="OA23" s="827"/>
      <c r="OB23" s="827"/>
      <c r="OC23" s="827"/>
      <c r="OD23" s="827"/>
      <c r="OE23" s="827"/>
      <c r="OF23" s="827"/>
      <c r="OG23" s="827"/>
      <c r="OH23" s="827"/>
      <c r="OI23" s="827"/>
      <c r="OJ23" s="827"/>
      <c r="OK23" s="827"/>
      <c r="OL23" s="827"/>
      <c r="OM23" s="827"/>
      <c r="ON23" s="827"/>
      <c r="OO23" s="827"/>
      <c r="OP23" s="827"/>
      <c r="OQ23" s="827"/>
      <c r="OR23" s="827"/>
      <c r="OS23" s="827"/>
      <c r="OT23" s="827"/>
      <c r="OU23" s="827"/>
      <c r="OV23" s="827"/>
      <c r="OW23" s="827"/>
      <c r="OX23" s="827"/>
      <c r="OY23" s="827"/>
      <c r="OZ23" s="827"/>
      <c r="PA23" s="827"/>
      <c r="PB23" s="827"/>
      <c r="PC23" s="827"/>
      <c r="PD23" s="827"/>
      <c r="PE23" s="827"/>
      <c r="PF23" s="827"/>
      <c r="PG23" s="827"/>
      <c r="PH23" s="827"/>
      <c r="PI23" s="827"/>
      <c r="PJ23" s="827"/>
      <c r="PK23" s="827"/>
      <c r="PL23" s="827"/>
      <c r="PM23" s="827"/>
      <c r="PN23" s="827"/>
      <c r="PO23" s="827"/>
      <c r="PP23" s="827"/>
      <c r="PQ23" s="827"/>
      <c r="PR23" s="827"/>
      <c r="PS23" s="827"/>
      <c r="PT23" s="827"/>
      <c r="PU23" s="827"/>
      <c r="PV23" s="827"/>
      <c r="PW23" s="827"/>
      <c r="PX23" s="827"/>
      <c r="PY23" s="827"/>
      <c r="PZ23" s="827"/>
      <c r="QA23" s="827"/>
      <c r="QB23" s="827"/>
      <c r="QC23" s="827"/>
      <c r="QD23" s="827"/>
      <c r="QE23" s="827"/>
      <c r="QF23" s="827"/>
      <c r="QG23" s="827"/>
      <c r="QH23" s="827"/>
      <c r="QI23" s="827"/>
      <c r="QJ23" s="827"/>
      <c r="QK23" s="827"/>
      <c r="QL23" s="827"/>
      <c r="QM23" s="827"/>
      <c r="QN23" s="827"/>
      <c r="QO23" s="827"/>
      <c r="QP23" s="827"/>
      <c r="QQ23" s="827"/>
      <c r="QR23" s="827"/>
      <c r="QS23" s="827"/>
      <c r="QT23" s="827"/>
      <c r="QU23" s="827"/>
      <c r="QV23" s="827"/>
      <c r="QW23" s="827"/>
      <c r="QX23" s="827"/>
      <c r="QY23" s="827"/>
      <c r="QZ23" s="827"/>
      <c r="RA23" s="827"/>
      <c r="RB23" s="827"/>
      <c r="RC23" s="827"/>
      <c r="RD23" s="827"/>
      <c r="RE23" s="827"/>
      <c r="RF23" s="827"/>
      <c r="RG23" s="827"/>
      <c r="RH23" s="827"/>
      <c r="RI23" s="827"/>
      <c r="RJ23" s="827"/>
      <c r="RK23" s="827"/>
      <c r="RL23" s="827"/>
      <c r="RM23" s="827"/>
      <c r="RN23" s="827"/>
      <c r="RO23" s="827"/>
      <c r="RP23" s="827"/>
      <c r="RQ23" s="827"/>
      <c r="RR23" s="827"/>
      <c r="RS23" s="827"/>
      <c r="RT23" s="827"/>
      <c r="RU23" s="827"/>
      <c r="RV23" s="827"/>
      <c r="RW23" s="827"/>
      <c r="RX23" s="827"/>
      <c r="RY23" s="827"/>
      <c r="RZ23" s="827"/>
      <c r="SA23" s="827"/>
      <c r="SB23" s="827"/>
      <c r="SC23" s="827"/>
      <c r="SD23" s="827"/>
      <c r="SE23" s="827"/>
      <c r="SF23" s="827"/>
      <c r="SG23" s="827"/>
      <c r="SH23" s="827"/>
      <c r="SI23" s="827"/>
      <c r="SJ23" s="827"/>
      <c r="SK23" s="827"/>
      <c r="SL23" s="827"/>
      <c r="SM23" s="827"/>
      <c r="SN23" s="827"/>
      <c r="SO23" s="827"/>
      <c r="SP23" s="827"/>
      <c r="SQ23" s="827"/>
      <c r="SR23" s="827"/>
      <c r="SS23" s="827"/>
      <c r="ST23" s="827"/>
      <c r="SU23" s="827"/>
      <c r="SV23" s="827"/>
      <c r="SW23" s="827"/>
      <c r="SX23" s="827"/>
      <c r="SY23" s="827"/>
      <c r="SZ23" s="827"/>
      <c r="TA23" s="827"/>
      <c r="TB23" s="827"/>
      <c r="TC23" s="827"/>
      <c r="TD23" s="827"/>
      <c r="TE23" s="827"/>
      <c r="TF23" s="827"/>
      <c r="TG23" s="827"/>
      <c r="TH23" s="827"/>
      <c r="TI23" s="827"/>
      <c r="TJ23" s="827"/>
      <c r="TK23" s="827"/>
      <c r="TL23" s="827"/>
      <c r="TM23" s="827"/>
      <c r="TN23" s="827"/>
      <c r="TO23" s="827"/>
      <c r="TP23" s="827"/>
      <c r="TQ23" s="827"/>
      <c r="TR23" s="827"/>
      <c r="TS23" s="827"/>
      <c r="TT23" s="827"/>
      <c r="TU23" s="827"/>
      <c r="TV23" s="827"/>
      <c r="TW23" s="827"/>
      <c r="TX23" s="827"/>
      <c r="TY23" s="827"/>
      <c r="TZ23" s="827"/>
      <c r="UA23" s="827"/>
      <c r="UB23" s="827"/>
      <c r="UC23" s="827"/>
      <c r="UD23" s="827"/>
      <c r="UE23" s="827"/>
      <c r="UF23" s="827"/>
      <c r="UG23" s="827"/>
      <c r="UH23" s="827"/>
      <c r="UI23" s="827"/>
      <c r="UJ23" s="827"/>
      <c r="UK23" s="827"/>
      <c r="UL23" s="827"/>
      <c r="UM23" s="827"/>
      <c r="UN23" s="827"/>
      <c r="UO23" s="827"/>
      <c r="UP23" s="827"/>
      <c r="UQ23" s="827"/>
      <c r="UR23" s="827"/>
      <c r="US23" s="827"/>
      <c r="UT23" s="827"/>
      <c r="UU23" s="827"/>
      <c r="UV23" s="827"/>
      <c r="UW23" s="827"/>
      <c r="UX23" s="827"/>
      <c r="UY23" s="827"/>
      <c r="UZ23" s="827"/>
      <c r="VA23" s="827"/>
      <c r="VB23" s="827"/>
      <c r="VC23" s="827"/>
      <c r="VD23" s="827"/>
      <c r="VE23" s="827"/>
      <c r="VF23" s="827"/>
      <c r="VG23" s="827"/>
      <c r="VH23" s="827"/>
      <c r="VI23" s="827"/>
      <c r="VJ23" s="827"/>
      <c r="VK23" s="827"/>
      <c r="VL23" s="827"/>
      <c r="VM23" s="827"/>
      <c r="VN23" s="827"/>
      <c r="VO23" s="827"/>
      <c r="VP23" s="827"/>
      <c r="VQ23" s="827"/>
      <c r="VR23" s="827"/>
      <c r="VS23" s="827"/>
      <c r="VT23" s="827"/>
      <c r="VU23" s="827"/>
      <c r="VV23" s="827"/>
      <c r="VW23" s="827"/>
      <c r="VX23" s="827"/>
      <c r="VY23" s="827"/>
      <c r="VZ23" s="827"/>
      <c r="WA23" s="827"/>
      <c r="WB23" s="827"/>
      <c r="WC23" s="827"/>
      <c r="WD23" s="827"/>
      <c r="WE23" s="827"/>
      <c r="WF23" s="827"/>
      <c r="WG23" s="827"/>
      <c r="WH23" s="827"/>
      <c r="WI23" s="827"/>
      <c r="WJ23" s="827"/>
      <c r="WK23" s="827"/>
      <c r="WL23" s="827"/>
      <c r="WM23" s="827"/>
      <c r="WN23" s="827"/>
      <c r="WO23" s="827"/>
      <c r="WP23" s="827"/>
      <c r="WQ23" s="827"/>
      <c r="WR23" s="827"/>
      <c r="WS23" s="827"/>
      <c r="WT23" s="827"/>
      <c r="WU23" s="827"/>
      <c r="WV23" s="827"/>
      <c r="WW23" s="827"/>
      <c r="WX23" s="827"/>
      <c r="WY23" s="827"/>
      <c r="WZ23" s="827"/>
      <c r="XA23" s="827"/>
      <c r="XB23" s="827"/>
      <c r="XC23" s="827"/>
      <c r="XD23" s="827"/>
      <c r="XE23" s="827"/>
      <c r="XF23" s="827"/>
      <c r="XG23" s="827"/>
      <c r="XH23" s="827"/>
      <c r="XI23" s="827"/>
      <c r="XJ23" s="827"/>
      <c r="XK23" s="827"/>
      <c r="XL23" s="827"/>
      <c r="XM23" s="827"/>
      <c r="XN23" s="827"/>
      <c r="XO23" s="827"/>
      <c r="XP23" s="827"/>
      <c r="XQ23" s="827"/>
      <c r="XR23" s="827"/>
      <c r="XS23" s="827"/>
      <c r="XT23" s="827"/>
      <c r="XU23" s="827"/>
      <c r="XV23" s="827"/>
      <c r="XW23" s="827"/>
      <c r="XX23" s="827"/>
      <c r="XY23" s="827"/>
      <c r="XZ23" s="827"/>
      <c r="YA23" s="827"/>
      <c r="YB23" s="827"/>
      <c r="YC23" s="827"/>
      <c r="YD23" s="827"/>
      <c r="YE23" s="827"/>
      <c r="YF23" s="827"/>
      <c r="YG23" s="827"/>
      <c r="YH23" s="827"/>
      <c r="YI23" s="827"/>
      <c r="YJ23" s="827"/>
      <c r="YK23" s="827"/>
      <c r="YL23" s="827"/>
      <c r="YM23" s="827"/>
      <c r="YN23" s="827"/>
      <c r="YO23" s="827"/>
      <c r="YP23" s="827"/>
      <c r="YQ23" s="827"/>
      <c r="YR23" s="827"/>
      <c r="YS23" s="827"/>
      <c r="YT23" s="827"/>
      <c r="YU23" s="827"/>
      <c r="YV23" s="827"/>
      <c r="YW23" s="827"/>
      <c r="YX23" s="827"/>
      <c r="YY23" s="827"/>
      <c r="YZ23" s="827"/>
      <c r="ZA23" s="827"/>
      <c r="ZB23" s="827"/>
      <c r="ZC23" s="827"/>
      <c r="ZD23" s="827"/>
      <c r="ZE23" s="827"/>
      <c r="ZF23" s="827"/>
      <c r="ZG23" s="827"/>
      <c r="ZH23" s="827"/>
      <c r="ZI23" s="827"/>
      <c r="ZJ23" s="827"/>
      <c r="ZK23" s="827"/>
      <c r="ZL23" s="827"/>
      <c r="ZM23" s="827"/>
      <c r="ZN23" s="827"/>
      <c r="ZO23" s="827"/>
      <c r="ZP23" s="827"/>
      <c r="ZQ23" s="827"/>
      <c r="ZR23" s="827"/>
      <c r="ZS23" s="827"/>
      <c r="ZT23" s="827"/>
      <c r="ZU23" s="827"/>
      <c r="ZV23" s="827"/>
      <c r="ZW23" s="827"/>
      <c r="ZX23" s="827"/>
      <c r="ZY23" s="827"/>
      <c r="ZZ23" s="827"/>
      <c r="AAA23" s="827"/>
      <c r="AAB23" s="827"/>
      <c r="AAC23" s="827"/>
      <c r="AAD23" s="827"/>
      <c r="AAE23" s="827"/>
      <c r="AAF23" s="827"/>
      <c r="AAG23" s="827"/>
      <c r="AAH23" s="827"/>
      <c r="AAI23" s="827"/>
      <c r="AAJ23" s="827"/>
      <c r="AAK23" s="827"/>
      <c r="AAL23" s="827"/>
      <c r="AAM23" s="827"/>
      <c r="AAN23" s="827"/>
      <c r="AAO23" s="827"/>
      <c r="AAP23" s="827"/>
      <c r="AAQ23" s="827"/>
      <c r="AAR23" s="827"/>
      <c r="AAS23" s="827"/>
      <c r="AAT23" s="827"/>
      <c r="AAU23" s="827"/>
      <c r="AAV23" s="827"/>
      <c r="AAW23" s="827"/>
      <c r="AAX23" s="827"/>
      <c r="AAY23" s="827"/>
      <c r="AAZ23" s="827"/>
      <c r="ABA23" s="827"/>
      <c r="ABB23" s="827"/>
      <c r="ABC23" s="827"/>
      <c r="ABD23" s="827"/>
      <c r="ABE23" s="827"/>
      <c r="ABF23" s="827"/>
      <c r="ABG23" s="827"/>
      <c r="ABH23" s="827"/>
      <c r="ABI23" s="827"/>
      <c r="ABJ23" s="827"/>
      <c r="ABK23" s="827"/>
      <c r="ABL23" s="827"/>
      <c r="ABM23" s="827"/>
      <c r="ABN23" s="827"/>
      <c r="ABO23" s="827"/>
      <c r="ABP23" s="827"/>
      <c r="ABQ23" s="827"/>
      <c r="ABR23" s="827"/>
      <c r="ABS23" s="827"/>
      <c r="ABT23" s="827"/>
      <c r="ABU23" s="827"/>
      <c r="ABV23" s="827"/>
      <c r="ABW23" s="827"/>
      <c r="ABX23" s="827"/>
      <c r="ABY23" s="827"/>
      <c r="ABZ23" s="827"/>
      <c r="ACA23" s="827"/>
      <c r="ACB23" s="827"/>
      <c r="ACC23" s="827"/>
      <c r="ACD23" s="827"/>
      <c r="ACE23" s="827"/>
      <c r="ACF23" s="827"/>
      <c r="ACG23" s="827"/>
      <c r="ACH23" s="827"/>
      <c r="ACI23" s="827"/>
      <c r="ACJ23" s="827"/>
      <c r="ACK23" s="827"/>
      <c r="ACL23" s="827"/>
      <c r="ACM23" s="827"/>
      <c r="ACN23" s="827"/>
      <c r="ACO23" s="827"/>
      <c r="ACP23" s="827"/>
      <c r="ACQ23" s="827"/>
      <c r="ACR23" s="827"/>
      <c r="ACS23" s="827"/>
      <c r="ACT23" s="827"/>
      <c r="ACU23" s="827"/>
      <c r="ACV23" s="827"/>
      <c r="ACW23" s="827"/>
      <c r="ACX23" s="827"/>
      <c r="ACY23" s="827"/>
      <c r="ACZ23" s="827"/>
      <c r="ADA23" s="827"/>
      <c r="ADB23" s="827"/>
      <c r="ADC23" s="827"/>
      <c r="ADD23" s="827"/>
      <c r="ADE23" s="827"/>
      <c r="ADF23" s="827"/>
      <c r="ADG23" s="827"/>
      <c r="ADH23" s="827"/>
      <c r="ADI23" s="827"/>
      <c r="ADJ23" s="827"/>
      <c r="ADK23" s="827"/>
      <c r="ADL23" s="827"/>
      <c r="ADM23" s="827"/>
      <c r="ADN23" s="827"/>
      <c r="ADO23" s="827"/>
      <c r="ADP23" s="827"/>
      <c r="ADQ23" s="827"/>
      <c r="ADR23" s="827"/>
      <c r="ADS23" s="827"/>
      <c r="ADT23" s="827"/>
      <c r="ADU23" s="827"/>
      <c r="ADV23" s="827"/>
      <c r="ADW23" s="827"/>
      <c r="ADX23" s="827"/>
      <c r="ADY23" s="827"/>
      <c r="ADZ23" s="827"/>
      <c r="AEA23" s="827"/>
      <c r="AEB23" s="827"/>
      <c r="AEC23" s="827"/>
      <c r="AED23" s="827"/>
      <c r="AEE23" s="827"/>
      <c r="AEF23" s="827"/>
      <c r="AEG23" s="827"/>
      <c r="AEH23" s="827"/>
      <c r="AEI23" s="827"/>
      <c r="AEJ23" s="827"/>
      <c r="AEK23" s="827"/>
      <c r="AEL23" s="827"/>
      <c r="AEM23" s="827"/>
      <c r="AEN23" s="827"/>
      <c r="AEO23" s="827"/>
      <c r="AEP23" s="827"/>
      <c r="AEQ23" s="827"/>
      <c r="AER23" s="827"/>
      <c r="AES23" s="827"/>
      <c r="AET23" s="827"/>
      <c r="AEU23" s="827"/>
      <c r="AEV23" s="827"/>
      <c r="AEW23" s="827"/>
      <c r="AEX23" s="827"/>
      <c r="AEY23" s="827"/>
      <c r="AEZ23" s="827"/>
      <c r="AFA23" s="827"/>
      <c r="AFB23" s="827"/>
      <c r="AFC23" s="827"/>
      <c r="AFD23" s="827"/>
      <c r="AFE23" s="827"/>
      <c r="AFF23" s="827"/>
      <c r="AFG23" s="827"/>
      <c r="AFH23" s="827"/>
      <c r="AFI23" s="827"/>
      <c r="AFJ23" s="827"/>
      <c r="AFK23" s="827"/>
      <c r="AFL23" s="827"/>
      <c r="AFM23" s="827"/>
      <c r="AFN23" s="827"/>
      <c r="AFO23" s="827"/>
      <c r="AFP23" s="827"/>
      <c r="AFQ23" s="827"/>
      <c r="AFR23" s="827"/>
      <c r="AFS23" s="827"/>
      <c r="AFT23" s="827"/>
      <c r="AFU23" s="827"/>
      <c r="AFV23" s="827"/>
      <c r="AFW23" s="827"/>
      <c r="AFX23" s="827"/>
      <c r="AFY23" s="827"/>
      <c r="AFZ23" s="827"/>
      <c r="AGA23" s="827"/>
      <c r="AGB23" s="827"/>
      <c r="AGC23" s="827"/>
      <c r="AGD23" s="827"/>
      <c r="AGE23" s="827"/>
      <c r="AGF23" s="827"/>
      <c r="AGG23" s="827"/>
      <c r="AGH23" s="827"/>
      <c r="AGI23" s="827"/>
      <c r="AGJ23" s="827"/>
      <c r="AGK23" s="827"/>
      <c r="AGL23" s="827"/>
      <c r="AGM23" s="827"/>
      <c r="AGN23" s="827"/>
      <c r="AGO23" s="827"/>
      <c r="AGP23" s="827"/>
      <c r="AGQ23" s="827"/>
      <c r="AGR23" s="827"/>
      <c r="AGS23" s="827"/>
      <c r="AGT23" s="827"/>
      <c r="AGU23" s="827"/>
      <c r="AGV23" s="827"/>
      <c r="AGW23" s="827"/>
      <c r="AGX23" s="827"/>
      <c r="AGY23" s="827"/>
      <c r="AGZ23" s="827"/>
      <c r="AHA23" s="827"/>
      <c r="AHB23" s="827"/>
      <c r="AHC23" s="827"/>
      <c r="AHD23" s="827"/>
      <c r="AHE23" s="827"/>
      <c r="AHF23" s="827"/>
      <c r="AHG23" s="827"/>
      <c r="AHH23" s="827"/>
      <c r="AHI23" s="827"/>
      <c r="AHJ23" s="827"/>
      <c r="AHK23" s="827"/>
      <c r="AHL23" s="827"/>
      <c r="AHM23" s="827"/>
      <c r="AHN23" s="827"/>
      <c r="AHO23" s="827"/>
      <c r="AHP23" s="827"/>
      <c r="AHQ23" s="827"/>
      <c r="AHR23" s="827"/>
      <c r="AHS23" s="827"/>
      <c r="AHT23" s="827"/>
      <c r="AHU23" s="827"/>
      <c r="AHV23" s="827"/>
      <c r="AHW23" s="827"/>
      <c r="AHX23" s="827"/>
      <c r="AHY23" s="827"/>
      <c r="AHZ23" s="827"/>
      <c r="AIA23" s="827"/>
      <c r="AIB23" s="827"/>
      <c r="AIC23" s="827"/>
      <c r="AID23" s="827"/>
      <c r="AIE23" s="827"/>
      <c r="AIF23" s="827"/>
      <c r="AIG23" s="827"/>
      <c r="AIH23" s="827"/>
      <c r="AII23" s="827"/>
      <c r="AIJ23" s="827"/>
      <c r="AIK23" s="827"/>
      <c r="AIL23" s="827"/>
      <c r="AIM23" s="827"/>
      <c r="AIN23" s="827"/>
      <c r="AIO23" s="827"/>
      <c r="AIP23" s="827"/>
      <c r="AIQ23" s="827"/>
      <c r="AIR23" s="827"/>
      <c r="AIS23" s="827"/>
      <c r="AIT23" s="827"/>
      <c r="AIU23" s="827"/>
      <c r="AIV23" s="827"/>
      <c r="AIW23" s="827"/>
      <c r="AIX23" s="827"/>
      <c r="AIY23" s="827"/>
      <c r="AIZ23" s="827"/>
      <c r="AJA23" s="827"/>
      <c r="AJB23" s="827"/>
      <c r="AJC23" s="827"/>
      <c r="AJD23" s="827"/>
      <c r="AJE23" s="827"/>
      <c r="AJF23" s="827"/>
      <c r="AJG23" s="827"/>
      <c r="AJH23" s="827"/>
      <c r="AJI23" s="827"/>
      <c r="AJJ23" s="827"/>
      <c r="AJK23" s="827"/>
      <c r="AJL23" s="827"/>
      <c r="AJM23" s="827"/>
      <c r="AJN23" s="827"/>
      <c r="AJO23" s="827"/>
      <c r="AJP23" s="827"/>
      <c r="AJQ23" s="827"/>
      <c r="AJR23" s="827"/>
      <c r="AJS23" s="827"/>
      <c r="AJT23" s="827"/>
      <c r="AJU23" s="827"/>
      <c r="AJV23" s="827"/>
      <c r="AJW23" s="827"/>
      <c r="AJX23" s="827"/>
      <c r="AJY23" s="827"/>
      <c r="AJZ23" s="827"/>
      <c r="AKA23" s="827"/>
      <c r="AKB23" s="827"/>
      <c r="AKC23" s="827"/>
      <c r="AKD23" s="827"/>
      <c r="AKE23" s="827"/>
      <c r="AKF23" s="827"/>
      <c r="AKG23" s="827"/>
      <c r="AKH23" s="827"/>
      <c r="AKI23" s="827"/>
      <c r="AKJ23" s="827"/>
      <c r="AKK23" s="827"/>
      <c r="AKL23" s="827"/>
      <c r="AKM23" s="827"/>
      <c r="AKN23" s="827"/>
      <c r="AKO23" s="827"/>
      <c r="AKP23" s="827"/>
      <c r="AKQ23" s="827"/>
      <c r="AKR23" s="827"/>
      <c r="AKS23" s="827"/>
      <c r="AKT23" s="827"/>
      <c r="AKU23" s="827"/>
      <c r="AKV23" s="827"/>
      <c r="AKW23" s="827"/>
      <c r="AKX23" s="827"/>
      <c r="AKY23" s="827"/>
      <c r="AKZ23" s="827"/>
      <c r="ALA23" s="827"/>
      <c r="ALB23" s="827"/>
      <c r="ALC23" s="827"/>
      <c r="ALD23" s="827"/>
      <c r="ALE23" s="827"/>
      <c r="ALF23" s="827"/>
      <c r="ALG23" s="827"/>
      <c r="ALH23" s="827"/>
      <c r="ALI23" s="827"/>
      <c r="ALJ23" s="827"/>
      <c r="ALK23" s="827"/>
      <c r="ALL23" s="827"/>
      <c r="ALM23" s="827"/>
      <c r="ALN23" s="827"/>
      <c r="ALO23" s="827"/>
      <c r="ALP23" s="827"/>
      <c r="ALQ23" s="827"/>
      <c r="ALR23" s="827"/>
      <c r="ALS23" s="827"/>
      <c r="ALT23" s="827"/>
      <c r="ALU23" s="827"/>
      <c r="ALV23" s="827"/>
      <c r="ALW23" s="827"/>
      <c r="ALX23" s="827"/>
      <c r="ALY23" s="827"/>
      <c r="ALZ23" s="827"/>
      <c r="AMA23" s="827"/>
      <c r="AMB23" s="827"/>
      <c r="AMC23" s="827"/>
      <c r="AMD23" s="827"/>
      <c r="AME23" s="827"/>
      <c r="AMF23" s="827"/>
      <c r="AMG23" s="827"/>
      <c r="AMH23" s="827"/>
      <c r="AMI23" s="827"/>
      <c r="AMJ23" s="827"/>
      <c r="AMK23" s="827"/>
      <c r="AML23" s="827"/>
      <c r="AMM23" s="827"/>
      <c r="AMN23" s="827"/>
      <c r="AMO23" s="827"/>
      <c r="AMP23" s="827"/>
      <c r="AMQ23" s="827"/>
      <c r="AMR23" s="827"/>
      <c r="AMS23" s="827"/>
      <c r="AMT23" s="827"/>
      <c r="AMU23" s="827"/>
      <c r="AMV23" s="827"/>
      <c r="AMW23" s="827"/>
      <c r="AMX23" s="827"/>
      <c r="AMY23" s="827"/>
      <c r="AMZ23" s="827"/>
      <c r="ANA23" s="827"/>
      <c r="ANB23" s="827"/>
      <c r="ANC23" s="827"/>
      <c r="AND23" s="827"/>
      <c r="ANE23" s="827"/>
      <c r="ANF23" s="827"/>
      <c r="ANG23" s="827"/>
      <c r="ANH23" s="827"/>
      <c r="ANI23" s="827"/>
      <c r="ANJ23" s="827"/>
      <c r="ANK23" s="827"/>
      <c r="ANL23" s="827"/>
      <c r="ANM23" s="827"/>
      <c r="ANN23" s="827"/>
      <c r="ANO23" s="827"/>
      <c r="ANP23" s="827"/>
      <c r="ANQ23" s="827"/>
      <c r="ANR23" s="827"/>
      <c r="ANS23" s="827"/>
      <c r="ANT23" s="827"/>
      <c r="ANU23" s="827"/>
      <c r="ANV23" s="827"/>
      <c r="ANW23" s="827"/>
      <c r="ANX23" s="827"/>
      <c r="ANY23" s="827"/>
      <c r="ANZ23" s="827"/>
      <c r="AOA23" s="827"/>
      <c r="AOB23" s="827"/>
      <c r="AOC23" s="827"/>
      <c r="AOD23" s="827"/>
      <c r="AOE23" s="827"/>
      <c r="AOF23" s="827"/>
      <c r="AOG23" s="827"/>
      <c r="AOH23" s="827"/>
      <c r="AOI23" s="827"/>
      <c r="AOJ23" s="827"/>
      <c r="AOK23" s="827"/>
      <c r="AOL23" s="827"/>
      <c r="AOM23" s="827"/>
      <c r="AON23" s="827"/>
      <c r="AOO23" s="827"/>
      <c r="AOP23" s="827"/>
      <c r="AOQ23" s="827"/>
      <c r="AOR23" s="827"/>
      <c r="AOS23" s="827"/>
      <c r="AOT23" s="827"/>
      <c r="AOU23" s="827"/>
      <c r="AOV23" s="827"/>
      <c r="AOW23" s="827"/>
      <c r="AOX23" s="827"/>
      <c r="AOY23" s="827"/>
      <c r="AOZ23" s="827"/>
      <c r="APA23" s="827"/>
      <c r="APB23" s="827"/>
      <c r="APC23" s="827"/>
      <c r="APD23" s="827"/>
      <c r="APE23" s="827"/>
      <c r="APF23" s="827"/>
      <c r="APG23" s="827"/>
      <c r="APH23" s="827"/>
      <c r="API23" s="827"/>
      <c r="APJ23" s="827"/>
      <c r="APK23" s="827"/>
      <c r="APL23" s="827"/>
      <c r="APM23" s="827"/>
      <c r="APN23" s="827"/>
      <c r="APO23" s="827"/>
      <c r="APP23" s="827"/>
      <c r="APQ23" s="827"/>
      <c r="APR23" s="827"/>
      <c r="APS23" s="827"/>
      <c r="APT23" s="827"/>
      <c r="APU23" s="827"/>
      <c r="APV23" s="827"/>
      <c r="APW23" s="827"/>
      <c r="APX23" s="827"/>
      <c r="APY23" s="827"/>
      <c r="APZ23" s="827"/>
      <c r="AQA23" s="827"/>
      <c r="AQB23" s="827"/>
      <c r="AQC23" s="827"/>
      <c r="AQD23" s="827"/>
      <c r="AQE23" s="827"/>
      <c r="AQF23" s="827"/>
      <c r="AQG23" s="827"/>
      <c r="AQH23" s="827"/>
      <c r="AQI23" s="827"/>
      <c r="AQJ23" s="827"/>
      <c r="AQK23" s="827"/>
      <c r="AQL23" s="827"/>
      <c r="AQM23" s="827"/>
      <c r="AQN23" s="827"/>
      <c r="AQO23" s="827"/>
      <c r="AQP23" s="827"/>
      <c r="AQQ23" s="827"/>
      <c r="AQR23" s="827"/>
      <c r="AQS23" s="827"/>
      <c r="AQT23" s="827"/>
      <c r="AQU23" s="827"/>
      <c r="AQV23" s="827"/>
      <c r="AQW23" s="827"/>
      <c r="AQX23" s="827"/>
      <c r="AQY23" s="827"/>
      <c r="AQZ23" s="827"/>
      <c r="ARA23" s="827"/>
      <c r="ARB23" s="827"/>
      <c r="ARC23" s="827"/>
      <c r="ARD23" s="827"/>
      <c r="ARE23" s="827"/>
      <c r="ARF23" s="827"/>
      <c r="ARG23" s="827"/>
      <c r="ARH23" s="827"/>
      <c r="ARI23" s="827"/>
      <c r="ARJ23" s="827"/>
      <c r="ARK23" s="827"/>
      <c r="ARL23" s="827"/>
      <c r="ARM23" s="827"/>
      <c r="ARN23" s="827"/>
      <c r="ARO23" s="827"/>
      <c r="ARP23" s="827"/>
      <c r="ARQ23" s="827"/>
      <c r="ARR23" s="827"/>
      <c r="ARS23" s="827"/>
      <c r="ART23" s="827"/>
      <c r="ARU23" s="827"/>
      <c r="ARV23" s="827"/>
      <c r="ARW23" s="827"/>
      <c r="ARX23" s="827"/>
      <c r="ARY23" s="827"/>
      <c r="ARZ23" s="827"/>
      <c r="ASA23" s="827"/>
      <c r="ASB23" s="827"/>
      <c r="ASC23" s="827"/>
      <c r="ASD23" s="827"/>
      <c r="ASE23" s="827"/>
      <c r="ASF23" s="827"/>
      <c r="ASG23" s="827"/>
      <c r="ASH23" s="827"/>
      <c r="ASI23" s="827"/>
      <c r="ASJ23" s="827"/>
      <c r="ASK23" s="827"/>
      <c r="ASL23" s="827"/>
      <c r="ASM23" s="827"/>
      <c r="ASN23" s="827"/>
      <c r="ASO23" s="827"/>
      <c r="ASP23" s="827"/>
      <c r="ASQ23" s="827"/>
      <c r="ASR23" s="827"/>
      <c r="ASS23" s="827"/>
      <c r="AST23" s="827"/>
      <c r="ASU23" s="827"/>
      <c r="ASV23" s="827"/>
      <c r="ASW23" s="827"/>
      <c r="ASX23" s="827"/>
      <c r="ASY23" s="827"/>
      <c r="ASZ23" s="827"/>
      <c r="ATA23" s="827"/>
      <c r="ATB23" s="827"/>
      <c r="ATC23" s="827"/>
      <c r="ATD23" s="827"/>
      <c r="ATE23" s="827"/>
      <c r="ATF23" s="827"/>
      <c r="ATG23" s="827"/>
      <c r="ATH23" s="827"/>
      <c r="ATI23" s="827"/>
      <c r="ATJ23" s="827"/>
      <c r="ATK23" s="827"/>
      <c r="ATL23" s="827"/>
      <c r="ATM23" s="827"/>
      <c r="ATN23" s="827"/>
      <c r="ATO23" s="827"/>
      <c r="ATP23" s="827"/>
      <c r="ATQ23" s="827"/>
      <c r="ATR23" s="827"/>
      <c r="ATS23" s="827"/>
      <c r="ATT23" s="827"/>
      <c r="ATU23" s="827"/>
      <c r="ATV23" s="827"/>
      <c r="ATW23" s="827"/>
      <c r="ATX23" s="827"/>
      <c r="ATY23" s="827"/>
      <c r="ATZ23" s="827"/>
      <c r="AUA23" s="827"/>
      <c r="AUB23" s="827"/>
      <c r="AUC23" s="827"/>
      <c r="AUD23" s="827"/>
      <c r="AUE23" s="827"/>
      <c r="AUF23" s="827"/>
      <c r="AUG23" s="827"/>
      <c r="AUH23" s="827"/>
      <c r="AUI23" s="827"/>
      <c r="AUJ23" s="827"/>
      <c r="AUK23" s="827"/>
      <c r="AUL23" s="827"/>
      <c r="AUM23" s="827"/>
      <c r="AUN23" s="827"/>
      <c r="AUO23" s="827"/>
      <c r="AUP23" s="827"/>
      <c r="AUQ23" s="827"/>
      <c r="AUR23" s="827"/>
      <c r="AUS23" s="827"/>
      <c r="AUT23" s="827"/>
      <c r="AUU23" s="827"/>
      <c r="AUV23" s="827"/>
      <c r="AUW23" s="827"/>
      <c r="AUX23" s="827"/>
      <c r="AUY23" s="827"/>
      <c r="AUZ23" s="827"/>
      <c r="AVA23" s="827"/>
      <c r="AVB23" s="827"/>
      <c r="AVC23" s="827"/>
      <c r="AVD23" s="827"/>
      <c r="AVE23" s="827"/>
      <c r="AVF23" s="827"/>
      <c r="AVG23" s="827"/>
      <c r="AVH23" s="827"/>
      <c r="AVI23" s="827"/>
      <c r="AVJ23" s="827"/>
      <c r="AVK23" s="827"/>
      <c r="AVL23" s="827"/>
      <c r="AVM23" s="827"/>
      <c r="AVN23" s="827"/>
      <c r="AVO23" s="827"/>
      <c r="AVP23" s="827"/>
      <c r="AVQ23" s="827"/>
      <c r="AVR23" s="827"/>
      <c r="AVS23" s="827"/>
      <c r="AVT23" s="827"/>
      <c r="AVU23" s="827"/>
      <c r="AVV23" s="827"/>
      <c r="AVW23" s="827"/>
      <c r="AVX23" s="827"/>
      <c r="AVY23" s="827"/>
      <c r="AVZ23" s="827"/>
      <c r="AWA23" s="827"/>
      <c r="AWB23" s="827"/>
      <c r="AWC23" s="827"/>
      <c r="AWD23" s="827"/>
      <c r="AWE23" s="827"/>
      <c r="AWF23" s="827"/>
      <c r="AWG23" s="827"/>
      <c r="AWH23" s="827"/>
      <c r="AWI23" s="827"/>
      <c r="AWJ23" s="827"/>
      <c r="AWK23" s="827"/>
      <c r="AWL23" s="827"/>
      <c r="AWM23" s="827"/>
      <c r="AWN23" s="827"/>
      <c r="AWO23" s="827"/>
      <c r="AWP23" s="827"/>
      <c r="AWQ23" s="827"/>
      <c r="AWR23" s="827"/>
      <c r="AWS23" s="827"/>
      <c r="AWT23" s="827"/>
      <c r="AWU23" s="827"/>
      <c r="AWV23" s="827"/>
      <c r="AWW23" s="827"/>
      <c r="AWX23" s="827"/>
      <c r="AWY23" s="827"/>
      <c r="AWZ23" s="827"/>
      <c r="AXA23" s="827"/>
      <c r="AXB23" s="827"/>
      <c r="AXC23" s="827"/>
      <c r="AXD23" s="827"/>
      <c r="AXE23" s="827"/>
      <c r="AXF23" s="827"/>
      <c r="AXG23" s="827"/>
      <c r="AXH23" s="827"/>
      <c r="AXI23" s="827"/>
      <c r="AXJ23" s="827"/>
      <c r="AXK23" s="827"/>
      <c r="AXL23" s="827"/>
      <c r="AXM23" s="827"/>
      <c r="AXN23" s="827"/>
      <c r="AXO23" s="827"/>
      <c r="AXP23" s="827"/>
      <c r="AXQ23" s="827"/>
      <c r="AXR23" s="827"/>
      <c r="AXS23" s="827"/>
      <c r="AXT23" s="827"/>
      <c r="AXU23" s="827"/>
      <c r="AXV23" s="827"/>
      <c r="AXW23" s="827"/>
      <c r="AXX23" s="827"/>
      <c r="AXY23" s="827"/>
      <c r="AXZ23" s="827"/>
      <c r="AYA23" s="827"/>
      <c r="AYB23" s="827"/>
      <c r="AYC23" s="827"/>
      <c r="AYD23" s="827"/>
      <c r="AYE23" s="827"/>
      <c r="AYF23" s="827"/>
      <c r="AYG23" s="827"/>
      <c r="AYH23" s="827"/>
      <c r="AYI23" s="827"/>
      <c r="AYJ23" s="827"/>
      <c r="AYK23" s="827"/>
      <c r="AYL23" s="827"/>
      <c r="AYM23" s="827"/>
      <c r="AYN23" s="827"/>
      <c r="AYO23" s="827"/>
      <c r="AYP23" s="827"/>
      <c r="AYQ23" s="827"/>
      <c r="AYR23" s="827"/>
      <c r="AYS23" s="827"/>
      <c r="AYT23" s="827"/>
      <c r="AYU23" s="827"/>
      <c r="AYV23" s="827"/>
      <c r="AYW23" s="827"/>
      <c r="AYX23" s="827"/>
      <c r="AYY23" s="827"/>
      <c r="AYZ23" s="827"/>
      <c r="AZA23" s="827"/>
      <c r="AZB23" s="827"/>
      <c r="AZC23" s="827"/>
      <c r="AZD23" s="827"/>
      <c r="AZE23" s="827"/>
      <c r="AZF23" s="827"/>
      <c r="AZG23" s="827"/>
      <c r="AZH23" s="827"/>
      <c r="AZI23" s="827"/>
      <c r="AZJ23" s="827"/>
      <c r="AZK23" s="827"/>
      <c r="AZL23" s="827"/>
      <c r="AZM23" s="827"/>
      <c r="AZN23" s="827"/>
      <c r="AZO23" s="827"/>
      <c r="AZP23" s="827"/>
      <c r="AZQ23" s="827"/>
      <c r="AZR23" s="827"/>
      <c r="AZS23" s="827"/>
      <c r="AZT23" s="827"/>
      <c r="AZU23" s="827"/>
      <c r="AZV23" s="827"/>
      <c r="AZW23" s="827"/>
      <c r="AZX23" s="827"/>
      <c r="AZY23" s="827"/>
      <c r="AZZ23" s="827"/>
      <c r="BAA23" s="827"/>
      <c r="BAB23" s="827"/>
      <c r="BAC23" s="827"/>
      <c r="BAD23" s="827"/>
      <c r="BAE23" s="827"/>
      <c r="BAF23" s="827"/>
      <c r="BAG23" s="827"/>
      <c r="BAH23" s="827"/>
      <c r="BAI23" s="827"/>
      <c r="BAJ23" s="827"/>
      <c r="BAK23" s="827"/>
      <c r="BAL23" s="827"/>
      <c r="BAM23" s="827"/>
      <c r="BAN23" s="827"/>
      <c r="BAO23" s="827"/>
      <c r="BAP23" s="827"/>
      <c r="BAQ23" s="827"/>
      <c r="BAR23" s="827"/>
      <c r="BAS23" s="827"/>
      <c r="BAT23" s="827"/>
      <c r="BAU23" s="827"/>
      <c r="BAV23" s="827"/>
      <c r="BAW23" s="827"/>
      <c r="BAX23" s="827"/>
      <c r="BAY23" s="827"/>
      <c r="BAZ23" s="827"/>
      <c r="BBA23" s="827"/>
      <c r="BBB23" s="827"/>
      <c r="BBC23" s="827"/>
      <c r="BBD23" s="827"/>
      <c r="BBE23" s="827"/>
      <c r="BBF23" s="827"/>
      <c r="BBG23" s="827"/>
      <c r="BBH23" s="827"/>
      <c r="BBI23" s="827"/>
      <c r="BBJ23" s="827"/>
      <c r="BBK23" s="827"/>
      <c r="BBL23" s="827"/>
      <c r="BBM23" s="827"/>
      <c r="BBN23" s="827"/>
      <c r="BBO23" s="827"/>
      <c r="BBP23" s="827"/>
      <c r="BBQ23" s="827"/>
      <c r="BBR23" s="827"/>
      <c r="BBS23" s="827"/>
      <c r="BBT23" s="827"/>
      <c r="BBU23" s="827"/>
      <c r="BBV23" s="827"/>
      <c r="BBW23" s="827"/>
      <c r="BBX23" s="827"/>
      <c r="BBY23" s="827"/>
      <c r="BBZ23" s="827"/>
      <c r="BCA23" s="827"/>
      <c r="BCB23" s="827"/>
      <c r="BCC23" s="827"/>
      <c r="BCD23" s="827"/>
      <c r="BCE23" s="827"/>
      <c r="BCF23" s="827"/>
      <c r="BCG23" s="827"/>
      <c r="BCH23" s="827"/>
      <c r="BCI23" s="827"/>
      <c r="BCJ23" s="827"/>
      <c r="BCK23" s="827"/>
      <c r="BCL23" s="827"/>
      <c r="BCM23" s="827"/>
      <c r="BCN23" s="827"/>
      <c r="BCO23" s="827"/>
      <c r="BCP23" s="827"/>
      <c r="BCQ23" s="827"/>
      <c r="BCR23" s="827"/>
      <c r="BCS23" s="827"/>
      <c r="BCT23" s="827"/>
      <c r="BCU23" s="827"/>
      <c r="BCV23" s="827"/>
      <c r="BCW23" s="827"/>
      <c r="BCX23" s="827"/>
      <c r="BCY23" s="827"/>
      <c r="BCZ23" s="827"/>
      <c r="BDA23" s="827"/>
      <c r="BDB23" s="827"/>
      <c r="BDC23" s="827"/>
      <c r="BDD23" s="827"/>
      <c r="BDE23" s="827"/>
      <c r="BDF23" s="827"/>
      <c r="BDG23" s="827"/>
      <c r="BDH23" s="827"/>
      <c r="BDI23" s="827"/>
      <c r="BDJ23" s="827"/>
      <c r="BDK23" s="827"/>
      <c r="BDL23" s="827"/>
      <c r="BDM23" s="827"/>
      <c r="BDN23" s="827"/>
      <c r="BDO23" s="827"/>
      <c r="BDP23" s="827"/>
      <c r="BDQ23" s="827"/>
      <c r="BDR23" s="827"/>
      <c r="BDS23" s="827"/>
      <c r="BDT23" s="827"/>
      <c r="BDU23" s="827"/>
      <c r="BDV23" s="827"/>
      <c r="BDW23" s="827"/>
      <c r="BDX23" s="827"/>
      <c r="BDY23" s="827"/>
      <c r="BDZ23" s="827"/>
      <c r="BEA23" s="827"/>
      <c r="BEB23" s="827"/>
      <c r="BEC23" s="827"/>
      <c r="BED23" s="827"/>
      <c r="BEE23" s="827"/>
      <c r="BEF23" s="827"/>
      <c r="BEG23" s="827"/>
      <c r="BEH23" s="827"/>
      <c r="BEI23" s="827"/>
      <c r="BEJ23" s="827"/>
      <c r="BEK23" s="827"/>
      <c r="BEL23" s="827"/>
      <c r="BEM23" s="827"/>
      <c r="BEN23" s="827"/>
      <c r="BEO23" s="827"/>
      <c r="BEP23" s="827"/>
      <c r="BEQ23" s="827"/>
      <c r="BER23" s="827"/>
      <c r="BES23" s="827"/>
      <c r="BET23" s="827"/>
      <c r="BEU23" s="827"/>
      <c r="BEV23" s="827"/>
      <c r="BEW23" s="827"/>
      <c r="BEX23" s="827"/>
      <c r="BEY23" s="827"/>
      <c r="BEZ23" s="827"/>
      <c r="BFA23" s="827"/>
      <c r="BFB23" s="827"/>
      <c r="BFC23" s="827"/>
      <c r="BFD23" s="827"/>
      <c r="BFE23" s="827"/>
      <c r="BFF23" s="827"/>
      <c r="BFG23" s="827"/>
      <c r="BFH23" s="827"/>
      <c r="BFI23" s="827"/>
      <c r="BFJ23" s="827"/>
      <c r="BFK23" s="827"/>
      <c r="BFL23" s="827"/>
      <c r="BFM23" s="827"/>
      <c r="BFN23" s="827"/>
      <c r="BFO23" s="827"/>
      <c r="BFP23" s="827"/>
      <c r="BFQ23" s="827"/>
      <c r="BFR23" s="827"/>
      <c r="BFS23" s="827"/>
      <c r="BFT23" s="827"/>
      <c r="BFU23" s="827"/>
      <c r="BFV23" s="827"/>
      <c r="BFW23" s="827"/>
      <c r="BFX23" s="827"/>
      <c r="BFY23" s="827"/>
      <c r="BFZ23" s="827"/>
      <c r="BGA23" s="827"/>
      <c r="BGB23" s="827"/>
      <c r="BGC23" s="827"/>
      <c r="BGD23" s="827"/>
      <c r="BGE23" s="827"/>
      <c r="BGF23" s="827"/>
      <c r="BGG23" s="827"/>
      <c r="BGH23" s="827"/>
      <c r="BGI23" s="827"/>
      <c r="BGJ23" s="827"/>
      <c r="BGK23" s="827"/>
      <c r="BGL23" s="827"/>
      <c r="BGM23" s="827"/>
      <c r="BGN23" s="827"/>
      <c r="BGO23" s="827"/>
      <c r="BGP23" s="827"/>
      <c r="BGQ23" s="827"/>
      <c r="BGR23" s="827"/>
      <c r="BGS23" s="827"/>
      <c r="BGT23" s="827"/>
      <c r="BGU23" s="827"/>
      <c r="BGV23" s="827"/>
      <c r="BGW23" s="827"/>
      <c r="BGX23" s="827"/>
      <c r="BGY23" s="827"/>
      <c r="BGZ23" s="827"/>
      <c r="BHA23" s="827"/>
      <c r="BHB23" s="827"/>
      <c r="BHC23" s="827"/>
      <c r="BHD23" s="827"/>
      <c r="BHE23" s="827"/>
      <c r="BHF23" s="827"/>
      <c r="BHG23" s="827"/>
      <c r="BHH23" s="827"/>
      <c r="BHI23" s="827"/>
      <c r="BHJ23" s="827"/>
      <c r="BHK23" s="827"/>
      <c r="BHL23" s="827"/>
      <c r="BHM23" s="827"/>
      <c r="BHN23" s="827"/>
      <c r="BHO23" s="827"/>
      <c r="BHP23" s="827"/>
      <c r="BHQ23" s="827"/>
      <c r="BHR23" s="827"/>
      <c r="BHS23" s="827"/>
      <c r="BHT23" s="827"/>
      <c r="BHU23" s="827"/>
      <c r="BHV23" s="827"/>
      <c r="BHW23" s="827"/>
      <c r="BHX23" s="827"/>
      <c r="BHY23" s="827"/>
      <c r="BHZ23" s="827"/>
      <c r="BIA23" s="827"/>
      <c r="BIB23" s="827"/>
      <c r="BIC23" s="827"/>
      <c r="BID23" s="827"/>
      <c r="BIE23" s="827"/>
      <c r="BIF23" s="827"/>
      <c r="BIG23" s="827"/>
      <c r="BIH23" s="827"/>
      <c r="BII23" s="827"/>
      <c r="BIJ23" s="827"/>
      <c r="BIK23" s="827"/>
      <c r="BIL23" s="827"/>
      <c r="BIM23" s="827"/>
      <c r="BIN23" s="827"/>
      <c r="BIO23" s="827"/>
      <c r="BIP23" s="827"/>
      <c r="BIQ23" s="827"/>
      <c r="BIR23" s="827"/>
      <c r="BIS23" s="827"/>
      <c r="BIT23" s="827"/>
      <c r="BIU23" s="827"/>
      <c r="BIV23" s="827"/>
      <c r="BIW23" s="827"/>
      <c r="BIX23" s="827"/>
      <c r="BIY23" s="827"/>
      <c r="BIZ23" s="827"/>
      <c r="BJA23" s="827"/>
      <c r="BJB23" s="827"/>
      <c r="BJC23" s="827"/>
      <c r="BJD23" s="827"/>
      <c r="BJE23" s="827"/>
      <c r="BJF23" s="827"/>
      <c r="BJG23" s="827"/>
      <c r="BJH23" s="827"/>
      <c r="BJI23" s="827"/>
      <c r="BJJ23" s="827"/>
      <c r="BJK23" s="827"/>
      <c r="BJL23" s="827"/>
      <c r="BJM23" s="827"/>
      <c r="BJN23" s="827"/>
      <c r="BJO23" s="827"/>
      <c r="BJP23" s="827"/>
      <c r="BJQ23" s="827"/>
      <c r="BJR23" s="827"/>
      <c r="BJS23" s="827"/>
      <c r="BJT23" s="827"/>
      <c r="BJU23" s="827"/>
      <c r="BJV23" s="827"/>
      <c r="BJW23" s="827"/>
      <c r="BJX23" s="827"/>
      <c r="BJY23" s="827"/>
      <c r="BJZ23" s="827"/>
      <c r="BKA23" s="827"/>
      <c r="BKB23" s="827"/>
      <c r="BKC23" s="827"/>
      <c r="BKD23" s="827"/>
      <c r="BKE23" s="827"/>
      <c r="BKF23" s="827"/>
      <c r="BKG23" s="827"/>
      <c r="BKH23" s="827"/>
      <c r="BKI23" s="827"/>
      <c r="BKJ23" s="827"/>
      <c r="BKK23" s="827"/>
      <c r="BKL23" s="827"/>
      <c r="BKM23" s="827"/>
      <c r="BKN23" s="827"/>
      <c r="BKO23" s="827"/>
      <c r="BKP23" s="827"/>
      <c r="BKQ23" s="827"/>
      <c r="BKR23" s="827"/>
      <c r="BKS23" s="827"/>
      <c r="BKT23" s="827"/>
      <c r="BKU23" s="827"/>
      <c r="BKV23" s="827"/>
      <c r="BKW23" s="827"/>
      <c r="BKX23" s="827"/>
      <c r="BKY23" s="827"/>
      <c r="BKZ23" s="827"/>
      <c r="BLA23" s="827"/>
      <c r="BLB23" s="827"/>
      <c r="BLC23" s="827"/>
      <c r="BLD23" s="827"/>
      <c r="BLE23" s="827"/>
      <c r="BLF23" s="827"/>
      <c r="BLG23" s="827"/>
      <c r="BLH23" s="827"/>
      <c r="BLI23" s="827"/>
      <c r="BLJ23" s="827"/>
      <c r="BLK23" s="827"/>
      <c r="BLL23" s="827"/>
      <c r="BLM23" s="827"/>
      <c r="BLN23" s="827"/>
      <c r="BLO23" s="827"/>
      <c r="BLP23" s="827"/>
      <c r="BLQ23" s="827"/>
      <c r="BLR23" s="827"/>
      <c r="BLS23" s="827"/>
      <c r="BLT23" s="827"/>
      <c r="BLU23" s="827"/>
      <c r="BLV23" s="827"/>
      <c r="BLW23" s="827"/>
      <c r="BLX23" s="827"/>
      <c r="BLY23" s="827"/>
      <c r="BLZ23" s="827"/>
      <c r="BMA23" s="827"/>
      <c r="BMB23" s="827"/>
      <c r="BMC23" s="827"/>
      <c r="BMD23" s="827"/>
      <c r="BME23" s="827"/>
      <c r="BMF23" s="827"/>
      <c r="BMG23" s="827"/>
      <c r="BMH23" s="827"/>
      <c r="BMI23" s="827"/>
      <c r="BMJ23" s="827"/>
      <c r="BMK23" s="827"/>
      <c r="BML23" s="827"/>
      <c r="BMM23" s="827"/>
      <c r="BMN23" s="827"/>
      <c r="BMO23" s="827"/>
      <c r="BMP23" s="827"/>
      <c r="BMQ23" s="827"/>
      <c r="BMR23" s="827"/>
      <c r="BMS23" s="827"/>
      <c r="BMT23" s="827"/>
      <c r="BMU23" s="827"/>
      <c r="BMV23" s="827"/>
      <c r="BMW23" s="827"/>
      <c r="BMX23" s="827"/>
      <c r="BMY23" s="827"/>
      <c r="BMZ23" s="827"/>
      <c r="BNA23" s="827"/>
      <c r="BNB23" s="827"/>
      <c r="BNC23" s="827"/>
      <c r="BND23" s="827"/>
      <c r="BNE23" s="827"/>
      <c r="BNF23" s="827"/>
      <c r="BNG23" s="827"/>
      <c r="BNH23" s="827"/>
      <c r="BNI23" s="827"/>
      <c r="BNJ23" s="827"/>
      <c r="BNK23" s="827"/>
      <c r="BNL23" s="827"/>
      <c r="BNM23" s="827"/>
      <c r="BNN23" s="827"/>
      <c r="BNO23" s="827"/>
      <c r="BNP23" s="827"/>
      <c r="BNQ23" s="827"/>
      <c r="BNR23" s="827"/>
      <c r="BNS23" s="827"/>
      <c r="BNT23" s="827"/>
      <c r="BNU23" s="827"/>
      <c r="BNV23" s="827"/>
      <c r="BNW23" s="827"/>
      <c r="BNX23" s="827"/>
      <c r="BNY23" s="827"/>
      <c r="BNZ23" s="827"/>
      <c r="BOA23" s="827"/>
      <c r="BOB23" s="827"/>
      <c r="BOC23" s="827"/>
      <c r="BOD23" s="827"/>
      <c r="BOE23" s="827"/>
      <c r="BOF23" s="827"/>
      <c r="BOG23" s="827"/>
      <c r="BOH23" s="827"/>
      <c r="BOI23" s="827"/>
      <c r="BOJ23" s="827"/>
      <c r="BOK23" s="827"/>
      <c r="BOL23" s="827"/>
      <c r="BOM23" s="827"/>
      <c r="BON23" s="827"/>
      <c r="BOO23" s="827"/>
      <c r="BOP23" s="827"/>
      <c r="BOQ23" s="827"/>
      <c r="BOR23" s="827"/>
      <c r="BOS23" s="827"/>
      <c r="BOT23" s="827"/>
      <c r="BOU23" s="827"/>
      <c r="BOV23" s="827"/>
      <c r="BOW23" s="827"/>
      <c r="BOX23" s="827"/>
      <c r="BOY23" s="827"/>
      <c r="BOZ23" s="827"/>
      <c r="BPA23" s="827"/>
      <c r="BPB23" s="827"/>
      <c r="BPC23" s="827"/>
      <c r="BPD23" s="827"/>
      <c r="BPE23" s="827"/>
      <c r="BPF23" s="827"/>
      <c r="BPG23" s="827"/>
      <c r="BPH23" s="827"/>
      <c r="BPI23" s="827"/>
      <c r="BPJ23" s="827"/>
      <c r="BPK23" s="827"/>
      <c r="BPL23" s="827"/>
      <c r="BPM23" s="827"/>
      <c r="BPN23" s="827"/>
      <c r="BPO23" s="827"/>
      <c r="BPP23" s="827"/>
      <c r="BPQ23" s="827"/>
      <c r="BPR23" s="827"/>
      <c r="BPS23" s="827"/>
      <c r="BPT23" s="827"/>
      <c r="BPU23" s="827"/>
      <c r="BPV23" s="827"/>
      <c r="BPW23" s="827"/>
      <c r="BPX23" s="827"/>
      <c r="BPY23" s="827"/>
      <c r="BPZ23" s="827"/>
      <c r="BQA23" s="827"/>
      <c r="BQB23" s="827"/>
      <c r="BQC23" s="827"/>
      <c r="BQD23" s="827"/>
      <c r="BQE23" s="827"/>
      <c r="BQF23" s="827"/>
      <c r="BQG23" s="827"/>
      <c r="BQH23" s="827"/>
      <c r="BQI23" s="827"/>
      <c r="BQJ23" s="827"/>
      <c r="BQK23" s="827"/>
      <c r="BQL23" s="827"/>
      <c r="BQM23" s="827"/>
      <c r="BQN23" s="827"/>
      <c r="BQO23" s="827"/>
      <c r="BQP23" s="827"/>
      <c r="BQQ23" s="827"/>
      <c r="BQR23" s="827"/>
      <c r="BQS23" s="827"/>
      <c r="BQT23" s="827"/>
      <c r="BQU23" s="827"/>
      <c r="BQV23" s="827"/>
      <c r="BQW23" s="827"/>
      <c r="BQX23" s="827"/>
      <c r="BQY23" s="827"/>
      <c r="BQZ23" s="827"/>
      <c r="BRA23" s="827"/>
      <c r="BRB23" s="827"/>
      <c r="BRC23" s="827"/>
      <c r="BRD23" s="827"/>
      <c r="BRE23" s="827"/>
      <c r="BRF23" s="827"/>
      <c r="BRG23" s="827"/>
      <c r="BRH23" s="827"/>
      <c r="BRI23" s="827"/>
      <c r="BRJ23" s="827"/>
      <c r="BRK23" s="827"/>
      <c r="BRL23" s="827"/>
      <c r="BRM23" s="827"/>
      <c r="BRN23" s="827"/>
      <c r="BRO23" s="827"/>
      <c r="BRP23" s="827"/>
      <c r="BRQ23" s="827"/>
      <c r="BRR23" s="827"/>
      <c r="BRS23" s="827"/>
      <c r="BRT23" s="827"/>
      <c r="BRU23" s="827"/>
      <c r="BRV23" s="827"/>
      <c r="BRW23" s="827"/>
      <c r="BRX23" s="827"/>
      <c r="BRY23" s="827"/>
      <c r="BRZ23" s="827"/>
      <c r="BSA23" s="827"/>
      <c r="BSB23" s="827"/>
      <c r="BSC23" s="827"/>
      <c r="BSD23" s="827"/>
      <c r="BSE23" s="827"/>
      <c r="BSF23" s="827"/>
      <c r="BSG23" s="827"/>
      <c r="BSH23" s="827"/>
      <c r="BSI23" s="827"/>
      <c r="BSJ23" s="827"/>
      <c r="BSK23" s="827"/>
      <c r="BSL23" s="827"/>
      <c r="BSM23" s="827"/>
      <c r="BSN23" s="827"/>
      <c r="BSO23" s="827"/>
      <c r="BSP23" s="827"/>
      <c r="BSQ23" s="827"/>
      <c r="BSR23" s="827"/>
      <c r="BSS23" s="827"/>
      <c r="BST23" s="827"/>
    </row>
    <row r="24" spans="1:1866" s="824" customFormat="1" ht="20.100000000000001" customHeight="1" x14ac:dyDescent="0.25">
      <c r="A24" s="827"/>
      <c r="B24" s="3166" t="s">
        <v>854</v>
      </c>
      <c r="C24" s="3167"/>
      <c r="D24" s="1445"/>
      <c r="E24" s="1446">
        <f t="shared" ref="E24:V24" si="28">E23*(1+ta)</f>
        <v>0</v>
      </c>
      <c r="F24" s="1446">
        <f t="shared" si="28"/>
        <v>0</v>
      </c>
      <c r="G24" s="1446">
        <f t="shared" si="28"/>
        <v>0</v>
      </c>
      <c r="H24" s="1446">
        <f t="shared" si="28"/>
        <v>0</v>
      </c>
      <c r="I24" s="1446">
        <f t="shared" si="28"/>
        <v>0</v>
      </c>
      <c r="J24" s="1446">
        <f t="shared" si="28"/>
        <v>0</v>
      </c>
      <c r="K24" s="1446">
        <f t="shared" si="28"/>
        <v>0</v>
      </c>
      <c r="L24" s="1446">
        <f t="shared" si="28"/>
        <v>0</v>
      </c>
      <c r="M24" s="1446">
        <f t="shared" si="28"/>
        <v>0</v>
      </c>
      <c r="N24" s="1446">
        <f t="shared" si="28"/>
        <v>0</v>
      </c>
      <c r="O24" s="1446">
        <f t="shared" si="28"/>
        <v>0</v>
      </c>
      <c r="P24" s="1446">
        <f t="shared" si="28"/>
        <v>0</v>
      </c>
      <c r="Q24" s="1446">
        <f t="shared" si="28"/>
        <v>0</v>
      </c>
      <c r="R24" s="1446">
        <f t="shared" si="28"/>
        <v>0</v>
      </c>
      <c r="S24" s="1446">
        <f t="shared" si="28"/>
        <v>0</v>
      </c>
      <c r="T24" s="1446">
        <f t="shared" si="28"/>
        <v>0</v>
      </c>
      <c r="U24" s="1446">
        <f t="shared" si="28"/>
        <v>0</v>
      </c>
      <c r="V24" s="1447">
        <f t="shared" si="28"/>
        <v>0</v>
      </c>
      <c r="W24" s="827"/>
      <c r="X24" s="1467">
        <f>SUM(E24:V24)</f>
        <v>0</v>
      </c>
      <c r="Y24" s="827"/>
      <c r="Z24" s="827"/>
      <c r="AA24" s="866"/>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827"/>
      <c r="BA24" s="827"/>
      <c r="BB24" s="827"/>
      <c r="BC24" s="827"/>
      <c r="BD24" s="827"/>
      <c r="BE24" s="827"/>
      <c r="BF24" s="827"/>
      <c r="BG24" s="827"/>
      <c r="BH24" s="827"/>
      <c r="BI24" s="827"/>
      <c r="BJ24" s="827"/>
      <c r="BK24" s="827"/>
      <c r="BL24" s="827"/>
      <c r="BM24" s="827"/>
      <c r="BN24" s="827"/>
      <c r="BO24" s="827"/>
      <c r="BP24" s="827"/>
      <c r="BQ24" s="827"/>
      <c r="BR24" s="827"/>
      <c r="BS24" s="827"/>
      <c r="BT24" s="827"/>
      <c r="BU24" s="827"/>
      <c r="BV24" s="827"/>
      <c r="BW24" s="827"/>
      <c r="BX24" s="827"/>
      <c r="BY24" s="827"/>
      <c r="BZ24" s="827"/>
      <c r="CA24" s="827"/>
      <c r="CB24" s="827"/>
      <c r="CC24" s="827"/>
      <c r="CD24" s="827"/>
      <c r="CE24" s="827"/>
      <c r="CF24" s="827"/>
      <c r="CG24" s="827"/>
      <c r="CH24" s="827"/>
      <c r="CI24" s="827"/>
      <c r="CJ24" s="827"/>
      <c r="CK24" s="827"/>
      <c r="CL24" s="827"/>
      <c r="CM24" s="827"/>
      <c r="CN24" s="827"/>
      <c r="CO24" s="827"/>
      <c r="CP24" s="827"/>
      <c r="CQ24" s="827"/>
      <c r="CR24" s="827"/>
      <c r="CS24" s="827"/>
      <c r="CT24" s="827"/>
      <c r="CU24" s="827"/>
      <c r="CV24" s="827"/>
      <c r="CW24" s="827"/>
      <c r="CX24" s="827"/>
      <c r="CY24" s="827"/>
      <c r="CZ24" s="827"/>
      <c r="DA24" s="827"/>
      <c r="DB24" s="827"/>
      <c r="DC24" s="827"/>
      <c r="DD24" s="827"/>
      <c r="DE24" s="827"/>
      <c r="DF24" s="827"/>
      <c r="DG24" s="827"/>
      <c r="DH24" s="827"/>
      <c r="DI24" s="827"/>
      <c r="DJ24" s="827"/>
      <c r="DK24" s="827"/>
      <c r="DL24" s="827"/>
      <c r="DM24" s="827"/>
      <c r="DN24" s="827"/>
      <c r="DO24" s="827"/>
      <c r="DP24" s="827"/>
      <c r="DQ24" s="827"/>
      <c r="DR24" s="827"/>
      <c r="DS24" s="827"/>
      <c r="DT24" s="827"/>
      <c r="DU24" s="827"/>
      <c r="DV24" s="827"/>
      <c r="DW24" s="827"/>
      <c r="DX24" s="827"/>
      <c r="DY24" s="827"/>
      <c r="DZ24" s="827"/>
      <c r="EA24" s="827"/>
      <c r="EB24" s="827"/>
      <c r="EC24" s="827"/>
      <c r="ED24" s="827"/>
      <c r="EE24" s="827"/>
      <c r="EF24" s="827"/>
      <c r="EG24" s="827"/>
      <c r="EH24" s="827"/>
      <c r="EI24" s="827"/>
      <c r="EJ24" s="827"/>
      <c r="EK24" s="827"/>
      <c r="EL24" s="827"/>
      <c r="EM24" s="827"/>
      <c r="EN24" s="827"/>
      <c r="EO24" s="827"/>
      <c r="EP24" s="827"/>
      <c r="EQ24" s="827"/>
      <c r="ER24" s="827"/>
      <c r="ES24" s="827"/>
      <c r="ET24" s="827"/>
      <c r="EU24" s="827"/>
      <c r="EV24" s="827"/>
      <c r="EW24" s="827"/>
      <c r="EX24" s="827"/>
      <c r="EY24" s="827"/>
      <c r="EZ24" s="827"/>
      <c r="FA24" s="827"/>
      <c r="FB24" s="827"/>
      <c r="FC24" s="827"/>
      <c r="FD24" s="827"/>
      <c r="FE24" s="827"/>
      <c r="FF24" s="827"/>
      <c r="FG24" s="827"/>
      <c r="FH24" s="827"/>
      <c r="FI24" s="827"/>
      <c r="FJ24" s="827"/>
      <c r="FK24" s="827"/>
      <c r="FL24" s="827"/>
      <c r="FM24" s="827"/>
      <c r="FN24" s="827"/>
      <c r="FO24" s="827"/>
      <c r="FP24" s="827"/>
      <c r="FQ24" s="827"/>
      <c r="FR24" s="827"/>
      <c r="FS24" s="827"/>
      <c r="FT24" s="827"/>
      <c r="FU24" s="827"/>
      <c r="FV24" s="827"/>
      <c r="FW24" s="827"/>
      <c r="FX24" s="827"/>
      <c r="FY24" s="827"/>
      <c r="FZ24" s="827"/>
      <c r="GA24" s="827"/>
      <c r="GB24" s="827"/>
      <c r="GC24" s="827"/>
      <c r="GD24" s="827"/>
      <c r="GE24" s="827"/>
      <c r="GF24" s="827"/>
      <c r="GG24" s="827"/>
      <c r="GH24" s="827"/>
      <c r="GI24" s="827"/>
      <c r="GJ24" s="827"/>
      <c r="GK24" s="827"/>
      <c r="GL24" s="827"/>
      <c r="GM24" s="827"/>
      <c r="GN24" s="827"/>
      <c r="GO24" s="827"/>
      <c r="GP24" s="827"/>
      <c r="GQ24" s="827"/>
      <c r="GR24" s="827"/>
      <c r="GS24" s="827"/>
      <c r="GT24" s="827"/>
      <c r="GU24" s="827"/>
      <c r="GV24" s="827"/>
      <c r="GW24" s="827"/>
      <c r="GX24" s="827"/>
      <c r="GY24" s="827"/>
      <c r="GZ24" s="827"/>
      <c r="HA24" s="827"/>
      <c r="HB24" s="827"/>
      <c r="HC24" s="827"/>
      <c r="HD24" s="827"/>
      <c r="HE24" s="827"/>
      <c r="HF24" s="827"/>
      <c r="HG24" s="827"/>
      <c r="HH24" s="827"/>
      <c r="HI24" s="827"/>
      <c r="HJ24" s="827"/>
      <c r="HK24" s="827"/>
      <c r="HL24" s="827"/>
      <c r="HM24" s="827"/>
      <c r="HN24" s="827"/>
      <c r="HO24" s="827"/>
      <c r="HP24" s="827"/>
      <c r="HQ24" s="827"/>
      <c r="HR24" s="827"/>
      <c r="HS24" s="827"/>
      <c r="HT24" s="827"/>
      <c r="HU24" s="827"/>
      <c r="HV24" s="827"/>
      <c r="HW24" s="827"/>
      <c r="HX24" s="827"/>
      <c r="HY24" s="827"/>
      <c r="HZ24" s="827"/>
      <c r="IA24" s="827"/>
      <c r="IB24" s="827"/>
      <c r="IC24" s="827"/>
      <c r="ID24" s="827"/>
      <c r="IE24" s="827"/>
      <c r="IF24" s="827"/>
      <c r="IG24" s="827"/>
      <c r="IH24" s="827"/>
      <c r="II24" s="827"/>
      <c r="IJ24" s="827"/>
      <c r="IK24" s="827"/>
      <c r="IL24" s="827"/>
      <c r="IM24" s="827"/>
      <c r="IN24" s="827"/>
      <c r="IO24" s="827"/>
      <c r="IP24" s="827"/>
      <c r="IQ24" s="827"/>
      <c r="IR24" s="827"/>
      <c r="IS24" s="827"/>
      <c r="IT24" s="827"/>
      <c r="IU24" s="827"/>
      <c r="IV24" s="827"/>
      <c r="IW24" s="827"/>
      <c r="IX24" s="827"/>
      <c r="IY24" s="827"/>
      <c r="IZ24" s="827"/>
      <c r="JA24" s="827"/>
      <c r="JB24" s="827"/>
      <c r="JC24" s="827"/>
      <c r="JD24" s="827"/>
      <c r="JE24" s="827"/>
      <c r="JF24" s="827"/>
      <c r="JG24" s="827"/>
      <c r="JH24" s="827"/>
      <c r="JI24" s="827"/>
      <c r="JJ24" s="827"/>
      <c r="JK24" s="827"/>
      <c r="JL24" s="827"/>
      <c r="JM24" s="827"/>
      <c r="JN24" s="827"/>
      <c r="JO24" s="827"/>
      <c r="JP24" s="827"/>
      <c r="JQ24" s="827"/>
      <c r="JR24" s="827"/>
      <c r="JS24" s="827"/>
      <c r="JT24" s="827"/>
      <c r="JU24" s="827"/>
      <c r="JV24" s="827"/>
      <c r="JW24" s="827"/>
      <c r="JX24" s="827"/>
      <c r="JY24" s="827"/>
      <c r="JZ24" s="827"/>
      <c r="KA24" s="827"/>
      <c r="KB24" s="827"/>
      <c r="KC24" s="827"/>
      <c r="KD24" s="827"/>
      <c r="KE24" s="827"/>
      <c r="KF24" s="827"/>
      <c r="KG24" s="827"/>
      <c r="KH24" s="827"/>
      <c r="KI24" s="827"/>
      <c r="KJ24" s="827"/>
      <c r="KK24" s="827"/>
      <c r="KL24" s="827"/>
      <c r="KM24" s="827"/>
      <c r="KN24" s="827"/>
      <c r="KO24" s="827"/>
      <c r="KP24" s="827"/>
      <c r="KQ24" s="827"/>
      <c r="KR24" s="827"/>
      <c r="KS24" s="827"/>
      <c r="KT24" s="827"/>
      <c r="KU24" s="827"/>
      <c r="KV24" s="827"/>
      <c r="KW24" s="827"/>
      <c r="KX24" s="827"/>
      <c r="KY24" s="827"/>
      <c r="KZ24" s="827"/>
      <c r="LA24" s="827"/>
      <c r="LB24" s="827"/>
      <c r="LC24" s="827"/>
      <c r="LD24" s="827"/>
      <c r="LE24" s="827"/>
      <c r="LF24" s="827"/>
      <c r="LG24" s="827"/>
      <c r="LH24" s="827"/>
      <c r="LI24" s="827"/>
      <c r="LJ24" s="827"/>
      <c r="LK24" s="827"/>
      <c r="LL24" s="827"/>
      <c r="LM24" s="827"/>
      <c r="LN24" s="827"/>
      <c r="LO24" s="827"/>
      <c r="LP24" s="827"/>
      <c r="LQ24" s="827"/>
      <c r="LR24" s="827"/>
      <c r="LS24" s="827"/>
      <c r="LT24" s="827"/>
      <c r="LU24" s="827"/>
      <c r="LV24" s="827"/>
      <c r="LW24" s="827"/>
      <c r="LX24" s="827"/>
      <c r="LY24" s="827"/>
      <c r="LZ24" s="827"/>
      <c r="MA24" s="827"/>
      <c r="MB24" s="827"/>
      <c r="MC24" s="827"/>
      <c r="MD24" s="827"/>
      <c r="ME24" s="827"/>
      <c r="MF24" s="827"/>
      <c r="MG24" s="827"/>
      <c r="MH24" s="827"/>
      <c r="MI24" s="827"/>
      <c r="MJ24" s="827"/>
      <c r="MK24" s="827"/>
      <c r="ML24" s="827"/>
      <c r="MM24" s="827"/>
      <c r="MN24" s="827"/>
      <c r="MO24" s="827"/>
      <c r="MP24" s="827"/>
      <c r="MQ24" s="827"/>
      <c r="MR24" s="827"/>
      <c r="MS24" s="827"/>
      <c r="MT24" s="827"/>
      <c r="MU24" s="827"/>
      <c r="MV24" s="827"/>
      <c r="MW24" s="827"/>
      <c r="MX24" s="827"/>
      <c r="MY24" s="827"/>
      <c r="MZ24" s="827"/>
      <c r="NA24" s="827"/>
      <c r="NB24" s="827"/>
      <c r="NC24" s="827"/>
      <c r="ND24" s="827"/>
      <c r="NE24" s="827"/>
      <c r="NF24" s="827"/>
      <c r="NG24" s="827"/>
      <c r="NH24" s="827"/>
      <c r="NI24" s="827"/>
      <c r="NJ24" s="827"/>
      <c r="NK24" s="827"/>
      <c r="NL24" s="827"/>
      <c r="NM24" s="827"/>
      <c r="NN24" s="827"/>
      <c r="NO24" s="827"/>
      <c r="NP24" s="827"/>
      <c r="NQ24" s="827"/>
      <c r="NR24" s="827"/>
      <c r="NS24" s="827"/>
      <c r="NT24" s="827"/>
      <c r="NU24" s="827"/>
      <c r="NV24" s="827"/>
      <c r="NW24" s="827"/>
      <c r="NX24" s="827"/>
      <c r="NY24" s="827"/>
      <c r="NZ24" s="827"/>
      <c r="OA24" s="827"/>
      <c r="OB24" s="827"/>
      <c r="OC24" s="827"/>
      <c r="OD24" s="827"/>
      <c r="OE24" s="827"/>
      <c r="OF24" s="827"/>
      <c r="OG24" s="827"/>
      <c r="OH24" s="827"/>
      <c r="OI24" s="827"/>
      <c r="OJ24" s="827"/>
      <c r="OK24" s="827"/>
      <c r="OL24" s="827"/>
      <c r="OM24" s="827"/>
      <c r="ON24" s="827"/>
      <c r="OO24" s="827"/>
      <c r="OP24" s="827"/>
      <c r="OQ24" s="827"/>
      <c r="OR24" s="827"/>
      <c r="OS24" s="827"/>
      <c r="OT24" s="827"/>
      <c r="OU24" s="827"/>
      <c r="OV24" s="827"/>
      <c r="OW24" s="827"/>
      <c r="OX24" s="827"/>
      <c r="OY24" s="827"/>
      <c r="OZ24" s="827"/>
      <c r="PA24" s="827"/>
      <c r="PB24" s="827"/>
      <c r="PC24" s="827"/>
      <c r="PD24" s="827"/>
      <c r="PE24" s="827"/>
      <c r="PF24" s="827"/>
      <c r="PG24" s="827"/>
      <c r="PH24" s="827"/>
      <c r="PI24" s="827"/>
      <c r="PJ24" s="827"/>
      <c r="PK24" s="827"/>
      <c r="PL24" s="827"/>
      <c r="PM24" s="827"/>
      <c r="PN24" s="827"/>
      <c r="PO24" s="827"/>
      <c r="PP24" s="827"/>
      <c r="PQ24" s="827"/>
      <c r="PR24" s="827"/>
      <c r="PS24" s="827"/>
      <c r="PT24" s="827"/>
      <c r="PU24" s="827"/>
      <c r="PV24" s="827"/>
      <c r="PW24" s="827"/>
      <c r="PX24" s="827"/>
      <c r="PY24" s="827"/>
      <c r="PZ24" s="827"/>
      <c r="QA24" s="827"/>
      <c r="QB24" s="827"/>
      <c r="QC24" s="827"/>
      <c r="QD24" s="827"/>
      <c r="QE24" s="827"/>
      <c r="QF24" s="827"/>
      <c r="QG24" s="827"/>
      <c r="QH24" s="827"/>
      <c r="QI24" s="827"/>
      <c r="QJ24" s="827"/>
      <c r="QK24" s="827"/>
      <c r="QL24" s="827"/>
      <c r="QM24" s="827"/>
      <c r="QN24" s="827"/>
      <c r="QO24" s="827"/>
      <c r="QP24" s="827"/>
      <c r="QQ24" s="827"/>
      <c r="QR24" s="827"/>
      <c r="QS24" s="827"/>
      <c r="QT24" s="827"/>
      <c r="QU24" s="827"/>
      <c r="QV24" s="827"/>
      <c r="QW24" s="827"/>
      <c r="QX24" s="827"/>
      <c r="QY24" s="827"/>
      <c r="QZ24" s="827"/>
      <c r="RA24" s="827"/>
      <c r="RB24" s="827"/>
      <c r="RC24" s="827"/>
      <c r="RD24" s="827"/>
      <c r="RE24" s="827"/>
      <c r="RF24" s="827"/>
      <c r="RG24" s="827"/>
      <c r="RH24" s="827"/>
      <c r="RI24" s="827"/>
      <c r="RJ24" s="827"/>
      <c r="RK24" s="827"/>
      <c r="RL24" s="827"/>
      <c r="RM24" s="827"/>
      <c r="RN24" s="827"/>
      <c r="RO24" s="827"/>
      <c r="RP24" s="827"/>
      <c r="RQ24" s="827"/>
      <c r="RR24" s="827"/>
      <c r="RS24" s="827"/>
      <c r="RT24" s="827"/>
      <c r="RU24" s="827"/>
      <c r="RV24" s="827"/>
      <c r="RW24" s="827"/>
      <c r="RX24" s="827"/>
      <c r="RY24" s="827"/>
      <c r="RZ24" s="827"/>
      <c r="SA24" s="827"/>
      <c r="SB24" s="827"/>
      <c r="SC24" s="827"/>
      <c r="SD24" s="827"/>
      <c r="SE24" s="827"/>
      <c r="SF24" s="827"/>
      <c r="SG24" s="827"/>
      <c r="SH24" s="827"/>
      <c r="SI24" s="827"/>
      <c r="SJ24" s="827"/>
      <c r="SK24" s="827"/>
      <c r="SL24" s="827"/>
      <c r="SM24" s="827"/>
      <c r="SN24" s="827"/>
      <c r="SO24" s="827"/>
      <c r="SP24" s="827"/>
      <c r="SQ24" s="827"/>
      <c r="SR24" s="827"/>
      <c r="SS24" s="827"/>
      <c r="ST24" s="827"/>
      <c r="SU24" s="827"/>
      <c r="SV24" s="827"/>
      <c r="SW24" s="827"/>
      <c r="SX24" s="827"/>
      <c r="SY24" s="827"/>
      <c r="SZ24" s="827"/>
      <c r="TA24" s="827"/>
      <c r="TB24" s="827"/>
      <c r="TC24" s="827"/>
      <c r="TD24" s="827"/>
      <c r="TE24" s="827"/>
      <c r="TF24" s="827"/>
      <c r="TG24" s="827"/>
      <c r="TH24" s="827"/>
      <c r="TI24" s="827"/>
      <c r="TJ24" s="827"/>
      <c r="TK24" s="827"/>
      <c r="TL24" s="827"/>
      <c r="TM24" s="827"/>
      <c r="TN24" s="827"/>
      <c r="TO24" s="827"/>
      <c r="TP24" s="827"/>
      <c r="TQ24" s="827"/>
      <c r="TR24" s="827"/>
      <c r="TS24" s="827"/>
      <c r="TT24" s="827"/>
      <c r="TU24" s="827"/>
      <c r="TV24" s="827"/>
      <c r="TW24" s="827"/>
      <c r="TX24" s="827"/>
      <c r="TY24" s="827"/>
      <c r="TZ24" s="827"/>
      <c r="UA24" s="827"/>
      <c r="UB24" s="827"/>
      <c r="UC24" s="827"/>
      <c r="UD24" s="827"/>
      <c r="UE24" s="827"/>
      <c r="UF24" s="827"/>
      <c r="UG24" s="827"/>
      <c r="UH24" s="827"/>
      <c r="UI24" s="827"/>
      <c r="UJ24" s="827"/>
      <c r="UK24" s="827"/>
      <c r="UL24" s="827"/>
      <c r="UM24" s="827"/>
      <c r="UN24" s="827"/>
      <c r="UO24" s="827"/>
      <c r="UP24" s="827"/>
      <c r="UQ24" s="827"/>
      <c r="UR24" s="827"/>
      <c r="US24" s="827"/>
      <c r="UT24" s="827"/>
      <c r="UU24" s="827"/>
      <c r="UV24" s="827"/>
      <c r="UW24" s="827"/>
      <c r="UX24" s="827"/>
      <c r="UY24" s="827"/>
      <c r="UZ24" s="827"/>
      <c r="VA24" s="827"/>
      <c r="VB24" s="827"/>
      <c r="VC24" s="827"/>
      <c r="VD24" s="827"/>
      <c r="VE24" s="827"/>
      <c r="VF24" s="827"/>
      <c r="VG24" s="827"/>
      <c r="VH24" s="827"/>
      <c r="VI24" s="827"/>
      <c r="VJ24" s="827"/>
      <c r="VK24" s="827"/>
      <c r="VL24" s="827"/>
      <c r="VM24" s="827"/>
      <c r="VN24" s="827"/>
      <c r="VO24" s="827"/>
      <c r="VP24" s="827"/>
      <c r="VQ24" s="827"/>
      <c r="VR24" s="827"/>
      <c r="VS24" s="827"/>
      <c r="VT24" s="827"/>
      <c r="VU24" s="827"/>
      <c r="VV24" s="827"/>
      <c r="VW24" s="827"/>
      <c r="VX24" s="827"/>
      <c r="VY24" s="827"/>
      <c r="VZ24" s="827"/>
      <c r="WA24" s="827"/>
      <c r="WB24" s="827"/>
      <c r="WC24" s="827"/>
      <c r="WD24" s="827"/>
      <c r="WE24" s="827"/>
      <c r="WF24" s="827"/>
      <c r="WG24" s="827"/>
      <c r="WH24" s="827"/>
      <c r="WI24" s="827"/>
      <c r="WJ24" s="827"/>
      <c r="WK24" s="827"/>
      <c r="WL24" s="827"/>
      <c r="WM24" s="827"/>
      <c r="WN24" s="827"/>
      <c r="WO24" s="827"/>
      <c r="WP24" s="827"/>
      <c r="WQ24" s="827"/>
      <c r="WR24" s="827"/>
      <c r="WS24" s="827"/>
      <c r="WT24" s="827"/>
      <c r="WU24" s="827"/>
      <c r="WV24" s="827"/>
      <c r="WW24" s="827"/>
      <c r="WX24" s="827"/>
      <c r="WY24" s="827"/>
      <c r="WZ24" s="827"/>
      <c r="XA24" s="827"/>
      <c r="XB24" s="827"/>
      <c r="XC24" s="827"/>
      <c r="XD24" s="827"/>
      <c r="XE24" s="827"/>
      <c r="XF24" s="827"/>
      <c r="XG24" s="827"/>
      <c r="XH24" s="827"/>
      <c r="XI24" s="827"/>
      <c r="XJ24" s="827"/>
      <c r="XK24" s="827"/>
      <c r="XL24" s="827"/>
      <c r="XM24" s="827"/>
      <c r="XN24" s="827"/>
      <c r="XO24" s="827"/>
      <c r="XP24" s="827"/>
      <c r="XQ24" s="827"/>
      <c r="XR24" s="827"/>
      <c r="XS24" s="827"/>
      <c r="XT24" s="827"/>
      <c r="XU24" s="827"/>
      <c r="XV24" s="827"/>
      <c r="XW24" s="827"/>
      <c r="XX24" s="827"/>
      <c r="XY24" s="827"/>
      <c r="XZ24" s="827"/>
      <c r="YA24" s="827"/>
      <c r="YB24" s="827"/>
      <c r="YC24" s="827"/>
      <c r="YD24" s="827"/>
      <c r="YE24" s="827"/>
      <c r="YF24" s="827"/>
      <c r="YG24" s="827"/>
      <c r="YH24" s="827"/>
      <c r="YI24" s="827"/>
      <c r="YJ24" s="827"/>
      <c r="YK24" s="827"/>
      <c r="YL24" s="827"/>
      <c r="YM24" s="827"/>
      <c r="YN24" s="827"/>
      <c r="YO24" s="827"/>
      <c r="YP24" s="827"/>
      <c r="YQ24" s="827"/>
      <c r="YR24" s="827"/>
      <c r="YS24" s="827"/>
      <c r="YT24" s="827"/>
      <c r="YU24" s="827"/>
      <c r="YV24" s="827"/>
      <c r="YW24" s="827"/>
      <c r="YX24" s="827"/>
      <c r="YY24" s="827"/>
      <c r="YZ24" s="827"/>
      <c r="ZA24" s="827"/>
      <c r="ZB24" s="827"/>
      <c r="ZC24" s="827"/>
      <c r="ZD24" s="827"/>
      <c r="ZE24" s="827"/>
      <c r="ZF24" s="827"/>
      <c r="ZG24" s="827"/>
      <c r="ZH24" s="827"/>
      <c r="ZI24" s="827"/>
      <c r="ZJ24" s="827"/>
      <c r="ZK24" s="827"/>
      <c r="ZL24" s="827"/>
      <c r="ZM24" s="827"/>
      <c r="ZN24" s="827"/>
      <c r="ZO24" s="827"/>
      <c r="ZP24" s="827"/>
      <c r="ZQ24" s="827"/>
      <c r="ZR24" s="827"/>
      <c r="ZS24" s="827"/>
      <c r="ZT24" s="827"/>
      <c r="ZU24" s="827"/>
      <c r="ZV24" s="827"/>
      <c r="ZW24" s="827"/>
      <c r="ZX24" s="827"/>
      <c r="ZY24" s="827"/>
      <c r="ZZ24" s="827"/>
      <c r="AAA24" s="827"/>
      <c r="AAB24" s="827"/>
      <c r="AAC24" s="827"/>
      <c r="AAD24" s="827"/>
      <c r="AAE24" s="827"/>
      <c r="AAF24" s="827"/>
      <c r="AAG24" s="827"/>
      <c r="AAH24" s="827"/>
      <c r="AAI24" s="827"/>
      <c r="AAJ24" s="827"/>
      <c r="AAK24" s="827"/>
      <c r="AAL24" s="827"/>
      <c r="AAM24" s="827"/>
      <c r="AAN24" s="827"/>
      <c r="AAO24" s="827"/>
      <c r="AAP24" s="827"/>
      <c r="AAQ24" s="827"/>
      <c r="AAR24" s="827"/>
      <c r="AAS24" s="827"/>
      <c r="AAT24" s="827"/>
      <c r="AAU24" s="827"/>
      <c r="AAV24" s="827"/>
      <c r="AAW24" s="827"/>
      <c r="AAX24" s="827"/>
      <c r="AAY24" s="827"/>
      <c r="AAZ24" s="827"/>
      <c r="ABA24" s="827"/>
      <c r="ABB24" s="827"/>
      <c r="ABC24" s="827"/>
      <c r="ABD24" s="827"/>
      <c r="ABE24" s="827"/>
      <c r="ABF24" s="827"/>
      <c r="ABG24" s="827"/>
      <c r="ABH24" s="827"/>
      <c r="ABI24" s="827"/>
      <c r="ABJ24" s="827"/>
      <c r="ABK24" s="827"/>
      <c r="ABL24" s="827"/>
      <c r="ABM24" s="827"/>
      <c r="ABN24" s="827"/>
      <c r="ABO24" s="827"/>
      <c r="ABP24" s="827"/>
      <c r="ABQ24" s="827"/>
      <c r="ABR24" s="827"/>
      <c r="ABS24" s="827"/>
      <c r="ABT24" s="827"/>
      <c r="ABU24" s="827"/>
      <c r="ABV24" s="827"/>
      <c r="ABW24" s="827"/>
      <c r="ABX24" s="827"/>
      <c r="ABY24" s="827"/>
      <c r="ABZ24" s="827"/>
      <c r="ACA24" s="827"/>
      <c r="ACB24" s="827"/>
      <c r="ACC24" s="827"/>
      <c r="ACD24" s="827"/>
      <c r="ACE24" s="827"/>
      <c r="ACF24" s="827"/>
      <c r="ACG24" s="827"/>
      <c r="ACH24" s="827"/>
      <c r="ACI24" s="827"/>
      <c r="ACJ24" s="827"/>
      <c r="ACK24" s="827"/>
      <c r="ACL24" s="827"/>
      <c r="ACM24" s="827"/>
      <c r="ACN24" s="827"/>
      <c r="ACO24" s="827"/>
      <c r="ACP24" s="827"/>
      <c r="ACQ24" s="827"/>
      <c r="ACR24" s="827"/>
      <c r="ACS24" s="827"/>
      <c r="ACT24" s="827"/>
      <c r="ACU24" s="827"/>
      <c r="ACV24" s="827"/>
      <c r="ACW24" s="827"/>
      <c r="ACX24" s="827"/>
      <c r="ACY24" s="827"/>
      <c r="ACZ24" s="827"/>
      <c r="ADA24" s="827"/>
      <c r="ADB24" s="827"/>
      <c r="ADC24" s="827"/>
      <c r="ADD24" s="827"/>
      <c r="ADE24" s="827"/>
      <c r="ADF24" s="827"/>
      <c r="ADG24" s="827"/>
      <c r="ADH24" s="827"/>
      <c r="ADI24" s="827"/>
      <c r="ADJ24" s="827"/>
      <c r="ADK24" s="827"/>
      <c r="ADL24" s="827"/>
      <c r="ADM24" s="827"/>
      <c r="ADN24" s="827"/>
      <c r="ADO24" s="827"/>
      <c r="ADP24" s="827"/>
      <c r="ADQ24" s="827"/>
      <c r="ADR24" s="827"/>
      <c r="ADS24" s="827"/>
      <c r="ADT24" s="827"/>
      <c r="ADU24" s="827"/>
      <c r="ADV24" s="827"/>
      <c r="ADW24" s="827"/>
      <c r="ADX24" s="827"/>
      <c r="ADY24" s="827"/>
      <c r="ADZ24" s="827"/>
      <c r="AEA24" s="827"/>
      <c r="AEB24" s="827"/>
      <c r="AEC24" s="827"/>
      <c r="AED24" s="827"/>
      <c r="AEE24" s="827"/>
      <c r="AEF24" s="827"/>
      <c r="AEG24" s="827"/>
      <c r="AEH24" s="827"/>
      <c r="AEI24" s="827"/>
      <c r="AEJ24" s="827"/>
      <c r="AEK24" s="827"/>
      <c r="AEL24" s="827"/>
      <c r="AEM24" s="827"/>
      <c r="AEN24" s="827"/>
      <c r="AEO24" s="827"/>
      <c r="AEP24" s="827"/>
      <c r="AEQ24" s="827"/>
      <c r="AER24" s="827"/>
      <c r="AES24" s="827"/>
      <c r="AET24" s="827"/>
      <c r="AEU24" s="827"/>
      <c r="AEV24" s="827"/>
      <c r="AEW24" s="827"/>
      <c r="AEX24" s="827"/>
      <c r="AEY24" s="827"/>
      <c r="AEZ24" s="827"/>
      <c r="AFA24" s="827"/>
      <c r="AFB24" s="827"/>
      <c r="AFC24" s="827"/>
      <c r="AFD24" s="827"/>
      <c r="AFE24" s="827"/>
      <c r="AFF24" s="827"/>
      <c r="AFG24" s="827"/>
      <c r="AFH24" s="827"/>
      <c r="AFI24" s="827"/>
      <c r="AFJ24" s="827"/>
      <c r="AFK24" s="827"/>
      <c r="AFL24" s="827"/>
      <c r="AFM24" s="827"/>
      <c r="AFN24" s="827"/>
      <c r="AFO24" s="827"/>
      <c r="AFP24" s="827"/>
      <c r="AFQ24" s="827"/>
      <c r="AFR24" s="827"/>
      <c r="AFS24" s="827"/>
      <c r="AFT24" s="827"/>
      <c r="AFU24" s="827"/>
      <c r="AFV24" s="827"/>
      <c r="AFW24" s="827"/>
      <c r="AFX24" s="827"/>
      <c r="AFY24" s="827"/>
      <c r="AFZ24" s="827"/>
      <c r="AGA24" s="827"/>
      <c r="AGB24" s="827"/>
      <c r="AGC24" s="827"/>
      <c r="AGD24" s="827"/>
      <c r="AGE24" s="827"/>
      <c r="AGF24" s="827"/>
      <c r="AGG24" s="827"/>
      <c r="AGH24" s="827"/>
      <c r="AGI24" s="827"/>
      <c r="AGJ24" s="827"/>
      <c r="AGK24" s="827"/>
      <c r="AGL24" s="827"/>
      <c r="AGM24" s="827"/>
      <c r="AGN24" s="827"/>
      <c r="AGO24" s="827"/>
      <c r="AGP24" s="827"/>
      <c r="AGQ24" s="827"/>
      <c r="AGR24" s="827"/>
      <c r="AGS24" s="827"/>
      <c r="AGT24" s="827"/>
      <c r="AGU24" s="827"/>
      <c r="AGV24" s="827"/>
      <c r="AGW24" s="827"/>
      <c r="AGX24" s="827"/>
      <c r="AGY24" s="827"/>
      <c r="AGZ24" s="827"/>
      <c r="AHA24" s="827"/>
      <c r="AHB24" s="827"/>
      <c r="AHC24" s="827"/>
      <c r="AHD24" s="827"/>
      <c r="AHE24" s="827"/>
      <c r="AHF24" s="827"/>
      <c r="AHG24" s="827"/>
      <c r="AHH24" s="827"/>
      <c r="AHI24" s="827"/>
      <c r="AHJ24" s="827"/>
      <c r="AHK24" s="827"/>
      <c r="AHL24" s="827"/>
      <c r="AHM24" s="827"/>
      <c r="AHN24" s="827"/>
      <c r="AHO24" s="827"/>
      <c r="AHP24" s="827"/>
      <c r="AHQ24" s="827"/>
      <c r="AHR24" s="827"/>
      <c r="AHS24" s="827"/>
      <c r="AHT24" s="827"/>
      <c r="AHU24" s="827"/>
      <c r="AHV24" s="827"/>
      <c r="AHW24" s="827"/>
      <c r="AHX24" s="827"/>
      <c r="AHY24" s="827"/>
      <c r="AHZ24" s="827"/>
      <c r="AIA24" s="827"/>
      <c r="AIB24" s="827"/>
      <c r="AIC24" s="827"/>
      <c r="AID24" s="827"/>
      <c r="AIE24" s="827"/>
      <c r="AIF24" s="827"/>
      <c r="AIG24" s="827"/>
      <c r="AIH24" s="827"/>
      <c r="AII24" s="827"/>
      <c r="AIJ24" s="827"/>
      <c r="AIK24" s="827"/>
      <c r="AIL24" s="827"/>
      <c r="AIM24" s="827"/>
      <c r="AIN24" s="827"/>
      <c r="AIO24" s="827"/>
      <c r="AIP24" s="827"/>
      <c r="AIQ24" s="827"/>
      <c r="AIR24" s="827"/>
      <c r="AIS24" s="827"/>
      <c r="AIT24" s="827"/>
      <c r="AIU24" s="827"/>
      <c r="AIV24" s="827"/>
      <c r="AIW24" s="827"/>
      <c r="AIX24" s="827"/>
      <c r="AIY24" s="827"/>
      <c r="AIZ24" s="827"/>
      <c r="AJA24" s="827"/>
      <c r="AJB24" s="827"/>
      <c r="AJC24" s="827"/>
      <c r="AJD24" s="827"/>
      <c r="AJE24" s="827"/>
      <c r="AJF24" s="827"/>
      <c r="AJG24" s="827"/>
      <c r="AJH24" s="827"/>
      <c r="AJI24" s="827"/>
      <c r="AJJ24" s="827"/>
      <c r="AJK24" s="827"/>
      <c r="AJL24" s="827"/>
      <c r="AJM24" s="827"/>
      <c r="AJN24" s="827"/>
      <c r="AJO24" s="827"/>
      <c r="AJP24" s="827"/>
      <c r="AJQ24" s="827"/>
      <c r="AJR24" s="827"/>
      <c r="AJS24" s="827"/>
      <c r="AJT24" s="827"/>
      <c r="AJU24" s="827"/>
      <c r="AJV24" s="827"/>
      <c r="AJW24" s="827"/>
      <c r="AJX24" s="827"/>
      <c r="AJY24" s="827"/>
      <c r="AJZ24" s="827"/>
      <c r="AKA24" s="827"/>
      <c r="AKB24" s="827"/>
      <c r="AKC24" s="827"/>
      <c r="AKD24" s="827"/>
      <c r="AKE24" s="827"/>
      <c r="AKF24" s="827"/>
      <c r="AKG24" s="827"/>
      <c r="AKH24" s="827"/>
      <c r="AKI24" s="827"/>
      <c r="AKJ24" s="827"/>
      <c r="AKK24" s="827"/>
      <c r="AKL24" s="827"/>
      <c r="AKM24" s="827"/>
      <c r="AKN24" s="827"/>
      <c r="AKO24" s="827"/>
      <c r="AKP24" s="827"/>
      <c r="AKQ24" s="827"/>
      <c r="AKR24" s="827"/>
      <c r="AKS24" s="827"/>
      <c r="AKT24" s="827"/>
      <c r="AKU24" s="827"/>
      <c r="AKV24" s="827"/>
      <c r="AKW24" s="827"/>
      <c r="AKX24" s="827"/>
      <c r="AKY24" s="827"/>
      <c r="AKZ24" s="827"/>
      <c r="ALA24" s="827"/>
      <c r="ALB24" s="827"/>
      <c r="ALC24" s="827"/>
      <c r="ALD24" s="827"/>
      <c r="ALE24" s="827"/>
      <c r="ALF24" s="827"/>
      <c r="ALG24" s="827"/>
      <c r="ALH24" s="827"/>
      <c r="ALI24" s="827"/>
      <c r="ALJ24" s="827"/>
      <c r="ALK24" s="827"/>
      <c r="ALL24" s="827"/>
      <c r="ALM24" s="827"/>
      <c r="ALN24" s="827"/>
      <c r="ALO24" s="827"/>
      <c r="ALP24" s="827"/>
      <c r="ALQ24" s="827"/>
      <c r="ALR24" s="827"/>
      <c r="ALS24" s="827"/>
      <c r="ALT24" s="827"/>
      <c r="ALU24" s="827"/>
      <c r="ALV24" s="827"/>
      <c r="ALW24" s="827"/>
      <c r="ALX24" s="827"/>
      <c r="ALY24" s="827"/>
      <c r="ALZ24" s="827"/>
      <c r="AMA24" s="827"/>
      <c r="AMB24" s="827"/>
      <c r="AMC24" s="827"/>
      <c r="AMD24" s="827"/>
      <c r="AME24" s="827"/>
      <c r="AMF24" s="827"/>
      <c r="AMG24" s="827"/>
      <c r="AMH24" s="827"/>
      <c r="AMI24" s="827"/>
      <c r="AMJ24" s="827"/>
      <c r="AMK24" s="827"/>
      <c r="AML24" s="827"/>
      <c r="AMM24" s="827"/>
      <c r="AMN24" s="827"/>
      <c r="AMO24" s="827"/>
      <c r="AMP24" s="827"/>
      <c r="AMQ24" s="827"/>
      <c r="AMR24" s="827"/>
      <c r="AMS24" s="827"/>
      <c r="AMT24" s="827"/>
      <c r="AMU24" s="827"/>
      <c r="AMV24" s="827"/>
      <c r="AMW24" s="827"/>
      <c r="AMX24" s="827"/>
      <c r="AMY24" s="827"/>
      <c r="AMZ24" s="827"/>
      <c r="ANA24" s="827"/>
      <c r="ANB24" s="827"/>
      <c r="ANC24" s="827"/>
      <c r="AND24" s="827"/>
      <c r="ANE24" s="827"/>
      <c r="ANF24" s="827"/>
      <c r="ANG24" s="827"/>
      <c r="ANH24" s="827"/>
      <c r="ANI24" s="827"/>
      <c r="ANJ24" s="827"/>
      <c r="ANK24" s="827"/>
      <c r="ANL24" s="827"/>
      <c r="ANM24" s="827"/>
      <c r="ANN24" s="827"/>
      <c r="ANO24" s="827"/>
      <c r="ANP24" s="827"/>
      <c r="ANQ24" s="827"/>
      <c r="ANR24" s="827"/>
      <c r="ANS24" s="827"/>
      <c r="ANT24" s="827"/>
      <c r="ANU24" s="827"/>
      <c r="ANV24" s="827"/>
      <c r="ANW24" s="827"/>
      <c r="ANX24" s="827"/>
      <c r="ANY24" s="827"/>
      <c r="ANZ24" s="827"/>
      <c r="AOA24" s="827"/>
      <c r="AOB24" s="827"/>
      <c r="AOC24" s="827"/>
      <c r="AOD24" s="827"/>
      <c r="AOE24" s="827"/>
      <c r="AOF24" s="827"/>
      <c r="AOG24" s="827"/>
      <c r="AOH24" s="827"/>
      <c r="AOI24" s="827"/>
      <c r="AOJ24" s="827"/>
      <c r="AOK24" s="827"/>
      <c r="AOL24" s="827"/>
      <c r="AOM24" s="827"/>
      <c r="AON24" s="827"/>
      <c r="AOO24" s="827"/>
      <c r="AOP24" s="827"/>
      <c r="AOQ24" s="827"/>
      <c r="AOR24" s="827"/>
      <c r="AOS24" s="827"/>
      <c r="AOT24" s="827"/>
      <c r="AOU24" s="827"/>
      <c r="AOV24" s="827"/>
      <c r="AOW24" s="827"/>
      <c r="AOX24" s="827"/>
      <c r="AOY24" s="827"/>
      <c r="AOZ24" s="827"/>
      <c r="APA24" s="827"/>
      <c r="APB24" s="827"/>
      <c r="APC24" s="827"/>
      <c r="APD24" s="827"/>
      <c r="APE24" s="827"/>
      <c r="APF24" s="827"/>
      <c r="APG24" s="827"/>
      <c r="APH24" s="827"/>
      <c r="API24" s="827"/>
      <c r="APJ24" s="827"/>
      <c r="APK24" s="827"/>
      <c r="APL24" s="827"/>
      <c r="APM24" s="827"/>
      <c r="APN24" s="827"/>
      <c r="APO24" s="827"/>
      <c r="APP24" s="827"/>
      <c r="APQ24" s="827"/>
      <c r="APR24" s="827"/>
      <c r="APS24" s="827"/>
      <c r="APT24" s="827"/>
      <c r="APU24" s="827"/>
      <c r="APV24" s="827"/>
      <c r="APW24" s="827"/>
      <c r="APX24" s="827"/>
      <c r="APY24" s="827"/>
      <c r="APZ24" s="827"/>
      <c r="AQA24" s="827"/>
      <c r="AQB24" s="827"/>
      <c r="AQC24" s="827"/>
      <c r="AQD24" s="827"/>
      <c r="AQE24" s="827"/>
      <c r="AQF24" s="827"/>
      <c r="AQG24" s="827"/>
      <c r="AQH24" s="827"/>
      <c r="AQI24" s="827"/>
      <c r="AQJ24" s="827"/>
      <c r="AQK24" s="827"/>
      <c r="AQL24" s="827"/>
      <c r="AQM24" s="827"/>
      <c r="AQN24" s="827"/>
      <c r="AQO24" s="827"/>
      <c r="AQP24" s="827"/>
      <c r="AQQ24" s="827"/>
      <c r="AQR24" s="827"/>
      <c r="AQS24" s="827"/>
      <c r="AQT24" s="827"/>
      <c r="AQU24" s="827"/>
      <c r="AQV24" s="827"/>
      <c r="AQW24" s="827"/>
      <c r="AQX24" s="827"/>
      <c r="AQY24" s="827"/>
      <c r="AQZ24" s="827"/>
      <c r="ARA24" s="827"/>
      <c r="ARB24" s="827"/>
      <c r="ARC24" s="827"/>
      <c r="ARD24" s="827"/>
      <c r="ARE24" s="827"/>
      <c r="ARF24" s="827"/>
      <c r="ARG24" s="827"/>
      <c r="ARH24" s="827"/>
      <c r="ARI24" s="827"/>
      <c r="ARJ24" s="827"/>
      <c r="ARK24" s="827"/>
      <c r="ARL24" s="827"/>
      <c r="ARM24" s="827"/>
      <c r="ARN24" s="827"/>
      <c r="ARO24" s="827"/>
      <c r="ARP24" s="827"/>
      <c r="ARQ24" s="827"/>
      <c r="ARR24" s="827"/>
      <c r="ARS24" s="827"/>
      <c r="ART24" s="827"/>
      <c r="ARU24" s="827"/>
      <c r="ARV24" s="827"/>
      <c r="ARW24" s="827"/>
      <c r="ARX24" s="827"/>
      <c r="ARY24" s="827"/>
      <c r="ARZ24" s="827"/>
      <c r="ASA24" s="827"/>
      <c r="ASB24" s="827"/>
      <c r="ASC24" s="827"/>
      <c r="ASD24" s="827"/>
      <c r="ASE24" s="827"/>
      <c r="ASF24" s="827"/>
      <c r="ASG24" s="827"/>
      <c r="ASH24" s="827"/>
      <c r="ASI24" s="827"/>
      <c r="ASJ24" s="827"/>
      <c r="ASK24" s="827"/>
      <c r="ASL24" s="827"/>
      <c r="ASM24" s="827"/>
      <c r="ASN24" s="827"/>
      <c r="ASO24" s="827"/>
      <c r="ASP24" s="827"/>
      <c r="ASQ24" s="827"/>
      <c r="ASR24" s="827"/>
      <c r="ASS24" s="827"/>
      <c r="AST24" s="827"/>
      <c r="ASU24" s="827"/>
      <c r="ASV24" s="827"/>
      <c r="ASW24" s="827"/>
      <c r="ASX24" s="827"/>
      <c r="ASY24" s="827"/>
      <c r="ASZ24" s="827"/>
      <c r="ATA24" s="827"/>
      <c r="ATB24" s="827"/>
      <c r="ATC24" s="827"/>
      <c r="ATD24" s="827"/>
      <c r="ATE24" s="827"/>
      <c r="ATF24" s="827"/>
      <c r="ATG24" s="827"/>
      <c r="ATH24" s="827"/>
      <c r="ATI24" s="827"/>
      <c r="ATJ24" s="827"/>
      <c r="ATK24" s="827"/>
      <c r="ATL24" s="827"/>
      <c r="ATM24" s="827"/>
      <c r="ATN24" s="827"/>
      <c r="ATO24" s="827"/>
      <c r="ATP24" s="827"/>
      <c r="ATQ24" s="827"/>
      <c r="ATR24" s="827"/>
      <c r="ATS24" s="827"/>
      <c r="ATT24" s="827"/>
      <c r="ATU24" s="827"/>
      <c r="ATV24" s="827"/>
      <c r="ATW24" s="827"/>
      <c r="ATX24" s="827"/>
      <c r="ATY24" s="827"/>
      <c r="ATZ24" s="827"/>
      <c r="AUA24" s="827"/>
      <c r="AUB24" s="827"/>
      <c r="AUC24" s="827"/>
      <c r="AUD24" s="827"/>
      <c r="AUE24" s="827"/>
      <c r="AUF24" s="827"/>
      <c r="AUG24" s="827"/>
      <c r="AUH24" s="827"/>
      <c r="AUI24" s="827"/>
      <c r="AUJ24" s="827"/>
      <c r="AUK24" s="827"/>
      <c r="AUL24" s="827"/>
      <c r="AUM24" s="827"/>
      <c r="AUN24" s="827"/>
      <c r="AUO24" s="827"/>
      <c r="AUP24" s="827"/>
      <c r="AUQ24" s="827"/>
      <c r="AUR24" s="827"/>
      <c r="AUS24" s="827"/>
      <c r="AUT24" s="827"/>
      <c r="AUU24" s="827"/>
      <c r="AUV24" s="827"/>
      <c r="AUW24" s="827"/>
      <c r="AUX24" s="827"/>
      <c r="AUY24" s="827"/>
      <c r="AUZ24" s="827"/>
      <c r="AVA24" s="827"/>
      <c r="AVB24" s="827"/>
      <c r="AVC24" s="827"/>
      <c r="AVD24" s="827"/>
      <c r="AVE24" s="827"/>
      <c r="AVF24" s="827"/>
      <c r="AVG24" s="827"/>
      <c r="AVH24" s="827"/>
      <c r="AVI24" s="827"/>
      <c r="AVJ24" s="827"/>
      <c r="AVK24" s="827"/>
      <c r="AVL24" s="827"/>
      <c r="AVM24" s="827"/>
      <c r="AVN24" s="827"/>
      <c r="AVO24" s="827"/>
      <c r="AVP24" s="827"/>
      <c r="AVQ24" s="827"/>
      <c r="AVR24" s="827"/>
      <c r="AVS24" s="827"/>
      <c r="AVT24" s="827"/>
      <c r="AVU24" s="827"/>
      <c r="AVV24" s="827"/>
      <c r="AVW24" s="827"/>
      <c r="AVX24" s="827"/>
      <c r="AVY24" s="827"/>
      <c r="AVZ24" s="827"/>
      <c r="AWA24" s="827"/>
      <c r="AWB24" s="827"/>
      <c r="AWC24" s="827"/>
      <c r="AWD24" s="827"/>
      <c r="AWE24" s="827"/>
      <c r="AWF24" s="827"/>
      <c r="AWG24" s="827"/>
      <c r="AWH24" s="827"/>
      <c r="AWI24" s="827"/>
      <c r="AWJ24" s="827"/>
      <c r="AWK24" s="827"/>
      <c r="AWL24" s="827"/>
      <c r="AWM24" s="827"/>
      <c r="AWN24" s="827"/>
      <c r="AWO24" s="827"/>
      <c r="AWP24" s="827"/>
      <c r="AWQ24" s="827"/>
      <c r="AWR24" s="827"/>
      <c r="AWS24" s="827"/>
      <c r="AWT24" s="827"/>
      <c r="AWU24" s="827"/>
      <c r="AWV24" s="827"/>
      <c r="AWW24" s="827"/>
      <c r="AWX24" s="827"/>
      <c r="AWY24" s="827"/>
      <c r="AWZ24" s="827"/>
      <c r="AXA24" s="827"/>
      <c r="AXB24" s="827"/>
      <c r="AXC24" s="827"/>
      <c r="AXD24" s="827"/>
      <c r="AXE24" s="827"/>
      <c r="AXF24" s="827"/>
      <c r="AXG24" s="827"/>
      <c r="AXH24" s="827"/>
      <c r="AXI24" s="827"/>
      <c r="AXJ24" s="827"/>
      <c r="AXK24" s="827"/>
      <c r="AXL24" s="827"/>
      <c r="AXM24" s="827"/>
      <c r="AXN24" s="827"/>
      <c r="AXO24" s="827"/>
      <c r="AXP24" s="827"/>
      <c r="AXQ24" s="827"/>
      <c r="AXR24" s="827"/>
      <c r="AXS24" s="827"/>
      <c r="AXT24" s="827"/>
      <c r="AXU24" s="827"/>
      <c r="AXV24" s="827"/>
      <c r="AXW24" s="827"/>
      <c r="AXX24" s="827"/>
      <c r="AXY24" s="827"/>
      <c r="AXZ24" s="827"/>
      <c r="AYA24" s="827"/>
      <c r="AYB24" s="827"/>
      <c r="AYC24" s="827"/>
      <c r="AYD24" s="827"/>
      <c r="AYE24" s="827"/>
      <c r="AYF24" s="827"/>
      <c r="AYG24" s="827"/>
      <c r="AYH24" s="827"/>
      <c r="AYI24" s="827"/>
      <c r="AYJ24" s="827"/>
      <c r="AYK24" s="827"/>
      <c r="AYL24" s="827"/>
      <c r="AYM24" s="827"/>
      <c r="AYN24" s="827"/>
      <c r="AYO24" s="827"/>
      <c r="AYP24" s="827"/>
      <c r="AYQ24" s="827"/>
      <c r="AYR24" s="827"/>
      <c r="AYS24" s="827"/>
      <c r="AYT24" s="827"/>
      <c r="AYU24" s="827"/>
      <c r="AYV24" s="827"/>
      <c r="AYW24" s="827"/>
      <c r="AYX24" s="827"/>
      <c r="AYY24" s="827"/>
      <c r="AYZ24" s="827"/>
      <c r="AZA24" s="827"/>
      <c r="AZB24" s="827"/>
      <c r="AZC24" s="827"/>
      <c r="AZD24" s="827"/>
      <c r="AZE24" s="827"/>
      <c r="AZF24" s="827"/>
      <c r="AZG24" s="827"/>
      <c r="AZH24" s="827"/>
      <c r="AZI24" s="827"/>
      <c r="AZJ24" s="827"/>
      <c r="AZK24" s="827"/>
      <c r="AZL24" s="827"/>
      <c r="AZM24" s="827"/>
      <c r="AZN24" s="827"/>
      <c r="AZO24" s="827"/>
      <c r="AZP24" s="827"/>
      <c r="AZQ24" s="827"/>
      <c r="AZR24" s="827"/>
      <c r="AZS24" s="827"/>
      <c r="AZT24" s="827"/>
      <c r="AZU24" s="827"/>
      <c r="AZV24" s="827"/>
      <c r="AZW24" s="827"/>
      <c r="AZX24" s="827"/>
      <c r="AZY24" s="827"/>
      <c r="AZZ24" s="827"/>
      <c r="BAA24" s="827"/>
      <c r="BAB24" s="827"/>
      <c r="BAC24" s="827"/>
      <c r="BAD24" s="827"/>
      <c r="BAE24" s="827"/>
      <c r="BAF24" s="827"/>
      <c r="BAG24" s="827"/>
      <c r="BAH24" s="827"/>
      <c r="BAI24" s="827"/>
      <c r="BAJ24" s="827"/>
      <c r="BAK24" s="827"/>
      <c r="BAL24" s="827"/>
      <c r="BAM24" s="827"/>
      <c r="BAN24" s="827"/>
      <c r="BAO24" s="827"/>
      <c r="BAP24" s="827"/>
      <c r="BAQ24" s="827"/>
      <c r="BAR24" s="827"/>
      <c r="BAS24" s="827"/>
      <c r="BAT24" s="827"/>
      <c r="BAU24" s="827"/>
      <c r="BAV24" s="827"/>
      <c r="BAW24" s="827"/>
      <c r="BAX24" s="827"/>
      <c r="BAY24" s="827"/>
      <c r="BAZ24" s="827"/>
      <c r="BBA24" s="827"/>
      <c r="BBB24" s="827"/>
      <c r="BBC24" s="827"/>
      <c r="BBD24" s="827"/>
      <c r="BBE24" s="827"/>
      <c r="BBF24" s="827"/>
      <c r="BBG24" s="827"/>
      <c r="BBH24" s="827"/>
      <c r="BBI24" s="827"/>
      <c r="BBJ24" s="827"/>
      <c r="BBK24" s="827"/>
      <c r="BBL24" s="827"/>
      <c r="BBM24" s="827"/>
      <c r="BBN24" s="827"/>
      <c r="BBO24" s="827"/>
      <c r="BBP24" s="827"/>
      <c r="BBQ24" s="827"/>
      <c r="BBR24" s="827"/>
      <c r="BBS24" s="827"/>
      <c r="BBT24" s="827"/>
      <c r="BBU24" s="827"/>
      <c r="BBV24" s="827"/>
      <c r="BBW24" s="827"/>
      <c r="BBX24" s="827"/>
      <c r="BBY24" s="827"/>
      <c r="BBZ24" s="827"/>
      <c r="BCA24" s="827"/>
      <c r="BCB24" s="827"/>
      <c r="BCC24" s="827"/>
      <c r="BCD24" s="827"/>
      <c r="BCE24" s="827"/>
      <c r="BCF24" s="827"/>
      <c r="BCG24" s="827"/>
      <c r="BCH24" s="827"/>
      <c r="BCI24" s="827"/>
      <c r="BCJ24" s="827"/>
      <c r="BCK24" s="827"/>
      <c r="BCL24" s="827"/>
      <c r="BCM24" s="827"/>
      <c r="BCN24" s="827"/>
      <c r="BCO24" s="827"/>
      <c r="BCP24" s="827"/>
      <c r="BCQ24" s="827"/>
      <c r="BCR24" s="827"/>
      <c r="BCS24" s="827"/>
      <c r="BCT24" s="827"/>
      <c r="BCU24" s="827"/>
      <c r="BCV24" s="827"/>
      <c r="BCW24" s="827"/>
      <c r="BCX24" s="827"/>
      <c r="BCY24" s="827"/>
      <c r="BCZ24" s="827"/>
      <c r="BDA24" s="827"/>
      <c r="BDB24" s="827"/>
      <c r="BDC24" s="827"/>
      <c r="BDD24" s="827"/>
      <c r="BDE24" s="827"/>
      <c r="BDF24" s="827"/>
      <c r="BDG24" s="827"/>
      <c r="BDH24" s="827"/>
      <c r="BDI24" s="827"/>
      <c r="BDJ24" s="827"/>
      <c r="BDK24" s="827"/>
      <c r="BDL24" s="827"/>
      <c r="BDM24" s="827"/>
      <c r="BDN24" s="827"/>
      <c r="BDO24" s="827"/>
      <c r="BDP24" s="827"/>
      <c r="BDQ24" s="827"/>
      <c r="BDR24" s="827"/>
      <c r="BDS24" s="827"/>
      <c r="BDT24" s="827"/>
      <c r="BDU24" s="827"/>
      <c r="BDV24" s="827"/>
      <c r="BDW24" s="827"/>
      <c r="BDX24" s="827"/>
      <c r="BDY24" s="827"/>
      <c r="BDZ24" s="827"/>
      <c r="BEA24" s="827"/>
      <c r="BEB24" s="827"/>
      <c r="BEC24" s="827"/>
      <c r="BED24" s="827"/>
      <c r="BEE24" s="827"/>
      <c r="BEF24" s="827"/>
      <c r="BEG24" s="827"/>
      <c r="BEH24" s="827"/>
      <c r="BEI24" s="827"/>
      <c r="BEJ24" s="827"/>
      <c r="BEK24" s="827"/>
      <c r="BEL24" s="827"/>
      <c r="BEM24" s="827"/>
      <c r="BEN24" s="827"/>
      <c r="BEO24" s="827"/>
      <c r="BEP24" s="827"/>
      <c r="BEQ24" s="827"/>
      <c r="BER24" s="827"/>
      <c r="BES24" s="827"/>
      <c r="BET24" s="827"/>
      <c r="BEU24" s="827"/>
      <c r="BEV24" s="827"/>
      <c r="BEW24" s="827"/>
      <c r="BEX24" s="827"/>
      <c r="BEY24" s="827"/>
      <c r="BEZ24" s="827"/>
      <c r="BFA24" s="827"/>
      <c r="BFB24" s="827"/>
      <c r="BFC24" s="827"/>
      <c r="BFD24" s="827"/>
      <c r="BFE24" s="827"/>
      <c r="BFF24" s="827"/>
      <c r="BFG24" s="827"/>
      <c r="BFH24" s="827"/>
      <c r="BFI24" s="827"/>
      <c r="BFJ24" s="827"/>
      <c r="BFK24" s="827"/>
      <c r="BFL24" s="827"/>
      <c r="BFM24" s="827"/>
      <c r="BFN24" s="827"/>
      <c r="BFO24" s="827"/>
      <c r="BFP24" s="827"/>
      <c r="BFQ24" s="827"/>
      <c r="BFR24" s="827"/>
      <c r="BFS24" s="827"/>
      <c r="BFT24" s="827"/>
      <c r="BFU24" s="827"/>
      <c r="BFV24" s="827"/>
      <c r="BFW24" s="827"/>
      <c r="BFX24" s="827"/>
      <c r="BFY24" s="827"/>
      <c r="BFZ24" s="827"/>
      <c r="BGA24" s="827"/>
      <c r="BGB24" s="827"/>
      <c r="BGC24" s="827"/>
      <c r="BGD24" s="827"/>
      <c r="BGE24" s="827"/>
      <c r="BGF24" s="827"/>
      <c r="BGG24" s="827"/>
      <c r="BGH24" s="827"/>
      <c r="BGI24" s="827"/>
      <c r="BGJ24" s="827"/>
      <c r="BGK24" s="827"/>
      <c r="BGL24" s="827"/>
      <c r="BGM24" s="827"/>
      <c r="BGN24" s="827"/>
      <c r="BGO24" s="827"/>
      <c r="BGP24" s="827"/>
      <c r="BGQ24" s="827"/>
      <c r="BGR24" s="827"/>
      <c r="BGS24" s="827"/>
      <c r="BGT24" s="827"/>
      <c r="BGU24" s="827"/>
      <c r="BGV24" s="827"/>
      <c r="BGW24" s="827"/>
      <c r="BGX24" s="827"/>
      <c r="BGY24" s="827"/>
      <c r="BGZ24" s="827"/>
      <c r="BHA24" s="827"/>
      <c r="BHB24" s="827"/>
      <c r="BHC24" s="827"/>
      <c r="BHD24" s="827"/>
      <c r="BHE24" s="827"/>
      <c r="BHF24" s="827"/>
      <c r="BHG24" s="827"/>
      <c r="BHH24" s="827"/>
      <c r="BHI24" s="827"/>
      <c r="BHJ24" s="827"/>
      <c r="BHK24" s="827"/>
      <c r="BHL24" s="827"/>
      <c r="BHM24" s="827"/>
      <c r="BHN24" s="827"/>
      <c r="BHO24" s="827"/>
      <c r="BHP24" s="827"/>
      <c r="BHQ24" s="827"/>
      <c r="BHR24" s="827"/>
      <c r="BHS24" s="827"/>
      <c r="BHT24" s="827"/>
      <c r="BHU24" s="827"/>
      <c r="BHV24" s="827"/>
      <c r="BHW24" s="827"/>
      <c r="BHX24" s="827"/>
      <c r="BHY24" s="827"/>
      <c r="BHZ24" s="827"/>
      <c r="BIA24" s="827"/>
      <c r="BIB24" s="827"/>
      <c r="BIC24" s="827"/>
      <c r="BID24" s="827"/>
      <c r="BIE24" s="827"/>
      <c r="BIF24" s="827"/>
      <c r="BIG24" s="827"/>
      <c r="BIH24" s="827"/>
      <c r="BII24" s="827"/>
      <c r="BIJ24" s="827"/>
      <c r="BIK24" s="827"/>
      <c r="BIL24" s="827"/>
      <c r="BIM24" s="827"/>
      <c r="BIN24" s="827"/>
      <c r="BIO24" s="827"/>
      <c r="BIP24" s="827"/>
      <c r="BIQ24" s="827"/>
      <c r="BIR24" s="827"/>
      <c r="BIS24" s="827"/>
      <c r="BIT24" s="827"/>
      <c r="BIU24" s="827"/>
      <c r="BIV24" s="827"/>
      <c r="BIW24" s="827"/>
      <c r="BIX24" s="827"/>
      <c r="BIY24" s="827"/>
      <c r="BIZ24" s="827"/>
      <c r="BJA24" s="827"/>
      <c r="BJB24" s="827"/>
      <c r="BJC24" s="827"/>
      <c r="BJD24" s="827"/>
      <c r="BJE24" s="827"/>
      <c r="BJF24" s="827"/>
      <c r="BJG24" s="827"/>
      <c r="BJH24" s="827"/>
      <c r="BJI24" s="827"/>
      <c r="BJJ24" s="827"/>
      <c r="BJK24" s="827"/>
      <c r="BJL24" s="827"/>
      <c r="BJM24" s="827"/>
      <c r="BJN24" s="827"/>
      <c r="BJO24" s="827"/>
      <c r="BJP24" s="827"/>
      <c r="BJQ24" s="827"/>
      <c r="BJR24" s="827"/>
      <c r="BJS24" s="827"/>
      <c r="BJT24" s="827"/>
      <c r="BJU24" s="827"/>
      <c r="BJV24" s="827"/>
      <c r="BJW24" s="827"/>
      <c r="BJX24" s="827"/>
      <c r="BJY24" s="827"/>
      <c r="BJZ24" s="827"/>
      <c r="BKA24" s="827"/>
      <c r="BKB24" s="827"/>
      <c r="BKC24" s="827"/>
      <c r="BKD24" s="827"/>
      <c r="BKE24" s="827"/>
      <c r="BKF24" s="827"/>
      <c r="BKG24" s="827"/>
      <c r="BKH24" s="827"/>
      <c r="BKI24" s="827"/>
      <c r="BKJ24" s="827"/>
      <c r="BKK24" s="827"/>
      <c r="BKL24" s="827"/>
      <c r="BKM24" s="827"/>
      <c r="BKN24" s="827"/>
      <c r="BKO24" s="827"/>
      <c r="BKP24" s="827"/>
      <c r="BKQ24" s="827"/>
      <c r="BKR24" s="827"/>
      <c r="BKS24" s="827"/>
      <c r="BKT24" s="827"/>
      <c r="BKU24" s="827"/>
      <c r="BKV24" s="827"/>
      <c r="BKW24" s="827"/>
      <c r="BKX24" s="827"/>
      <c r="BKY24" s="827"/>
      <c r="BKZ24" s="827"/>
      <c r="BLA24" s="827"/>
      <c r="BLB24" s="827"/>
      <c r="BLC24" s="827"/>
      <c r="BLD24" s="827"/>
      <c r="BLE24" s="827"/>
      <c r="BLF24" s="827"/>
      <c r="BLG24" s="827"/>
      <c r="BLH24" s="827"/>
      <c r="BLI24" s="827"/>
      <c r="BLJ24" s="827"/>
      <c r="BLK24" s="827"/>
      <c r="BLL24" s="827"/>
      <c r="BLM24" s="827"/>
      <c r="BLN24" s="827"/>
      <c r="BLO24" s="827"/>
      <c r="BLP24" s="827"/>
      <c r="BLQ24" s="827"/>
      <c r="BLR24" s="827"/>
      <c r="BLS24" s="827"/>
      <c r="BLT24" s="827"/>
      <c r="BLU24" s="827"/>
      <c r="BLV24" s="827"/>
      <c r="BLW24" s="827"/>
      <c r="BLX24" s="827"/>
      <c r="BLY24" s="827"/>
      <c r="BLZ24" s="827"/>
      <c r="BMA24" s="827"/>
      <c r="BMB24" s="827"/>
      <c r="BMC24" s="827"/>
      <c r="BMD24" s="827"/>
      <c r="BME24" s="827"/>
      <c r="BMF24" s="827"/>
      <c r="BMG24" s="827"/>
      <c r="BMH24" s="827"/>
      <c r="BMI24" s="827"/>
      <c r="BMJ24" s="827"/>
      <c r="BMK24" s="827"/>
      <c r="BML24" s="827"/>
      <c r="BMM24" s="827"/>
      <c r="BMN24" s="827"/>
      <c r="BMO24" s="827"/>
      <c r="BMP24" s="827"/>
      <c r="BMQ24" s="827"/>
      <c r="BMR24" s="827"/>
      <c r="BMS24" s="827"/>
      <c r="BMT24" s="827"/>
      <c r="BMU24" s="827"/>
      <c r="BMV24" s="827"/>
      <c r="BMW24" s="827"/>
      <c r="BMX24" s="827"/>
      <c r="BMY24" s="827"/>
      <c r="BMZ24" s="827"/>
      <c r="BNA24" s="827"/>
      <c r="BNB24" s="827"/>
      <c r="BNC24" s="827"/>
      <c r="BND24" s="827"/>
      <c r="BNE24" s="827"/>
      <c r="BNF24" s="827"/>
      <c r="BNG24" s="827"/>
      <c r="BNH24" s="827"/>
      <c r="BNI24" s="827"/>
      <c r="BNJ24" s="827"/>
      <c r="BNK24" s="827"/>
      <c r="BNL24" s="827"/>
      <c r="BNM24" s="827"/>
      <c r="BNN24" s="827"/>
      <c r="BNO24" s="827"/>
      <c r="BNP24" s="827"/>
      <c r="BNQ24" s="827"/>
      <c r="BNR24" s="827"/>
      <c r="BNS24" s="827"/>
      <c r="BNT24" s="827"/>
      <c r="BNU24" s="827"/>
      <c r="BNV24" s="827"/>
      <c r="BNW24" s="827"/>
      <c r="BNX24" s="827"/>
      <c r="BNY24" s="827"/>
      <c r="BNZ24" s="827"/>
      <c r="BOA24" s="827"/>
      <c r="BOB24" s="827"/>
      <c r="BOC24" s="827"/>
      <c r="BOD24" s="827"/>
      <c r="BOE24" s="827"/>
      <c r="BOF24" s="827"/>
      <c r="BOG24" s="827"/>
      <c r="BOH24" s="827"/>
      <c r="BOI24" s="827"/>
      <c r="BOJ24" s="827"/>
      <c r="BOK24" s="827"/>
      <c r="BOL24" s="827"/>
      <c r="BOM24" s="827"/>
      <c r="BON24" s="827"/>
      <c r="BOO24" s="827"/>
      <c r="BOP24" s="827"/>
      <c r="BOQ24" s="827"/>
      <c r="BOR24" s="827"/>
      <c r="BOS24" s="827"/>
      <c r="BOT24" s="827"/>
      <c r="BOU24" s="827"/>
      <c r="BOV24" s="827"/>
      <c r="BOW24" s="827"/>
      <c r="BOX24" s="827"/>
      <c r="BOY24" s="827"/>
      <c r="BOZ24" s="827"/>
      <c r="BPA24" s="827"/>
      <c r="BPB24" s="827"/>
      <c r="BPC24" s="827"/>
      <c r="BPD24" s="827"/>
      <c r="BPE24" s="827"/>
      <c r="BPF24" s="827"/>
      <c r="BPG24" s="827"/>
      <c r="BPH24" s="827"/>
      <c r="BPI24" s="827"/>
      <c r="BPJ24" s="827"/>
      <c r="BPK24" s="827"/>
      <c r="BPL24" s="827"/>
      <c r="BPM24" s="827"/>
      <c r="BPN24" s="827"/>
      <c r="BPO24" s="827"/>
      <c r="BPP24" s="827"/>
      <c r="BPQ24" s="827"/>
      <c r="BPR24" s="827"/>
      <c r="BPS24" s="827"/>
      <c r="BPT24" s="827"/>
      <c r="BPU24" s="827"/>
      <c r="BPV24" s="827"/>
      <c r="BPW24" s="827"/>
      <c r="BPX24" s="827"/>
      <c r="BPY24" s="827"/>
      <c r="BPZ24" s="827"/>
      <c r="BQA24" s="827"/>
      <c r="BQB24" s="827"/>
      <c r="BQC24" s="827"/>
      <c r="BQD24" s="827"/>
      <c r="BQE24" s="827"/>
      <c r="BQF24" s="827"/>
      <c r="BQG24" s="827"/>
      <c r="BQH24" s="827"/>
      <c r="BQI24" s="827"/>
      <c r="BQJ24" s="827"/>
      <c r="BQK24" s="827"/>
      <c r="BQL24" s="827"/>
      <c r="BQM24" s="827"/>
      <c r="BQN24" s="827"/>
      <c r="BQO24" s="827"/>
      <c r="BQP24" s="827"/>
      <c r="BQQ24" s="827"/>
      <c r="BQR24" s="827"/>
      <c r="BQS24" s="827"/>
      <c r="BQT24" s="827"/>
      <c r="BQU24" s="827"/>
      <c r="BQV24" s="827"/>
      <c r="BQW24" s="827"/>
      <c r="BQX24" s="827"/>
      <c r="BQY24" s="827"/>
      <c r="BQZ24" s="827"/>
      <c r="BRA24" s="827"/>
      <c r="BRB24" s="827"/>
      <c r="BRC24" s="827"/>
      <c r="BRD24" s="827"/>
      <c r="BRE24" s="827"/>
      <c r="BRF24" s="827"/>
      <c r="BRG24" s="827"/>
      <c r="BRH24" s="827"/>
      <c r="BRI24" s="827"/>
      <c r="BRJ24" s="827"/>
      <c r="BRK24" s="827"/>
      <c r="BRL24" s="827"/>
      <c r="BRM24" s="827"/>
      <c r="BRN24" s="827"/>
      <c r="BRO24" s="827"/>
      <c r="BRP24" s="827"/>
      <c r="BRQ24" s="827"/>
      <c r="BRR24" s="827"/>
      <c r="BRS24" s="827"/>
      <c r="BRT24" s="827"/>
      <c r="BRU24" s="827"/>
      <c r="BRV24" s="827"/>
      <c r="BRW24" s="827"/>
      <c r="BRX24" s="827"/>
      <c r="BRY24" s="827"/>
      <c r="BRZ24" s="827"/>
      <c r="BSA24" s="827"/>
      <c r="BSB24" s="827"/>
      <c r="BSC24" s="827"/>
      <c r="BSD24" s="827"/>
      <c r="BSE24" s="827"/>
      <c r="BSF24" s="827"/>
      <c r="BSG24" s="827"/>
      <c r="BSH24" s="827"/>
      <c r="BSI24" s="827"/>
      <c r="BSJ24" s="827"/>
      <c r="BSK24" s="827"/>
      <c r="BSL24" s="827"/>
      <c r="BSM24" s="827"/>
      <c r="BSN24" s="827"/>
      <c r="BSO24" s="827"/>
      <c r="BSP24" s="827"/>
      <c r="BSQ24" s="827"/>
      <c r="BSR24" s="827"/>
      <c r="BSS24" s="827"/>
      <c r="BST24" s="827"/>
    </row>
    <row r="25" spans="1:1866" s="829" customFormat="1" ht="20.100000000000001" customHeight="1" x14ac:dyDescent="0.25">
      <c r="A25" s="830"/>
      <c r="B25" s="3182" t="s">
        <v>850</v>
      </c>
      <c r="C25" s="1494" t="s">
        <v>154</v>
      </c>
      <c r="D25" s="1495">
        <f>SUMIF(Bfr!$B$53:$B$56,"="&amp;C25,Bfr!$D$53:$D$56)</f>
        <v>0</v>
      </c>
      <c r="E25" s="1496">
        <f>E24*$D$25</f>
        <v>0</v>
      </c>
      <c r="F25" s="1496">
        <f t="shared" ref="F25:V25" si="29">F24*$D$25</f>
        <v>0</v>
      </c>
      <c r="G25" s="1496">
        <f t="shared" si="29"/>
        <v>0</v>
      </c>
      <c r="H25" s="1496">
        <f t="shared" si="29"/>
        <v>0</v>
      </c>
      <c r="I25" s="1496">
        <f t="shared" si="29"/>
        <v>0</v>
      </c>
      <c r="J25" s="1496">
        <f t="shared" si="29"/>
        <v>0</v>
      </c>
      <c r="K25" s="1496">
        <f t="shared" si="29"/>
        <v>0</v>
      </c>
      <c r="L25" s="1496">
        <f t="shared" si="29"/>
        <v>0</v>
      </c>
      <c r="M25" s="1496">
        <f t="shared" si="29"/>
        <v>0</v>
      </c>
      <c r="N25" s="1496">
        <f t="shared" si="29"/>
        <v>0</v>
      </c>
      <c r="O25" s="1496">
        <f t="shared" si="29"/>
        <v>0</v>
      </c>
      <c r="P25" s="1496">
        <f t="shared" si="29"/>
        <v>0</v>
      </c>
      <c r="Q25" s="1496">
        <f t="shared" si="29"/>
        <v>0</v>
      </c>
      <c r="R25" s="1496">
        <f t="shared" si="29"/>
        <v>0</v>
      </c>
      <c r="S25" s="1496">
        <f t="shared" si="29"/>
        <v>0</v>
      </c>
      <c r="T25" s="1496">
        <f t="shared" si="29"/>
        <v>0</v>
      </c>
      <c r="U25" s="1496">
        <f t="shared" si="29"/>
        <v>0</v>
      </c>
      <c r="V25" s="1497">
        <f t="shared" si="29"/>
        <v>0</v>
      </c>
      <c r="W25" s="830"/>
      <c r="X25" s="1459">
        <f t="shared" ref="X25:X30" si="30">SUM(E25:V25)</f>
        <v>0</v>
      </c>
      <c r="Y25" s="1460"/>
      <c r="Z25" s="1460"/>
      <c r="AA25" s="1461"/>
      <c r="AB25" s="826"/>
      <c r="AC25" s="826"/>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830"/>
      <c r="BK25" s="830"/>
      <c r="BL25" s="830"/>
      <c r="BM25" s="830"/>
      <c r="BN25" s="830"/>
      <c r="BO25" s="830"/>
      <c r="BP25" s="830"/>
      <c r="BQ25" s="830"/>
      <c r="BR25" s="830"/>
      <c r="BS25" s="830"/>
      <c r="BT25" s="830"/>
      <c r="BU25" s="830"/>
      <c r="BV25" s="830"/>
      <c r="BW25" s="830"/>
      <c r="BX25" s="830"/>
      <c r="BY25" s="830"/>
      <c r="BZ25" s="830"/>
      <c r="CA25" s="830"/>
      <c r="CB25" s="830"/>
      <c r="CC25" s="830"/>
      <c r="CD25" s="830"/>
      <c r="CE25" s="830"/>
      <c r="CF25" s="830"/>
      <c r="CG25" s="830"/>
      <c r="CH25" s="830"/>
      <c r="CI25" s="830"/>
      <c r="CJ25" s="830"/>
      <c r="CK25" s="830"/>
      <c r="CL25" s="830"/>
      <c r="CM25" s="830"/>
      <c r="CN25" s="830"/>
      <c r="CO25" s="830"/>
      <c r="CP25" s="830"/>
      <c r="CQ25" s="830"/>
      <c r="CR25" s="830"/>
      <c r="CS25" s="830"/>
      <c r="CT25" s="830"/>
      <c r="CU25" s="830"/>
      <c r="CV25" s="830"/>
      <c r="CW25" s="830"/>
      <c r="CX25" s="830"/>
      <c r="CY25" s="830"/>
      <c r="CZ25" s="830"/>
      <c r="DA25" s="830"/>
      <c r="DB25" s="830"/>
      <c r="DC25" s="830"/>
      <c r="DD25" s="830"/>
      <c r="DE25" s="830"/>
      <c r="DF25" s="830"/>
      <c r="DG25" s="830"/>
      <c r="DH25" s="830"/>
      <c r="DI25" s="830"/>
      <c r="DJ25" s="830"/>
      <c r="DK25" s="830"/>
      <c r="DL25" s="830"/>
      <c r="DM25" s="830"/>
      <c r="DN25" s="830"/>
      <c r="DO25" s="830"/>
      <c r="DP25" s="830"/>
      <c r="DQ25" s="830"/>
      <c r="DR25" s="830"/>
      <c r="DS25" s="830"/>
      <c r="DT25" s="830"/>
      <c r="DU25" s="830"/>
      <c r="DV25" s="830"/>
      <c r="DW25" s="830"/>
      <c r="DX25" s="830"/>
      <c r="DY25" s="830"/>
      <c r="DZ25" s="830"/>
      <c r="EA25" s="830"/>
      <c r="EB25" s="830"/>
      <c r="EC25" s="830"/>
      <c r="ED25" s="830"/>
      <c r="EE25" s="830"/>
      <c r="EF25" s="830"/>
      <c r="EG25" s="830"/>
      <c r="EH25" s="830"/>
      <c r="EI25" s="830"/>
      <c r="EJ25" s="830"/>
      <c r="EK25" s="830"/>
      <c r="EL25" s="830"/>
      <c r="EM25" s="830"/>
      <c r="EN25" s="830"/>
      <c r="EO25" s="830"/>
      <c r="EP25" s="830"/>
      <c r="EQ25" s="830"/>
      <c r="ER25" s="830"/>
      <c r="ES25" s="830"/>
      <c r="ET25" s="830"/>
      <c r="EU25" s="830"/>
      <c r="EV25" s="830"/>
      <c r="EW25" s="830"/>
      <c r="EX25" s="830"/>
      <c r="EY25" s="830"/>
      <c r="EZ25" s="830"/>
      <c r="FA25" s="830"/>
      <c r="FB25" s="830"/>
      <c r="FC25" s="830"/>
      <c r="FD25" s="830"/>
      <c r="FE25" s="830"/>
      <c r="FF25" s="830"/>
      <c r="FG25" s="830"/>
      <c r="FH25" s="830"/>
      <c r="FI25" s="830"/>
      <c r="FJ25" s="830"/>
      <c r="FK25" s="830"/>
      <c r="FL25" s="830"/>
      <c r="FM25" s="830"/>
      <c r="FN25" s="830"/>
      <c r="FO25" s="830"/>
      <c r="FP25" s="830"/>
      <c r="FQ25" s="830"/>
      <c r="FR25" s="830"/>
      <c r="FS25" s="830"/>
      <c r="FT25" s="830"/>
      <c r="FU25" s="830"/>
      <c r="FV25" s="830"/>
      <c r="FW25" s="830"/>
      <c r="FX25" s="830"/>
      <c r="FY25" s="830"/>
      <c r="FZ25" s="830"/>
      <c r="GA25" s="830"/>
      <c r="GB25" s="830"/>
      <c r="GC25" s="830"/>
      <c r="GD25" s="830"/>
      <c r="GE25" s="830"/>
      <c r="GF25" s="830"/>
      <c r="GG25" s="830"/>
      <c r="GH25" s="830"/>
      <c r="GI25" s="830"/>
      <c r="GJ25" s="830"/>
      <c r="GK25" s="830"/>
      <c r="GL25" s="830"/>
      <c r="GM25" s="830"/>
      <c r="GN25" s="830"/>
      <c r="GO25" s="830"/>
      <c r="GP25" s="830"/>
      <c r="GQ25" s="830"/>
      <c r="GR25" s="830"/>
      <c r="GS25" s="830"/>
      <c r="GT25" s="830"/>
      <c r="GU25" s="830"/>
      <c r="GV25" s="830"/>
      <c r="GW25" s="830"/>
      <c r="GX25" s="830"/>
      <c r="GY25" s="830"/>
      <c r="GZ25" s="830"/>
      <c r="HA25" s="830"/>
      <c r="HB25" s="830"/>
      <c r="HC25" s="830"/>
      <c r="HD25" s="830"/>
      <c r="HE25" s="830"/>
      <c r="HF25" s="830"/>
      <c r="HG25" s="830"/>
      <c r="HH25" s="830"/>
      <c r="HI25" s="830"/>
      <c r="HJ25" s="830"/>
      <c r="HK25" s="830"/>
      <c r="HL25" s="830"/>
      <c r="HM25" s="830"/>
      <c r="HN25" s="830"/>
      <c r="HO25" s="830"/>
      <c r="HP25" s="830"/>
      <c r="HQ25" s="830"/>
      <c r="HR25" s="830"/>
      <c r="HS25" s="830"/>
      <c r="HT25" s="830"/>
      <c r="HU25" s="830"/>
      <c r="HV25" s="830"/>
      <c r="HW25" s="830"/>
      <c r="HX25" s="830"/>
      <c r="HY25" s="830"/>
      <c r="HZ25" s="830"/>
      <c r="IA25" s="830"/>
      <c r="IB25" s="830"/>
      <c r="IC25" s="830"/>
      <c r="ID25" s="830"/>
      <c r="IE25" s="830"/>
      <c r="IF25" s="830"/>
      <c r="IG25" s="830"/>
      <c r="IH25" s="830"/>
      <c r="II25" s="830"/>
      <c r="IJ25" s="830"/>
      <c r="IK25" s="830"/>
      <c r="IL25" s="830"/>
      <c r="IM25" s="830"/>
      <c r="IN25" s="830"/>
      <c r="IO25" s="830"/>
      <c r="IP25" s="830"/>
      <c r="IQ25" s="830"/>
      <c r="IR25" s="830"/>
      <c r="IS25" s="830"/>
      <c r="IT25" s="830"/>
      <c r="IU25" s="830"/>
      <c r="IV25" s="830"/>
      <c r="IW25" s="830"/>
      <c r="IX25" s="830"/>
      <c r="IY25" s="830"/>
      <c r="IZ25" s="830"/>
      <c r="JA25" s="830"/>
      <c r="JB25" s="830"/>
      <c r="JC25" s="830"/>
      <c r="JD25" s="830"/>
      <c r="JE25" s="830"/>
      <c r="JF25" s="830"/>
      <c r="JG25" s="830"/>
      <c r="JH25" s="830"/>
      <c r="JI25" s="830"/>
      <c r="JJ25" s="830"/>
      <c r="JK25" s="830"/>
      <c r="JL25" s="830"/>
      <c r="JM25" s="830"/>
      <c r="JN25" s="830"/>
      <c r="JO25" s="830"/>
      <c r="JP25" s="830"/>
      <c r="JQ25" s="830"/>
      <c r="JR25" s="830"/>
      <c r="JS25" s="830"/>
      <c r="JT25" s="830"/>
      <c r="JU25" s="830"/>
      <c r="JV25" s="830"/>
      <c r="JW25" s="830"/>
      <c r="JX25" s="830"/>
      <c r="JY25" s="830"/>
      <c r="JZ25" s="830"/>
      <c r="KA25" s="830"/>
      <c r="KB25" s="830"/>
      <c r="KC25" s="830"/>
      <c r="KD25" s="830"/>
      <c r="KE25" s="830"/>
      <c r="KF25" s="830"/>
      <c r="KG25" s="830"/>
      <c r="KH25" s="830"/>
      <c r="KI25" s="830"/>
      <c r="KJ25" s="830"/>
      <c r="KK25" s="830"/>
      <c r="KL25" s="830"/>
      <c r="KM25" s="830"/>
      <c r="KN25" s="830"/>
      <c r="KO25" s="830"/>
      <c r="KP25" s="830"/>
      <c r="KQ25" s="830"/>
      <c r="KR25" s="830"/>
      <c r="KS25" s="830"/>
      <c r="KT25" s="830"/>
      <c r="KU25" s="830"/>
      <c r="KV25" s="830"/>
      <c r="KW25" s="830"/>
      <c r="KX25" s="830"/>
      <c r="KY25" s="830"/>
      <c r="KZ25" s="830"/>
      <c r="LA25" s="830"/>
      <c r="LB25" s="830"/>
      <c r="LC25" s="830"/>
      <c r="LD25" s="830"/>
      <c r="LE25" s="830"/>
      <c r="LF25" s="830"/>
      <c r="LG25" s="830"/>
      <c r="LH25" s="830"/>
      <c r="LI25" s="830"/>
      <c r="LJ25" s="830"/>
      <c r="LK25" s="830"/>
      <c r="LL25" s="830"/>
      <c r="LM25" s="830"/>
      <c r="LN25" s="830"/>
      <c r="LO25" s="830"/>
      <c r="LP25" s="830"/>
      <c r="LQ25" s="830"/>
      <c r="LR25" s="830"/>
      <c r="LS25" s="830"/>
      <c r="LT25" s="830"/>
      <c r="LU25" s="830"/>
      <c r="LV25" s="830"/>
      <c r="LW25" s="830"/>
      <c r="LX25" s="830"/>
      <c r="LY25" s="830"/>
      <c r="LZ25" s="830"/>
      <c r="MA25" s="830"/>
      <c r="MB25" s="830"/>
      <c r="MC25" s="830"/>
      <c r="MD25" s="830"/>
      <c r="ME25" s="830"/>
      <c r="MF25" s="830"/>
      <c r="MG25" s="830"/>
      <c r="MH25" s="830"/>
      <c r="MI25" s="830"/>
      <c r="MJ25" s="830"/>
      <c r="MK25" s="830"/>
      <c r="ML25" s="830"/>
      <c r="MM25" s="830"/>
      <c r="MN25" s="830"/>
      <c r="MO25" s="830"/>
      <c r="MP25" s="830"/>
      <c r="MQ25" s="830"/>
      <c r="MR25" s="830"/>
      <c r="MS25" s="830"/>
      <c r="MT25" s="830"/>
      <c r="MU25" s="830"/>
      <c r="MV25" s="830"/>
      <c r="MW25" s="830"/>
      <c r="MX25" s="830"/>
      <c r="MY25" s="830"/>
      <c r="MZ25" s="830"/>
      <c r="NA25" s="830"/>
      <c r="NB25" s="830"/>
      <c r="NC25" s="830"/>
      <c r="ND25" s="830"/>
      <c r="NE25" s="830"/>
      <c r="NF25" s="830"/>
      <c r="NG25" s="830"/>
      <c r="NH25" s="830"/>
      <c r="NI25" s="830"/>
      <c r="NJ25" s="830"/>
      <c r="NK25" s="830"/>
      <c r="NL25" s="830"/>
      <c r="NM25" s="830"/>
      <c r="NN25" s="830"/>
      <c r="NO25" s="830"/>
      <c r="NP25" s="830"/>
      <c r="NQ25" s="830"/>
      <c r="NR25" s="830"/>
      <c r="NS25" s="830"/>
      <c r="NT25" s="830"/>
      <c r="NU25" s="830"/>
      <c r="NV25" s="830"/>
      <c r="NW25" s="830"/>
      <c r="NX25" s="830"/>
      <c r="NY25" s="830"/>
      <c r="NZ25" s="830"/>
      <c r="OA25" s="830"/>
      <c r="OB25" s="830"/>
      <c r="OC25" s="830"/>
      <c r="OD25" s="830"/>
      <c r="OE25" s="830"/>
      <c r="OF25" s="830"/>
      <c r="OG25" s="830"/>
      <c r="OH25" s="830"/>
      <c r="OI25" s="830"/>
      <c r="OJ25" s="830"/>
      <c r="OK25" s="830"/>
      <c r="OL25" s="830"/>
      <c r="OM25" s="830"/>
      <c r="ON25" s="830"/>
      <c r="OO25" s="830"/>
      <c r="OP25" s="830"/>
      <c r="OQ25" s="830"/>
      <c r="OR25" s="830"/>
      <c r="OS25" s="830"/>
      <c r="OT25" s="830"/>
      <c r="OU25" s="830"/>
      <c r="OV25" s="830"/>
      <c r="OW25" s="830"/>
      <c r="OX25" s="830"/>
      <c r="OY25" s="830"/>
      <c r="OZ25" s="830"/>
      <c r="PA25" s="830"/>
      <c r="PB25" s="830"/>
      <c r="PC25" s="830"/>
      <c r="PD25" s="830"/>
      <c r="PE25" s="830"/>
      <c r="PF25" s="830"/>
      <c r="PG25" s="830"/>
      <c r="PH25" s="830"/>
      <c r="PI25" s="830"/>
      <c r="PJ25" s="830"/>
      <c r="PK25" s="830"/>
      <c r="PL25" s="830"/>
      <c r="PM25" s="830"/>
      <c r="PN25" s="830"/>
      <c r="PO25" s="830"/>
      <c r="PP25" s="830"/>
      <c r="PQ25" s="830"/>
      <c r="PR25" s="830"/>
      <c r="PS25" s="830"/>
      <c r="PT25" s="830"/>
      <c r="PU25" s="830"/>
      <c r="PV25" s="830"/>
      <c r="PW25" s="830"/>
      <c r="PX25" s="830"/>
      <c r="PY25" s="830"/>
      <c r="PZ25" s="830"/>
      <c r="QA25" s="830"/>
      <c r="QB25" s="830"/>
      <c r="QC25" s="830"/>
      <c r="QD25" s="830"/>
      <c r="QE25" s="830"/>
      <c r="QF25" s="830"/>
      <c r="QG25" s="830"/>
      <c r="QH25" s="830"/>
      <c r="QI25" s="830"/>
      <c r="QJ25" s="830"/>
      <c r="QK25" s="830"/>
      <c r="QL25" s="830"/>
      <c r="QM25" s="830"/>
      <c r="QN25" s="830"/>
      <c r="QO25" s="830"/>
      <c r="QP25" s="830"/>
      <c r="QQ25" s="830"/>
      <c r="QR25" s="830"/>
      <c r="QS25" s="830"/>
      <c r="QT25" s="830"/>
      <c r="QU25" s="830"/>
      <c r="QV25" s="830"/>
      <c r="QW25" s="830"/>
      <c r="QX25" s="830"/>
      <c r="QY25" s="830"/>
      <c r="QZ25" s="830"/>
      <c r="RA25" s="830"/>
      <c r="RB25" s="830"/>
      <c r="RC25" s="830"/>
      <c r="RD25" s="830"/>
      <c r="RE25" s="830"/>
      <c r="RF25" s="830"/>
      <c r="RG25" s="830"/>
      <c r="RH25" s="830"/>
      <c r="RI25" s="830"/>
      <c r="RJ25" s="830"/>
      <c r="RK25" s="830"/>
      <c r="RL25" s="830"/>
      <c r="RM25" s="830"/>
      <c r="RN25" s="830"/>
      <c r="RO25" s="830"/>
      <c r="RP25" s="830"/>
      <c r="RQ25" s="830"/>
      <c r="RR25" s="830"/>
      <c r="RS25" s="830"/>
      <c r="RT25" s="830"/>
      <c r="RU25" s="830"/>
      <c r="RV25" s="830"/>
      <c r="RW25" s="830"/>
      <c r="RX25" s="830"/>
      <c r="RY25" s="830"/>
      <c r="RZ25" s="830"/>
      <c r="SA25" s="830"/>
      <c r="SB25" s="830"/>
      <c r="SC25" s="830"/>
      <c r="SD25" s="830"/>
      <c r="SE25" s="830"/>
      <c r="SF25" s="830"/>
      <c r="SG25" s="830"/>
      <c r="SH25" s="830"/>
      <c r="SI25" s="830"/>
      <c r="SJ25" s="830"/>
      <c r="SK25" s="830"/>
      <c r="SL25" s="830"/>
      <c r="SM25" s="830"/>
      <c r="SN25" s="830"/>
      <c r="SO25" s="830"/>
      <c r="SP25" s="830"/>
      <c r="SQ25" s="830"/>
      <c r="SR25" s="830"/>
      <c r="SS25" s="830"/>
      <c r="ST25" s="830"/>
      <c r="SU25" s="830"/>
      <c r="SV25" s="830"/>
      <c r="SW25" s="830"/>
      <c r="SX25" s="830"/>
      <c r="SY25" s="830"/>
      <c r="SZ25" s="830"/>
      <c r="TA25" s="830"/>
      <c r="TB25" s="830"/>
      <c r="TC25" s="830"/>
      <c r="TD25" s="830"/>
      <c r="TE25" s="830"/>
      <c r="TF25" s="830"/>
      <c r="TG25" s="830"/>
      <c r="TH25" s="830"/>
      <c r="TI25" s="830"/>
      <c r="TJ25" s="830"/>
      <c r="TK25" s="830"/>
      <c r="TL25" s="830"/>
      <c r="TM25" s="830"/>
      <c r="TN25" s="830"/>
      <c r="TO25" s="830"/>
      <c r="TP25" s="830"/>
      <c r="TQ25" s="830"/>
      <c r="TR25" s="830"/>
      <c r="TS25" s="830"/>
      <c r="TT25" s="830"/>
      <c r="TU25" s="830"/>
      <c r="TV25" s="830"/>
      <c r="TW25" s="830"/>
      <c r="TX25" s="830"/>
      <c r="TY25" s="830"/>
      <c r="TZ25" s="830"/>
      <c r="UA25" s="830"/>
      <c r="UB25" s="830"/>
      <c r="UC25" s="830"/>
      <c r="UD25" s="830"/>
      <c r="UE25" s="830"/>
      <c r="UF25" s="830"/>
      <c r="UG25" s="830"/>
      <c r="UH25" s="830"/>
      <c r="UI25" s="830"/>
      <c r="UJ25" s="830"/>
      <c r="UK25" s="830"/>
      <c r="UL25" s="830"/>
      <c r="UM25" s="830"/>
      <c r="UN25" s="830"/>
      <c r="UO25" s="830"/>
      <c r="UP25" s="830"/>
      <c r="UQ25" s="830"/>
      <c r="UR25" s="830"/>
      <c r="US25" s="830"/>
      <c r="UT25" s="830"/>
      <c r="UU25" s="830"/>
      <c r="UV25" s="830"/>
      <c r="UW25" s="830"/>
      <c r="UX25" s="830"/>
      <c r="UY25" s="830"/>
      <c r="UZ25" s="830"/>
      <c r="VA25" s="830"/>
      <c r="VB25" s="830"/>
      <c r="VC25" s="830"/>
      <c r="VD25" s="830"/>
      <c r="VE25" s="830"/>
      <c r="VF25" s="830"/>
      <c r="VG25" s="830"/>
      <c r="VH25" s="830"/>
      <c r="VI25" s="830"/>
      <c r="VJ25" s="830"/>
      <c r="VK25" s="830"/>
      <c r="VL25" s="830"/>
      <c r="VM25" s="830"/>
      <c r="VN25" s="830"/>
      <c r="VO25" s="830"/>
      <c r="VP25" s="830"/>
      <c r="VQ25" s="830"/>
      <c r="VR25" s="830"/>
      <c r="VS25" s="830"/>
      <c r="VT25" s="830"/>
      <c r="VU25" s="830"/>
      <c r="VV25" s="830"/>
      <c r="VW25" s="830"/>
      <c r="VX25" s="830"/>
      <c r="VY25" s="830"/>
      <c r="VZ25" s="830"/>
      <c r="WA25" s="830"/>
      <c r="WB25" s="830"/>
      <c r="WC25" s="830"/>
      <c r="WD25" s="830"/>
      <c r="WE25" s="830"/>
      <c r="WF25" s="830"/>
      <c r="WG25" s="830"/>
      <c r="WH25" s="830"/>
      <c r="WI25" s="830"/>
      <c r="WJ25" s="830"/>
      <c r="WK25" s="830"/>
      <c r="WL25" s="830"/>
      <c r="WM25" s="830"/>
      <c r="WN25" s="830"/>
      <c r="WO25" s="830"/>
      <c r="WP25" s="830"/>
      <c r="WQ25" s="830"/>
      <c r="WR25" s="830"/>
      <c r="WS25" s="830"/>
      <c r="WT25" s="830"/>
      <c r="WU25" s="830"/>
      <c r="WV25" s="830"/>
      <c r="WW25" s="830"/>
      <c r="WX25" s="830"/>
      <c r="WY25" s="830"/>
      <c r="WZ25" s="830"/>
      <c r="XA25" s="830"/>
      <c r="XB25" s="830"/>
      <c r="XC25" s="830"/>
      <c r="XD25" s="830"/>
      <c r="XE25" s="830"/>
      <c r="XF25" s="830"/>
      <c r="XG25" s="830"/>
      <c r="XH25" s="830"/>
      <c r="XI25" s="830"/>
      <c r="XJ25" s="830"/>
      <c r="XK25" s="830"/>
      <c r="XL25" s="830"/>
      <c r="XM25" s="830"/>
      <c r="XN25" s="830"/>
      <c r="XO25" s="830"/>
      <c r="XP25" s="830"/>
      <c r="XQ25" s="830"/>
      <c r="XR25" s="830"/>
      <c r="XS25" s="830"/>
      <c r="XT25" s="830"/>
      <c r="XU25" s="830"/>
      <c r="XV25" s="830"/>
      <c r="XW25" s="830"/>
      <c r="XX25" s="830"/>
      <c r="XY25" s="830"/>
      <c r="XZ25" s="830"/>
      <c r="YA25" s="830"/>
      <c r="YB25" s="830"/>
      <c r="YC25" s="830"/>
      <c r="YD25" s="830"/>
      <c r="YE25" s="830"/>
      <c r="YF25" s="830"/>
      <c r="YG25" s="830"/>
      <c r="YH25" s="830"/>
      <c r="YI25" s="830"/>
      <c r="YJ25" s="830"/>
      <c r="YK25" s="830"/>
      <c r="YL25" s="830"/>
      <c r="YM25" s="830"/>
      <c r="YN25" s="830"/>
      <c r="YO25" s="830"/>
      <c r="YP25" s="830"/>
      <c r="YQ25" s="830"/>
      <c r="YR25" s="830"/>
      <c r="YS25" s="830"/>
      <c r="YT25" s="830"/>
      <c r="YU25" s="830"/>
      <c r="YV25" s="830"/>
      <c r="YW25" s="830"/>
      <c r="YX25" s="830"/>
      <c r="YY25" s="830"/>
      <c r="YZ25" s="830"/>
      <c r="ZA25" s="830"/>
      <c r="ZB25" s="830"/>
      <c r="ZC25" s="830"/>
      <c r="ZD25" s="830"/>
      <c r="ZE25" s="830"/>
      <c r="ZF25" s="830"/>
      <c r="ZG25" s="830"/>
      <c r="ZH25" s="830"/>
      <c r="ZI25" s="830"/>
      <c r="ZJ25" s="830"/>
      <c r="ZK25" s="830"/>
      <c r="ZL25" s="830"/>
      <c r="ZM25" s="830"/>
      <c r="ZN25" s="830"/>
      <c r="ZO25" s="830"/>
      <c r="ZP25" s="830"/>
      <c r="ZQ25" s="830"/>
      <c r="ZR25" s="830"/>
      <c r="ZS25" s="830"/>
      <c r="ZT25" s="830"/>
      <c r="ZU25" s="830"/>
      <c r="ZV25" s="830"/>
      <c r="ZW25" s="830"/>
      <c r="ZX25" s="830"/>
      <c r="ZY25" s="830"/>
      <c r="ZZ25" s="830"/>
      <c r="AAA25" s="830"/>
      <c r="AAB25" s="830"/>
      <c r="AAC25" s="830"/>
      <c r="AAD25" s="830"/>
      <c r="AAE25" s="830"/>
      <c r="AAF25" s="830"/>
      <c r="AAG25" s="830"/>
      <c r="AAH25" s="830"/>
      <c r="AAI25" s="830"/>
      <c r="AAJ25" s="830"/>
      <c r="AAK25" s="830"/>
      <c r="AAL25" s="830"/>
      <c r="AAM25" s="830"/>
      <c r="AAN25" s="830"/>
      <c r="AAO25" s="830"/>
      <c r="AAP25" s="830"/>
      <c r="AAQ25" s="830"/>
      <c r="AAR25" s="830"/>
      <c r="AAS25" s="830"/>
      <c r="AAT25" s="830"/>
      <c r="AAU25" s="830"/>
      <c r="AAV25" s="830"/>
      <c r="AAW25" s="830"/>
      <c r="AAX25" s="830"/>
      <c r="AAY25" s="830"/>
      <c r="AAZ25" s="830"/>
      <c r="ABA25" s="830"/>
      <c r="ABB25" s="830"/>
      <c r="ABC25" s="830"/>
      <c r="ABD25" s="830"/>
      <c r="ABE25" s="830"/>
      <c r="ABF25" s="830"/>
      <c r="ABG25" s="830"/>
      <c r="ABH25" s="830"/>
      <c r="ABI25" s="830"/>
      <c r="ABJ25" s="830"/>
      <c r="ABK25" s="830"/>
      <c r="ABL25" s="830"/>
      <c r="ABM25" s="830"/>
      <c r="ABN25" s="830"/>
      <c r="ABO25" s="830"/>
      <c r="ABP25" s="830"/>
      <c r="ABQ25" s="830"/>
      <c r="ABR25" s="830"/>
      <c r="ABS25" s="830"/>
      <c r="ABT25" s="830"/>
      <c r="ABU25" s="830"/>
      <c r="ABV25" s="830"/>
      <c r="ABW25" s="830"/>
      <c r="ABX25" s="830"/>
      <c r="ABY25" s="830"/>
      <c r="ABZ25" s="830"/>
      <c r="ACA25" s="830"/>
      <c r="ACB25" s="830"/>
      <c r="ACC25" s="830"/>
      <c r="ACD25" s="830"/>
      <c r="ACE25" s="830"/>
      <c r="ACF25" s="830"/>
      <c r="ACG25" s="830"/>
      <c r="ACH25" s="830"/>
      <c r="ACI25" s="830"/>
      <c r="ACJ25" s="830"/>
      <c r="ACK25" s="830"/>
      <c r="ACL25" s="830"/>
      <c r="ACM25" s="830"/>
      <c r="ACN25" s="830"/>
      <c r="ACO25" s="830"/>
      <c r="ACP25" s="830"/>
      <c r="ACQ25" s="830"/>
      <c r="ACR25" s="830"/>
      <c r="ACS25" s="830"/>
      <c r="ACT25" s="830"/>
      <c r="ACU25" s="830"/>
      <c r="ACV25" s="830"/>
      <c r="ACW25" s="830"/>
      <c r="ACX25" s="830"/>
      <c r="ACY25" s="830"/>
      <c r="ACZ25" s="830"/>
      <c r="ADA25" s="830"/>
      <c r="ADB25" s="830"/>
      <c r="ADC25" s="830"/>
      <c r="ADD25" s="830"/>
      <c r="ADE25" s="830"/>
      <c r="ADF25" s="830"/>
      <c r="ADG25" s="830"/>
      <c r="ADH25" s="830"/>
      <c r="ADI25" s="830"/>
      <c r="ADJ25" s="830"/>
      <c r="ADK25" s="830"/>
      <c r="ADL25" s="830"/>
      <c r="ADM25" s="830"/>
      <c r="ADN25" s="830"/>
      <c r="ADO25" s="830"/>
      <c r="ADP25" s="830"/>
      <c r="ADQ25" s="830"/>
      <c r="ADR25" s="830"/>
      <c r="ADS25" s="830"/>
      <c r="ADT25" s="830"/>
      <c r="ADU25" s="830"/>
      <c r="ADV25" s="830"/>
      <c r="ADW25" s="830"/>
      <c r="ADX25" s="830"/>
      <c r="ADY25" s="830"/>
      <c r="ADZ25" s="830"/>
      <c r="AEA25" s="830"/>
      <c r="AEB25" s="830"/>
      <c r="AEC25" s="830"/>
      <c r="AED25" s="830"/>
      <c r="AEE25" s="830"/>
      <c r="AEF25" s="830"/>
      <c r="AEG25" s="830"/>
      <c r="AEH25" s="830"/>
      <c r="AEI25" s="830"/>
      <c r="AEJ25" s="830"/>
      <c r="AEK25" s="830"/>
      <c r="AEL25" s="830"/>
      <c r="AEM25" s="830"/>
      <c r="AEN25" s="830"/>
      <c r="AEO25" s="830"/>
      <c r="AEP25" s="830"/>
      <c r="AEQ25" s="830"/>
      <c r="AER25" s="830"/>
      <c r="AES25" s="830"/>
      <c r="AET25" s="830"/>
      <c r="AEU25" s="830"/>
      <c r="AEV25" s="830"/>
      <c r="AEW25" s="830"/>
      <c r="AEX25" s="830"/>
      <c r="AEY25" s="830"/>
      <c r="AEZ25" s="830"/>
      <c r="AFA25" s="830"/>
      <c r="AFB25" s="830"/>
      <c r="AFC25" s="830"/>
      <c r="AFD25" s="830"/>
      <c r="AFE25" s="830"/>
      <c r="AFF25" s="830"/>
      <c r="AFG25" s="830"/>
      <c r="AFH25" s="830"/>
      <c r="AFI25" s="830"/>
      <c r="AFJ25" s="830"/>
      <c r="AFK25" s="830"/>
      <c r="AFL25" s="830"/>
      <c r="AFM25" s="830"/>
      <c r="AFN25" s="830"/>
      <c r="AFO25" s="830"/>
      <c r="AFP25" s="830"/>
      <c r="AFQ25" s="830"/>
      <c r="AFR25" s="830"/>
      <c r="AFS25" s="830"/>
      <c r="AFT25" s="830"/>
      <c r="AFU25" s="830"/>
      <c r="AFV25" s="830"/>
      <c r="AFW25" s="830"/>
      <c r="AFX25" s="830"/>
      <c r="AFY25" s="830"/>
      <c r="AFZ25" s="830"/>
      <c r="AGA25" s="830"/>
      <c r="AGB25" s="830"/>
      <c r="AGC25" s="830"/>
      <c r="AGD25" s="830"/>
      <c r="AGE25" s="830"/>
      <c r="AGF25" s="830"/>
      <c r="AGG25" s="830"/>
      <c r="AGH25" s="830"/>
      <c r="AGI25" s="830"/>
      <c r="AGJ25" s="830"/>
      <c r="AGK25" s="830"/>
      <c r="AGL25" s="830"/>
      <c r="AGM25" s="830"/>
      <c r="AGN25" s="830"/>
      <c r="AGO25" s="830"/>
      <c r="AGP25" s="830"/>
      <c r="AGQ25" s="830"/>
      <c r="AGR25" s="830"/>
      <c r="AGS25" s="830"/>
      <c r="AGT25" s="830"/>
      <c r="AGU25" s="830"/>
      <c r="AGV25" s="830"/>
      <c r="AGW25" s="830"/>
      <c r="AGX25" s="830"/>
      <c r="AGY25" s="830"/>
      <c r="AGZ25" s="830"/>
      <c r="AHA25" s="830"/>
      <c r="AHB25" s="830"/>
      <c r="AHC25" s="830"/>
      <c r="AHD25" s="830"/>
      <c r="AHE25" s="830"/>
      <c r="AHF25" s="830"/>
      <c r="AHG25" s="830"/>
      <c r="AHH25" s="830"/>
      <c r="AHI25" s="830"/>
      <c r="AHJ25" s="830"/>
      <c r="AHK25" s="830"/>
      <c r="AHL25" s="830"/>
      <c r="AHM25" s="830"/>
      <c r="AHN25" s="830"/>
      <c r="AHO25" s="830"/>
      <c r="AHP25" s="830"/>
      <c r="AHQ25" s="830"/>
      <c r="AHR25" s="830"/>
      <c r="AHS25" s="830"/>
      <c r="AHT25" s="830"/>
      <c r="AHU25" s="830"/>
      <c r="AHV25" s="830"/>
      <c r="AHW25" s="830"/>
      <c r="AHX25" s="830"/>
      <c r="AHY25" s="830"/>
      <c r="AHZ25" s="830"/>
      <c r="AIA25" s="830"/>
      <c r="AIB25" s="830"/>
      <c r="AIC25" s="830"/>
      <c r="AID25" s="830"/>
      <c r="AIE25" s="830"/>
      <c r="AIF25" s="830"/>
      <c r="AIG25" s="830"/>
      <c r="AIH25" s="830"/>
      <c r="AII25" s="830"/>
      <c r="AIJ25" s="830"/>
      <c r="AIK25" s="830"/>
      <c r="AIL25" s="830"/>
      <c r="AIM25" s="830"/>
      <c r="AIN25" s="830"/>
      <c r="AIO25" s="830"/>
      <c r="AIP25" s="830"/>
      <c r="AIQ25" s="830"/>
      <c r="AIR25" s="830"/>
      <c r="AIS25" s="830"/>
      <c r="AIT25" s="830"/>
      <c r="AIU25" s="830"/>
      <c r="AIV25" s="830"/>
      <c r="AIW25" s="830"/>
      <c r="AIX25" s="830"/>
      <c r="AIY25" s="830"/>
      <c r="AIZ25" s="830"/>
      <c r="AJA25" s="830"/>
      <c r="AJB25" s="830"/>
      <c r="AJC25" s="830"/>
      <c r="AJD25" s="830"/>
      <c r="AJE25" s="830"/>
      <c r="AJF25" s="830"/>
      <c r="AJG25" s="830"/>
      <c r="AJH25" s="830"/>
      <c r="AJI25" s="830"/>
      <c r="AJJ25" s="830"/>
      <c r="AJK25" s="830"/>
      <c r="AJL25" s="830"/>
      <c r="AJM25" s="830"/>
      <c r="AJN25" s="830"/>
      <c r="AJO25" s="830"/>
      <c r="AJP25" s="830"/>
      <c r="AJQ25" s="830"/>
      <c r="AJR25" s="830"/>
      <c r="AJS25" s="830"/>
      <c r="AJT25" s="830"/>
      <c r="AJU25" s="830"/>
      <c r="AJV25" s="830"/>
      <c r="AJW25" s="830"/>
      <c r="AJX25" s="830"/>
      <c r="AJY25" s="830"/>
      <c r="AJZ25" s="830"/>
      <c r="AKA25" s="830"/>
      <c r="AKB25" s="830"/>
      <c r="AKC25" s="830"/>
      <c r="AKD25" s="830"/>
      <c r="AKE25" s="830"/>
      <c r="AKF25" s="830"/>
      <c r="AKG25" s="830"/>
      <c r="AKH25" s="830"/>
      <c r="AKI25" s="830"/>
      <c r="AKJ25" s="830"/>
      <c r="AKK25" s="830"/>
      <c r="AKL25" s="830"/>
      <c r="AKM25" s="830"/>
      <c r="AKN25" s="830"/>
      <c r="AKO25" s="830"/>
      <c r="AKP25" s="830"/>
      <c r="AKQ25" s="830"/>
      <c r="AKR25" s="830"/>
      <c r="AKS25" s="830"/>
      <c r="AKT25" s="830"/>
      <c r="AKU25" s="830"/>
      <c r="AKV25" s="830"/>
      <c r="AKW25" s="830"/>
      <c r="AKX25" s="830"/>
      <c r="AKY25" s="830"/>
      <c r="AKZ25" s="830"/>
      <c r="ALA25" s="830"/>
      <c r="ALB25" s="830"/>
      <c r="ALC25" s="830"/>
      <c r="ALD25" s="830"/>
      <c r="ALE25" s="830"/>
      <c r="ALF25" s="830"/>
      <c r="ALG25" s="830"/>
      <c r="ALH25" s="830"/>
      <c r="ALI25" s="830"/>
      <c r="ALJ25" s="830"/>
      <c r="ALK25" s="830"/>
      <c r="ALL25" s="830"/>
      <c r="ALM25" s="830"/>
      <c r="ALN25" s="830"/>
      <c r="ALO25" s="830"/>
      <c r="ALP25" s="830"/>
      <c r="ALQ25" s="830"/>
      <c r="ALR25" s="830"/>
      <c r="ALS25" s="830"/>
      <c r="ALT25" s="830"/>
      <c r="ALU25" s="830"/>
      <c r="ALV25" s="830"/>
      <c r="ALW25" s="830"/>
      <c r="ALX25" s="830"/>
      <c r="ALY25" s="830"/>
      <c r="ALZ25" s="830"/>
      <c r="AMA25" s="830"/>
      <c r="AMB25" s="830"/>
      <c r="AMC25" s="830"/>
      <c r="AMD25" s="830"/>
      <c r="AME25" s="830"/>
      <c r="AMF25" s="830"/>
      <c r="AMG25" s="830"/>
      <c r="AMH25" s="830"/>
      <c r="AMI25" s="830"/>
      <c r="AMJ25" s="830"/>
      <c r="AMK25" s="830"/>
      <c r="AML25" s="830"/>
      <c r="AMM25" s="830"/>
      <c r="AMN25" s="830"/>
      <c r="AMO25" s="830"/>
      <c r="AMP25" s="830"/>
      <c r="AMQ25" s="830"/>
      <c r="AMR25" s="830"/>
      <c r="AMS25" s="830"/>
      <c r="AMT25" s="830"/>
      <c r="AMU25" s="830"/>
      <c r="AMV25" s="830"/>
      <c r="AMW25" s="830"/>
      <c r="AMX25" s="830"/>
      <c r="AMY25" s="830"/>
      <c r="AMZ25" s="830"/>
      <c r="ANA25" s="830"/>
      <c r="ANB25" s="830"/>
      <c r="ANC25" s="830"/>
      <c r="AND25" s="830"/>
      <c r="ANE25" s="830"/>
      <c r="ANF25" s="830"/>
      <c r="ANG25" s="830"/>
      <c r="ANH25" s="830"/>
      <c r="ANI25" s="830"/>
      <c r="ANJ25" s="830"/>
      <c r="ANK25" s="830"/>
      <c r="ANL25" s="830"/>
      <c r="ANM25" s="830"/>
      <c r="ANN25" s="830"/>
      <c r="ANO25" s="830"/>
      <c r="ANP25" s="830"/>
      <c r="ANQ25" s="830"/>
      <c r="ANR25" s="830"/>
      <c r="ANS25" s="830"/>
      <c r="ANT25" s="830"/>
      <c r="ANU25" s="830"/>
      <c r="ANV25" s="830"/>
      <c r="ANW25" s="830"/>
      <c r="ANX25" s="830"/>
      <c r="ANY25" s="830"/>
      <c r="ANZ25" s="830"/>
      <c r="AOA25" s="830"/>
      <c r="AOB25" s="830"/>
      <c r="AOC25" s="830"/>
      <c r="AOD25" s="830"/>
      <c r="AOE25" s="830"/>
      <c r="AOF25" s="830"/>
      <c r="AOG25" s="830"/>
      <c r="AOH25" s="830"/>
      <c r="AOI25" s="830"/>
      <c r="AOJ25" s="830"/>
      <c r="AOK25" s="830"/>
      <c r="AOL25" s="830"/>
      <c r="AOM25" s="830"/>
      <c r="AON25" s="830"/>
      <c r="AOO25" s="830"/>
      <c r="AOP25" s="830"/>
      <c r="AOQ25" s="830"/>
      <c r="AOR25" s="830"/>
      <c r="AOS25" s="830"/>
      <c r="AOT25" s="830"/>
      <c r="AOU25" s="830"/>
      <c r="AOV25" s="830"/>
      <c r="AOW25" s="830"/>
      <c r="AOX25" s="830"/>
      <c r="AOY25" s="830"/>
      <c r="AOZ25" s="830"/>
      <c r="APA25" s="830"/>
      <c r="APB25" s="830"/>
      <c r="APC25" s="830"/>
      <c r="APD25" s="830"/>
      <c r="APE25" s="830"/>
      <c r="APF25" s="830"/>
      <c r="APG25" s="830"/>
      <c r="APH25" s="830"/>
      <c r="API25" s="830"/>
      <c r="APJ25" s="830"/>
      <c r="APK25" s="830"/>
      <c r="APL25" s="830"/>
      <c r="APM25" s="830"/>
      <c r="APN25" s="830"/>
      <c r="APO25" s="830"/>
      <c r="APP25" s="830"/>
      <c r="APQ25" s="830"/>
      <c r="APR25" s="830"/>
      <c r="APS25" s="830"/>
      <c r="APT25" s="830"/>
      <c r="APU25" s="830"/>
      <c r="APV25" s="830"/>
      <c r="APW25" s="830"/>
      <c r="APX25" s="830"/>
      <c r="APY25" s="830"/>
      <c r="APZ25" s="830"/>
      <c r="AQA25" s="830"/>
      <c r="AQB25" s="830"/>
      <c r="AQC25" s="830"/>
      <c r="AQD25" s="830"/>
      <c r="AQE25" s="830"/>
      <c r="AQF25" s="830"/>
      <c r="AQG25" s="830"/>
      <c r="AQH25" s="830"/>
      <c r="AQI25" s="830"/>
      <c r="AQJ25" s="830"/>
      <c r="AQK25" s="830"/>
      <c r="AQL25" s="830"/>
      <c r="AQM25" s="830"/>
      <c r="AQN25" s="830"/>
      <c r="AQO25" s="830"/>
      <c r="AQP25" s="830"/>
      <c r="AQQ25" s="830"/>
      <c r="AQR25" s="830"/>
      <c r="AQS25" s="830"/>
      <c r="AQT25" s="830"/>
      <c r="AQU25" s="830"/>
      <c r="AQV25" s="830"/>
      <c r="AQW25" s="830"/>
      <c r="AQX25" s="830"/>
      <c r="AQY25" s="830"/>
      <c r="AQZ25" s="830"/>
      <c r="ARA25" s="830"/>
      <c r="ARB25" s="830"/>
      <c r="ARC25" s="830"/>
      <c r="ARD25" s="830"/>
      <c r="ARE25" s="830"/>
      <c r="ARF25" s="830"/>
      <c r="ARG25" s="830"/>
      <c r="ARH25" s="830"/>
      <c r="ARI25" s="830"/>
      <c r="ARJ25" s="830"/>
      <c r="ARK25" s="830"/>
      <c r="ARL25" s="830"/>
      <c r="ARM25" s="830"/>
      <c r="ARN25" s="830"/>
      <c r="ARO25" s="830"/>
      <c r="ARP25" s="830"/>
      <c r="ARQ25" s="830"/>
      <c r="ARR25" s="830"/>
      <c r="ARS25" s="830"/>
      <c r="ART25" s="830"/>
      <c r="ARU25" s="830"/>
      <c r="ARV25" s="830"/>
      <c r="ARW25" s="830"/>
      <c r="ARX25" s="830"/>
      <c r="ARY25" s="830"/>
      <c r="ARZ25" s="830"/>
      <c r="ASA25" s="830"/>
      <c r="ASB25" s="830"/>
      <c r="ASC25" s="830"/>
      <c r="ASD25" s="830"/>
      <c r="ASE25" s="830"/>
      <c r="ASF25" s="830"/>
      <c r="ASG25" s="830"/>
      <c r="ASH25" s="830"/>
      <c r="ASI25" s="830"/>
      <c r="ASJ25" s="830"/>
      <c r="ASK25" s="830"/>
      <c r="ASL25" s="830"/>
      <c r="ASM25" s="830"/>
      <c r="ASN25" s="830"/>
      <c r="ASO25" s="830"/>
      <c r="ASP25" s="830"/>
      <c r="ASQ25" s="830"/>
      <c r="ASR25" s="830"/>
      <c r="ASS25" s="830"/>
      <c r="AST25" s="830"/>
      <c r="ASU25" s="830"/>
      <c r="ASV25" s="830"/>
      <c r="ASW25" s="830"/>
      <c r="ASX25" s="830"/>
      <c r="ASY25" s="830"/>
      <c r="ASZ25" s="830"/>
      <c r="ATA25" s="830"/>
      <c r="ATB25" s="830"/>
      <c r="ATC25" s="830"/>
      <c r="ATD25" s="830"/>
      <c r="ATE25" s="830"/>
      <c r="ATF25" s="830"/>
      <c r="ATG25" s="830"/>
      <c r="ATH25" s="830"/>
      <c r="ATI25" s="830"/>
      <c r="ATJ25" s="830"/>
      <c r="ATK25" s="830"/>
      <c r="ATL25" s="830"/>
      <c r="ATM25" s="830"/>
      <c r="ATN25" s="830"/>
      <c r="ATO25" s="830"/>
      <c r="ATP25" s="830"/>
      <c r="ATQ25" s="830"/>
      <c r="ATR25" s="830"/>
      <c r="ATS25" s="830"/>
      <c r="ATT25" s="830"/>
      <c r="ATU25" s="830"/>
      <c r="ATV25" s="830"/>
      <c r="ATW25" s="830"/>
      <c r="ATX25" s="830"/>
      <c r="ATY25" s="830"/>
      <c r="ATZ25" s="830"/>
      <c r="AUA25" s="830"/>
      <c r="AUB25" s="830"/>
      <c r="AUC25" s="830"/>
      <c r="AUD25" s="830"/>
      <c r="AUE25" s="830"/>
      <c r="AUF25" s="830"/>
      <c r="AUG25" s="830"/>
      <c r="AUH25" s="830"/>
      <c r="AUI25" s="830"/>
      <c r="AUJ25" s="830"/>
      <c r="AUK25" s="830"/>
      <c r="AUL25" s="830"/>
      <c r="AUM25" s="830"/>
      <c r="AUN25" s="830"/>
      <c r="AUO25" s="830"/>
      <c r="AUP25" s="830"/>
      <c r="AUQ25" s="830"/>
      <c r="AUR25" s="830"/>
      <c r="AUS25" s="830"/>
      <c r="AUT25" s="830"/>
      <c r="AUU25" s="830"/>
      <c r="AUV25" s="830"/>
      <c r="AUW25" s="830"/>
      <c r="AUX25" s="830"/>
      <c r="AUY25" s="830"/>
      <c r="AUZ25" s="830"/>
      <c r="AVA25" s="830"/>
      <c r="AVB25" s="830"/>
      <c r="AVC25" s="830"/>
      <c r="AVD25" s="830"/>
      <c r="AVE25" s="830"/>
      <c r="AVF25" s="830"/>
      <c r="AVG25" s="830"/>
      <c r="AVH25" s="830"/>
      <c r="AVI25" s="830"/>
      <c r="AVJ25" s="830"/>
      <c r="AVK25" s="830"/>
      <c r="AVL25" s="830"/>
      <c r="AVM25" s="830"/>
      <c r="AVN25" s="830"/>
      <c r="AVO25" s="830"/>
      <c r="AVP25" s="830"/>
      <c r="AVQ25" s="830"/>
      <c r="AVR25" s="830"/>
      <c r="AVS25" s="830"/>
      <c r="AVT25" s="830"/>
      <c r="AVU25" s="830"/>
      <c r="AVV25" s="830"/>
      <c r="AVW25" s="830"/>
      <c r="AVX25" s="830"/>
      <c r="AVY25" s="830"/>
      <c r="AVZ25" s="830"/>
      <c r="AWA25" s="830"/>
      <c r="AWB25" s="830"/>
      <c r="AWC25" s="830"/>
      <c r="AWD25" s="830"/>
      <c r="AWE25" s="830"/>
      <c r="AWF25" s="830"/>
      <c r="AWG25" s="830"/>
      <c r="AWH25" s="830"/>
      <c r="AWI25" s="830"/>
      <c r="AWJ25" s="830"/>
      <c r="AWK25" s="830"/>
      <c r="AWL25" s="830"/>
      <c r="AWM25" s="830"/>
      <c r="AWN25" s="830"/>
      <c r="AWO25" s="830"/>
      <c r="AWP25" s="830"/>
      <c r="AWQ25" s="830"/>
      <c r="AWR25" s="830"/>
      <c r="AWS25" s="830"/>
      <c r="AWT25" s="830"/>
      <c r="AWU25" s="830"/>
      <c r="AWV25" s="830"/>
      <c r="AWW25" s="830"/>
      <c r="AWX25" s="830"/>
      <c r="AWY25" s="830"/>
      <c r="AWZ25" s="830"/>
      <c r="AXA25" s="830"/>
      <c r="AXB25" s="830"/>
      <c r="AXC25" s="830"/>
      <c r="AXD25" s="830"/>
      <c r="AXE25" s="830"/>
      <c r="AXF25" s="830"/>
      <c r="AXG25" s="830"/>
      <c r="AXH25" s="830"/>
      <c r="AXI25" s="830"/>
      <c r="AXJ25" s="830"/>
      <c r="AXK25" s="830"/>
      <c r="AXL25" s="830"/>
      <c r="AXM25" s="830"/>
      <c r="AXN25" s="830"/>
      <c r="AXO25" s="830"/>
      <c r="AXP25" s="830"/>
      <c r="AXQ25" s="830"/>
      <c r="AXR25" s="830"/>
      <c r="AXS25" s="830"/>
      <c r="AXT25" s="830"/>
      <c r="AXU25" s="830"/>
      <c r="AXV25" s="830"/>
      <c r="AXW25" s="830"/>
      <c r="AXX25" s="830"/>
      <c r="AXY25" s="830"/>
      <c r="AXZ25" s="830"/>
      <c r="AYA25" s="830"/>
      <c r="AYB25" s="830"/>
      <c r="AYC25" s="830"/>
      <c r="AYD25" s="830"/>
      <c r="AYE25" s="830"/>
      <c r="AYF25" s="830"/>
      <c r="AYG25" s="830"/>
      <c r="AYH25" s="830"/>
      <c r="AYI25" s="830"/>
      <c r="AYJ25" s="830"/>
      <c r="AYK25" s="830"/>
      <c r="AYL25" s="830"/>
      <c r="AYM25" s="830"/>
      <c r="AYN25" s="830"/>
      <c r="AYO25" s="830"/>
      <c r="AYP25" s="830"/>
      <c r="AYQ25" s="830"/>
      <c r="AYR25" s="830"/>
      <c r="AYS25" s="830"/>
      <c r="AYT25" s="830"/>
      <c r="AYU25" s="830"/>
      <c r="AYV25" s="830"/>
      <c r="AYW25" s="830"/>
      <c r="AYX25" s="830"/>
      <c r="AYY25" s="830"/>
      <c r="AYZ25" s="830"/>
      <c r="AZA25" s="830"/>
      <c r="AZB25" s="830"/>
      <c r="AZC25" s="830"/>
      <c r="AZD25" s="830"/>
      <c r="AZE25" s="830"/>
      <c r="AZF25" s="830"/>
      <c r="AZG25" s="830"/>
      <c r="AZH25" s="830"/>
      <c r="AZI25" s="830"/>
      <c r="AZJ25" s="830"/>
      <c r="AZK25" s="830"/>
      <c r="AZL25" s="830"/>
      <c r="AZM25" s="830"/>
      <c r="AZN25" s="830"/>
      <c r="AZO25" s="830"/>
      <c r="AZP25" s="830"/>
      <c r="AZQ25" s="830"/>
      <c r="AZR25" s="830"/>
      <c r="AZS25" s="830"/>
      <c r="AZT25" s="830"/>
      <c r="AZU25" s="830"/>
      <c r="AZV25" s="830"/>
      <c r="AZW25" s="830"/>
      <c r="AZX25" s="830"/>
      <c r="AZY25" s="830"/>
      <c r="AZZ25" s="830"/>
      <c r="BAA25" s="830"/>
      <c r="BAB25" s="830"/>
      <c r="BAC25" s="830"/>
      <c r="BAD25" s="830"/>
      <c r="BAE25" s="830"/>
      <c r="BAF25" s="830"/>
      <c r="BAG25" s="830"/>
      <c r="BAH25" s="830"/>
      <c r="BAI25" s="830"/>
      <c r="BAJ25" s="830"/>
      <c r="BAK25" s="830"/>
      <c r="BAL25" s="830"/>
      <c r="BAM25" s="830"/>
      <c r="BAN25" s="830"/>
      <c r="BAO25" s="830"/>
      <c r="BAP25" s="830"/>
      <c r="BAQ25" s="830"/>
      <c r="BAR25" s="830"/>
      <c r="BAS25" s="830"/>
      <c r="BAT25" s="830"/>
      <c r="BAU25" s="830"/>
      <c r="BAV25" s="830"/>
      <c r="BAW25" s="830"/>
      <c r="BAX25" s="830"/>
      <c r="BAY25" s="830"/>
      <c r="BAZ25" s="830"/>
      <c r="BBA25" s="830"/>
      <c r="BBB25" s="830"/>
      <c r="BBC25" s="830"/>
      <c r="BBD25" s="830"/>
      <c r="BBE25" s="830"/>
      <c r="BBF25" s="830"/>
      <c r="BBG25" s="830"/>
      <c r="BBH25" s="830"/>
      <c r="BBI25" s="830"/>
      <c r="BBJ25" s="830"/>
      <c r="BBK25" s="830"/>
      <c r="BBL25" s="830"/>
      <c r="BBM25" s="830"/>
      <c r="BBN25" s="830"/>
      <c r="BBO25" s="830"/>
      <c r="BBP25" s="830"/>
      <c r="BBQ25" s="830"/>
      <c r="BBR25" s="830"/>
      <c r="BBS25" s="830"/>
      <c r="BBT25" s="830"/>
      <c r="BBU25" s="830"/>
      <c r="BBV25" s="830"/>
      <c r="BBW25" s="830"/>
      <c r="BBX25" s="830"/>
      <c r="BBY25" s="830"/>
      <c r="BBZ25" s="830"/>
      <c r="BCA25" s="830"/>
      <c r="BCB25" s="830"/>
      <c r="BCC25" s="830"/>
      <c r="BCD25" s="830"/>
      <c r="BCE25" s="830"/>
      <c r="BCF25" s="830"/>
      <c r="BCG25" s="830"/>
      <c r="BCH25" s="830"/>
      <c r="BCI25" s="830"/>
      <c r="BCJ25" s="830"/>
      <c r="BCK25" s="830"/>
      <c r="BCL25" s="830"/>
      <c r="BCM25" s="830"/>
      <c r="BCN25" s="830"/>
      <c r="BCO25" s="830"/>
      <c r="BCP25" s="830"/>
      <c r="BCQ25" s="830"/>
      <c r="BCR25" s="830"/>
      <c r="BCS25" s="830"/>
      <c r="BCT25" s="830"/>
      <c r="BCU25" s="830"/>
      <c r="BCV25" s="830"/>
      <c r="BCW25" s="830"/>
      <c r="BCX25" s="830"/>
      <c r="BCY25" s="830"/>
      <c r="BCZ25" s="830"/>
      <c r="BDA25" s="830"/>
      <c r="BDB25" s="830"/>
      <c r="BDC25" s="830"/>
      <c r="BDD25" s="830"/>
      <c r="BDE25" s="830"/>
      <c r="BDF25" s="830"/>
      <c r="BDG25" s="830"/>
      <c r="BDH25" s="830"/>
      <c r="BDI25" s="830"/>
      <c r="BDJ25" s="830"/>
      <c r="BDK25" s="830"/>
      <c r="BDL25" s="830"/>
      <c r="BDM25" s="830"/>
      <c r="BDN25" s="830"/>
      <c r="BDO25" s="830"/>
      <c r="BDP25" s="830"/>
      <c r="BDQ25" s="830"/>
      <c r="BDR25" s="830"/>
      <c r="BDS25" s="830"/>
      <c r="BDT25" s="830"/>
      <c r="BDU25" s="830"/>
      <c r="BDV25" s="830"/>
      <c r="BDW25" s="830"/>
      <c r="BDX25" s="830"/>
      <c r="BDY25" s="830"/>
      <c r="BDZ25" s="830"/>
      <c r="BEA25" s="830"/>
      <c r="BEB25" s="830"/>
      <c r="BEC25" s="830"/>
      <c r="BED25" s="830"/>
      <c r="BEE25" s="830"/>
      <c r="BEF25" s="830"/>
      <c r="BEG25" s="830"/>
      <c r="BEH25" s="830"/>
      <c r="BEI25" s="830"/>
      <c r="BEJ25" s="830"/>
      <c r="BEK25" s="830"/>
      <c r="BEL25" s="830"/>
      <c r="BEM25" s="830"/>
      <c r="BEN25" s="830"/>
      <c r="BEO25" s="830"/>
      <c r="BEP25" s="830"/>
      <c r="BEQ25" s="830"/>
      <c r="BER25" s="830"/>
      <c r="BES25" s="830"/>
      <c r="BET25" s="830"/>
      <c r="BEU25" s="830"/>
      <c r="BEV25" s="830"/>
      <c r="BEW25" s="830"/>
      <c r="BEX25" s="830"/>
      <c r="BEY25" s="830"/>
      <c r="BEZ25" s="830"/>
      <c r="BFA25" s="830"/>
      <c r="BFB25" s="830"/>
      <c r="BFC25" s="830"/>
      <c r="BFD25" s="830"/>
      <c r="BFE25" s="830"/>
      <c r="BFF25" s="830"/>
      <c r="BFG25" s="830"/>
      <c r="BFH25" s="830"/>
      <c r="BFI25" s="830"/>
      <c r="BFJ25" s="830"/>
      <c r="BFK25" s="830"/>
      <c r="BFL25" s="830"/>
      <c r="BFM25" s="830"/>
      <c r="BFN25" s="830"/>
      <c r="BFO25" s="830"/>
      <c r="BFP25" s="830"/>
      <c r="BFQ25" s="830"/>
      <c r="BFR25" s="830"/>
      <c r="BFS25" s="830"/>
      <c r="BFT25" s="830"/>
      <c r="BFU25" s="830"/>
      <c r="BFV25" s="830"/>
      <c r="BFW25" s="830"/>
      <c r="BFX25" s="830"/>
      <c r="BFY25" s="830"/>
      <c r="BFZ25" s="830"/>
      <c r="BGA25" s="830"/>
      <c r="BGB25" s="830"/>
      <c r="BGC25" s="830"/>
      <c r="BGD25" s="830"/>
      <c r="BGE25" s="830"/>
      <c r="BGF25" s="830"/>
      <c r="BGG25" s="830"/>
      <c r="BGH25" s="830"/>
      <c r="BGI25" s="830"/>
      <c r="BGJ25" s="830"/>
      <c r="BGK25" s="830"/>
      <c r="BGL25" s="830"/>
      <c r="BGM25" s="830"/>
      <c r="BGN25" s="830"/>
      <c r="BGO25" s="830"/>
      <c r="BGP25" s="830"/>
      <c r="BGQ25" s="830"/>
      <c r="BGR25" s="830"/>
      <c r="BGS25" s="830"/>
      <c r="BGT25" s="830"/>
      <c r="BGU25" s="830"/>
      <c r="BGV25" s="830"/>
      <c r="BGW25" s="830"/>
      <c r="BGX25" s="830"/>
      <c r="BGY25" s="830"/>
      <c r="BGZ25" s="830"/>
      <c r="BHA25" s="830"/>
      <c r="BHB25" s="830"/>
      <c r="BHC25" s="830"/>
      <c r="BHD25" s="830"/>
      <c r="BHE25" s="830"/>
      <c r="BHF25" s="830"/>
      <c r="BHG25" s="830"/>
      <c r="BHH25" s="830"/>
      <c r="BHI25" s="830"/>
      <c r="BHJ25" s="830"/>
      <c r="BHK25" s="830"/>
      <c r="BHL25" s="830"/>
      <c r="BHM25" s="830"/>
      <c r="BHN25" s="830"/>
      <c r="BHO25" s="830"/>
      <c r="BHP25" s="830"/>
      <c r="BHQ25" s="830"/>
      <c r="BHR25" s="830"/>
      <c r="BHS25" s="830"/>
      <c r="BHT25" s="830"/>
      <c r="BHU25" s="830"/>
      <c r="BHV25" s="830"/>
      <c r="BHW25" s="830"/>
      <c r="BHX25" s="830"/>
      <c r="BHY25" s="830"/>
      <c r="BHZ25" s="830"/>
      <c r="BIA25" s="830"/>
      <c r="BIB25" s="830"/>
      <c r="BIC25" s="830"/>
      <c r="BID25" s="830"/>
      <c r="BIE25" s="830"/>
      <c r="BIF25" s="830"/>
      <c r="BIG25" s="830"/>
      <c r="BIH25" s="830"/>
      <c r="BII25" s="830"/>
      <c r="BIJ25" s="830"/>
      <c r="BIK25" s="830"/>
      <c r="BIL25" s="830"/>
      <c r="BIM25" s="830"/>
      <c r="BIN25" s="830"/>
      <c r="BIO25" s="830"/>
      <c r="BIP25" s="830"/>
      <c r="BIQ25" s="830"/>
      <c r="BIR25" s="830"/>
      <c r="BIS25" s="830"/>
      <c r="BIT25" s="830"/>
      <c r="BIU25" s="830"/>
      <c r="BIV25" s="830"/>
      <c r="BIW25" s="830"/>
      <c r="BIX25" s="830"/>
      <c r="BIY25" s="830"/>
      <c r="BIZ25" s="830"/>
      <c r="BJA25" s="830"/>
      <c r="BJB25" s="830"/>
      <c r="BJC25" s="830"/>
      <c r="BJD25" s="830"/>
      <c r="BJE25" s="830"/>
      <c r="BJF25" s="830"/>
      <c r="BJG25" s="830"/>
      <c r="BJH25" s="830"/>
      <c r="BJI25" s="830"/>
      <c r="BJJ25" s="830"/>
      <c r="BJK25" s="830"/>
      <c r="BJL25" s="830"/>
      <c r="BJM25" s="830"/>
      <c r="BJN25" s="830"/>
      <c r="BJO25" s="830"/>
      <c r="BJP25" s="830"/>
      <c r="BJQ25" s="830"/>
      <c r="BJR25" s="830"/>
      <c r="BJS25" s="830"/>
      <c r="BJT25" s="830"/>
      <c r="BJU25" s="830"/>
      <c r="BJV25" s="830"/>
      <c r="BJW25" s="830"/>
      <c r="BJX25" s="830"/>
      <c r="BJY25" s="830"/>
      <c r="BJZ25" s="830"/>
      <c r="BKA25" s="830"/>
      <c r="BKB25" s="830"/>
      <c r="BKC25" s="830"/>
      <c r="BKD25" s="830"/>
      <c r="BKE25" s="830"/>
      <c r="BKF25" s="830"/>
      <c r="BKG25" s="830"/>
      <c r="BKH25" s="830"/>
      <c r="BKI25" s="830"/>
      <c r="BKJ25" s="830"/>
      <c r="BKK25" s="830"/>
      <c r="BKL25" s="830"/>
      <c r="BKM25" s="830"/>
      <c r="BKN25" s="830"/>
      <c r="BKO25" s="830"/>
      <c r="BKP25" s="830"/>
      <c r="BKQ25" s="830"/>
      <c r="BKR25" s="830"/>
      <c r="BKS25" s="830"/>
      <c r="BKT25" s="830"/>
      <c r="BKU25" s="830"/>
      <c r="BKV25" s="830"/>
      <c r="BKW25" s="830"/>
      <c r="BKX25" s="830"/>
      <c r="BKY25" s="830"/>
      <c r="BKZ25" s="830"/>
      <c r="BLA25" s="830"/>
      <c r="BLB25" s="830"/>
      <c r="BLC25" s="830"/>
      <c r="BLD25" s="830"/>
      <c r="BLE25" s="830"/>
      <c r="BLF25" s="830"/>
      <c r="BLG25" s="830"/>
      <c r="BLH25" s="830"/>
      <c r="BLI25" s="830"/>
      <c r="BLJ25" s="830"/>
      <c r="BLK25" s="830"/>
      <c r="BLL25" s="830"/>
      <c r="BLM25" s="830"/>
      <c r="BLN25" s="830"/>
      <c r="BLO25" s="830"/>
      <c r="BLP25" s="830"/>
      <c r="BLQ25" s="830"/>
      <c r="BLR25" s="830"/>
      <c r="BLS25" s="830"/>
      <c r="BLT25" s="830"/>
      <c r="BLU25" s="830"/>
      <c r="BLV25" s="830"/>
      <c r="BLW25" s="830"/>
      <c r="BLX25" s="830"/>
      <c r="BLY25" s="830"/>
      <c r="BLZ25" s="830"/>
      <c r="BMA25" s="830"/>
      <c r="BMB25" s="830"/>
      <c r="BMC25" s="830"/>
      <c r="BMD25" s="830"/>
      <c r="BME25" s="830"/>
      <c r="BMF25" s="830"/>
      <c r="BMG25" s="830"/>
      <c r="BMH25" s="830"/>
      <c r="BMI25" s="830"/>
      <c r="BMJ25" s="830"/>
      <c r="BMK25" s="830"/>
      <c r="BML25" s="830"/>
      <c r="BMM25" s="830"/>
      <c r="BMN25" s="830"/>
      <c r="BMO25" s="830"/>
      <c r="BMP25" s="830"/>
      <c r="BMQ25" s="830"/>
      <c r="BMR25" s="830"/>
      <c r="BMS25" s="830"/>
      <c r="BMT25" s="830"/>
      <c r="BMU25" s="830"/>
      <c r="BMV25" s="830"/>
      <c r="BMW25" s="830"/>
      <c r="BMX25" s="830"/>
      <c r="BMY25" s="830"/>
      <c r="BMZ25" s="830"/>
      <c r="BNA25" s="830"/>
      <c r="BNB25" s="830"/>
      <c r="BNC25" s="830"/>
      <c r="BND25" s="830"/>
      <c r="BNE25" s="830"/>
      <c r="BNF25" s="830"/>
      <c r="BNG25" s="830"/>
      <c r="BNH25" s="830"/>
      <c r="BNI25" s="830"/>
      <c r="BNJ25" s="830"/>
      <c r="BNK25" s="830"/>
      <c r="BNL25" s="830"/>
      <c r="BNM25" s="830"/>
      <c r="BNN25" s="830"/>
      <c r="BNO25" s="830"/>
      <c r="BNP25" s="830"/>
      <c r="BNQ25" s="830"/>
      <c r="BNR25" s="830"/>
      <c r="BNS25" s="830"/>
      <c r="BNT25" s="830"/>
      <c r="BNU25" s="830"/>
      <c r="BNV25" s="830"/>
      <c r="BNW25" s="830"/>
      <c r="BNX25" s="830"/>
      <c r="BNY25" s="830"/>
      <c r="BNZ25" s="830"/>
      <c r="BOA25" s="830"/>
      <c r="BOB25" s="830"/>
      <c r="BOC25" s="830"/>
      <c r="BOD25" s="830"/>
      <c r="BOE25" s="830"/>
      <c r="BOF25" s="830"/>
      <c r="BOG25" s="830"/>
      <c r="BOH25" s="830"/>
      <c r="BOI25" s="830"/>
      <c r="BOJ25" s="830"/>
      <c r="BOK25" s="830"/>
      <c r="BOL25" s="830"/>
      <c r="BOM25" s="830"/>
      <c r="BON25" s="830"/>
      <c r="BOO25" s="830"/>
      <c r="BOP25" s="830"/>
      <c r="BOQ25" s="830"/>
      <c r="BOR25" s="830"/>
      <c r="BOS25" s="830"/>
      <c r="BOT25" s="830"/>
      <c r="BOU25" s="830"/>
      <c r="BOV25" s="830"/>
      <c r="BOW25" s="830"/>
      <c r="BOX25" s="830"/>
      <c r="BOY25" s="830"/>
      <c r="BOZ25" s="830"/>
      <c r="BPA25" s="830"/>
      <c r="BPB25" s="830"/>
      <c r="BPC25" s="830"/>
      <c r="BPD25" s="830"/>
      <c r="BPE25" s="830"/>
      <c r="BPF25" s="830"/>
      <c r="BPG25" s="830"/>
      <c r="BPH25" s="830"/>
      <c r="BPI25" s="830"/>
      <c r="BPJ25" s="830"/>
      <c r="BPK25" s="830"/>
      <c r="BPL25" s="830"/>
      <c r="BPM25" s="830"/>
      <c r="BPN25" s="830"/>
      <c r="BPO25" s="830"/>
      <c r="BPP25" s="830"/>
      <c r="BPQ25" s="830"/>
      <c r="BPR25" s="830"/>
      <c r="BPS25" s="830"/>
      <c r="BPT25" s="830"/>
      <c r="BPU25" s="830"/>
      <c r="BPV25" s="830"/>
      <c r="BPW25" s="830"/>
      <c r="BPX25" s="830"/>
      <c r="BPY25" s="830"/>
      <c r="BPZ25" s="830"/>
      <c r="BQA25" s="830"/>
      <c r="BQB25" s="830"/>
      <c r="BQC25" s="830"/>
      <c r="BQD25" s="830"/>
      <c r="BQE25" s="830"/>
      <c r="BQF25" s="830"/>
      <c r="BQG25" s="830"/>
      <c r="BQH25" s="830"/>
      <c r="BQI25" s="830"/>
      <c r="BQJ25" s="830"/>
      <c r="BQK25" s="830"/>
      <c r="BQL25" s="830"/>
      <c r="BQM25" s="830"/>
      <c r="BQN25" s="830"/>
      <c r="BQO25" s="830"/>
      <c r="BQP25" s="830"/>
      <c r="BQQ25" s="830"/>
      <c r="BQR25" s="830"/>
      <c r="BQS25" s="830"/>
      <c r="BQT25" s="830"/>
      <c r="BQU25" s="830"/>
      <c r="BQV25" s="830"/>
      <c r="BQW25" s="830"/>
      <c r="BQX25" s="830"/>
      <c r="BQY25" s="830"/>
      <c r="BQZ25" s="830"/>
      <c r="BRA25" s="830"/>
      <c r="BRB25" s="830"/>
      <c r="BRC25" s="830"/>
      <c r="BRD25" s="830"/>
      <c r="BRE25" s="830"/>
      <c r="BRF25" s="830"/>
      <c r="BRG25" s="830"/>
      <c r="BRH25" s="830"/>
      <c r="BRI25" s="830"/>
      <c r="BRJ25" s="830"/>
      <c r="BRK25" s="830"/>
      <c r="BRL25" s="830"/>
      <c r="BRM25" s="830"/>
      <c r="BRN25" s="830"/>
      <c r="BRO25" s="830"/>
      <c r="BRP25" s="830"/>
      <c r="BRQ25" s="830"/>
      <c r="BRR25" s="830"/>
      <c r="BRS25" s="830"/>
      <c r="BRT25" s="830"/>
      <c r="BRU25" s="830"/>
      <c r="BRV25" s="830"/>
      <c r="BRW25" s="830"/>
      <c r="BRX25" s="830"/>
      <c r="BRY25" s="830"/>
      <c r="BRZ25" s="830"/>
      <c r="BSA25" s="830"/>
      <c r="BSB25" s="830"/>
      <c r="BSC25" s="830"/>
      <c r="BSD25" s="830"/>
      <c r="BSE25" s="830"/>
      <c r="BSF25" s="830"/>
      <c r="BSG25" s="830"/>
      <c r="BSH25" s="830"/>
      <c r="BSI25" s="830"/>
      <c r="BSJ25" s="830"/>
      <c r="BSK25" s="830"/>
      <c r="BSL25" s="830"/>
      <c r="BSM25" s="830"/>
      <c r="BSN25" s="830"/>
      <c r="BSO25" s="830"/>
      <c r="BSP25" s="830"/>
      <c r="BSQ25" s="830"/>
      <c r="BSR25" s="830"/>
      <c r="BSS25" s="830"/>
      <c r="BST25" s="830"/>
    </row>
    <row r="26" spans="1:1866" s="829" customFormat="1" ht="20.100000000000001" customHeight="1" x14ac:dyDescent="0.25">
      <c r="A26" s="830"/>
      <c r="B26" s="3183"/>
      <c r="C26" s="1498" t="s">
        <v>317</v>
      </c>
      <c r="D26" s="1499">
        <f>SUMIF(Bfr!$B$53:$B$56,"="&amp;C26,Bfr!$D$53:$D$56)</f>
        <v>0</v>
      </c>
      <c r="E26" s="1500">
        <f>E24*$D$26</f>
        <v>0</v>
      </c>
      <c r="F26" s="1500">
        <f t="shared" ref="F26:V26" si="31">F24*$D$26</f>
        <v>0</v>
      </c>
      <c r="G26" s="1500">
        <f t="shared" si="31"/>
        <v>0</v>
      </c>
      <c r="H26" s="1500">
        <f t="shared" si="31"/>
        <v>0</v>
      </c>
      <c r="I26" s="1500">
        <f t="shared" si="31"/>
        <v>0</v>
      </c>
      <c r="J26" s="1500">
        <f t="shared" si="31"/>
        <v>0</v>
      </c>
      <c r="K26" s="1500">
        <f t="shared" si="31"/>
        <v>0</v>
      </c>
      <c r="L26" s="1500">
        <f t="shared" si="31"/>
        <v>0</v>
      </c>
      <c r="M26" s="1500">
        <f t="shared" si="31"/>
        <v>0</v>
      </c>
      <c r="N26" s="1500">
        <f t="shared" si="31"/>
        <v>0</v>
      </c>
      <c r="O26" s="1500">
        <f t="shared" si="31"/>
        <v>0</v>
      </c>
      <c r="P26" s="1500">
        <f t="shared" si="31"/>
        <v>0</v>
      </c>
      <c r="Q26" s="1500">
        <f t="shared" si="31"/>
        <v>0</v>
      </c>
      <c r="R26" s="1500">
        <f t="shared" si="31"/>
        <v>0</v>
      </c>
      <c r="S26" s="1500">
        <f t="shared" si="31"/>
        <v>0</v>
      </c>
      <c r="T26" s="1500">
        <f t="shared" si="31"/>
        <v>0</v>
      </c>
      <c r="U26" s="1500">
        <f t="shared" si="31"/>
        <v>0</v>
      </c>
      <c r="V26" s="1501">
        <f t="shared" si="31"/>
        <v>0</v>
      </c>
      <c r="W26" s="830"/>
      <c r="X26" s="1459">
        <f t="shared" si="30"/>
        <v>0</v>
      </c>
      <c r="Y26" s="1460"/>
      <c r="Z26" s="1460"/>
      <c r="AA26" s="1461"/>
      <c r="AB26" s="826"/>
      <c r="AC26" s="826"/>
      <c r="AD26" s="830"/>
      <c r="AE26" s="830"/>
      <c r="AF26" s="830"/>
      <c r="AG26" s="830"/>
      <c r="AH26" s="830"/>
      <c r="AI26" s="830"/>
      <c r="AJ26" s="830"/>
      <c r="AK26" s="830"/>
      <c r="AL26" s="830"/>
      <c r="AM26" s="830"/>
      <c r="AN26" s="830"/>
      <c r="AO26" s="830"/>
      <c r="AP26" s="830"/>
      <c r="AQ26" s="830"/>
      <c r="AR26" s="830"/>
      <c r="AS26" s="830"/>
      <c r="AT26" s="830"/>
      <c r="AU26" s="830"/>
      <c r="AV26" s="830"/>
      <c r="AW26" s="830"/>
      <c r="AX26" s="830"/>
      <c r="AY26" s="830"/>
      <c r="AZ26" s="830"/>
      <c r="BA26" s="830"/>
      <c r="BB26" s="830"/>
      <c r="BC26" s="830"/>
      <c r="BD26" s="830"/>
      <c r="BE26" s="830"/>
      <c r="BF26" s="830"/>
      <c r="BG26" s="830"/>
      <c r="BH26" s="830"/>
      <c r="BI26" s="830"/>
      <c r="BJ26" s="830"/>
      <c r="BK26" s="830"/>
      <c r="BL26" s="830"/>
      <c r="BM26" s="830"/>
      <c r="BN26" s="830"/>
      <c r="BO26" s="830"/>
      <c r="BP26" s="830"/>
      <c r="BQ26" s="830"/>
      <c r="BR26" s="830"/>
      <c r="BS26" s="830"/>
      <c r="BT26" s="830"/>
      <c r="BU26" s="830"/>
      <c r="BV26" s="830"/>
      <c r="BW26" s="830"/>
      <c r="BX26" s="830"/>
      <c r="BY26" s="830"/>
      <c r="BZ26" s="830"/>
      <c r="CA26" s="830"/>
      <c r="CB26" s="830"/>
      <c r="CC26" s="830"/>
      <c r="CD26" s="830"/>
      <c r="CE26" s="830"/>
      <c r="CF26" s="830"/>
      <c r="CG26" s="830"/>
      <c r="CH26" s="830"/>
      <c r="CI26" s="830"/>
      <c r="CJ26" s="830"/>
      <c r="CK26" s="830"/>
      <c r="CL26" s="830"/>
      <c r="CM26" s="830"/>
      <c r="CN26" s="830"/>
      <c r="CO26" s="830"/>
      <c r="CP26" s="830"/>
      <c r="CQ26" s="830"/>
      <c r="CR26" s="830"/>
      <c r="CS26" s="830"/>
      <c r="CT26" s="830"/>
      <c r="CU26" s="830"/>
      <c r="CV26" s="830"/>
      <c r="CW26" s="830"/>
      <c r="CX26" s="830"/>
      <c r="CY26" s="830"/>
      <c r="CZ26" s="830"/>
      <c r="DA26" s="830"/>
      <c r="DB26" s="830"/>
      <c r="DC26" s="830"/>
      <c r="DD26" s="830"/>
      <c r="DE26" s="830"/>
      <c r="DF26" s="830"/>
      <c r="DG26" s="830"/>
      <c r="DH26" s="830"/>
      <c r="DI26" s="830"/>
      <c r="DJ26" s="830"/>
      <c r="DK26" s="830"/>
      <c r="DL26" s="830"/>
      <c r="DM26" s="830"/>
      <c r="DN26" s="830"/>
      <c r="DO26" s="830"/>
      <c r="DP26" s="830"/>
      <c r="DQ26" s="830"/>
      <c r="DR26" s="830"/>
      <c r="DS26" s="830"/>
      <c r="DT26" s="830"/>
      <c r="DU26" s="830"/>
      <c r="DV26" s="830"/>
      <c r="DW26" s="830"/>
      <c r="DX26" s="830"/>
      <c r="DY26" s="830"/>
      <c r="DZ26" s="830"/>
      <c r="EA26" s="830"/>
      <c r="EB26" s="830"/>
      <c r="EC26" s="830"/>
      <c r="ED26" s="830"/>
      <c r="EE26" s="830"/>
      <c r="EF26" s="830"/>
      <c r="EG26" s="830"/>
      <c r="EH26" s="830"/>
      <c r="EI26" s="830"/>
      <c r="EJ26" s="830"/>
      <c r="EK26" s="830"/>
      <c r="EL26" s="830"/>
      <c r="EM26" s="830"/>
      <c r="EN26" s="830"/>
      <c r="EO26" s="830"/>
      <c r="EP26" s="830"/>
      <c r="EQ26" s="830"/>
      <c r="ER26" s="830"/>
      <c r="ES26" s="830"/>
      <c r="ET26" s="830"/>
      <c r="EU26" s="830"/>
      <c r="EV26" s="830"/>
      <c r="EW26" s="830"/>
      <c r="EX26" s="830"/>
      <c r="EY26" s="830"/>
      <c r="EZ26" s="830"/>
      <c r="FA26" s="830"/>
      <c r="FB26" s="830"/>
      <c r="FC26" s="830"/>
      <c r="FD26" s="830"/>
      <c r="FE26" s="830"/>
      <c r="FF26" s="830"/>
      <c r="FG26" s="830"/>
      <c r="FH26" s="830"/>
      <c r="FI26" s="830"/>
      <c r="FJ26" s="830"/>
      <c r="FK26" s="830"/>
      <c r="FL26" s="830"/>
      <c r="FM26" s="830"/>
      <c r="FN26" s="830"/>
      <c r="FO26" s="830"/>
      <c r="FP26" s="830"/>
      <c r="FQ26" s="830"/>
      <c r="FR26" s="830"/>
      <c r="FS26" s="830"/>
      <c r="FT26" s="830"/>
      <c r="FU26" s="830"/>
      <c r="FV26" s="830"/>
      <c r="FW26" s="830"/>
      <c r="FX26" s="830"/>
      <c r="FY26" s="830"/>
      <c r="FZ26" s="830"/>
      <c r="GA26" s="830"/>
      <c r="GB26" s="830"/>
      <c r="GC26" s="830"/>
      <c r="GD26" s="830"/>
      <c r="GE26" s="830"/>
      <c r="GF26" s="830"/>
      <c r="GG26" s="830"/>
      <c r="GH26" s="830"/>
      <c r="GI26" s="830"/>
      <c r="GJ26" s="830"/>
      <c r="GK26" s="830"/>
      <c r="GL26" s="830"/>
      <c r="GM26" s="830"/>
      <c r="GN26" s="830"/>
      <c r="GO26" s="830"/>
      <c r="GP26" s="830"/>
      <c r="GQ26" s="830"/>
      <c r="GR26" s="830"/>
      <c r="GS26" s="830"/>
      <c r="GT26" s="830"/>
      <c r="GU26" s="830"/>
      <c r="GV26" s="830"/>
      <c r="GW26" s="830"/>
      <c r="GX26" s="830"/>
      <c r="GY26" s="830"/>
      <c r="GZ26" s="830"/>
      <c r="HA26" s="830"/>
      <c r="HB26" s="830"/>
      <c r="HC26" s="830"/>
      <c r="HD26" s="830"/>
      <c r="HE26" s="830"/>
      <c r="HF26" s="830"/>
      <c r="HG26" s="830"/>
      <c r="HH26" s="830"/>
      <c r="HI26" s="830"/>
      <c r="HJ26" s="830"/>
      <c r="HK26" s="830"/>
      <c r="HL26" s="830"/>
      <c r="HM26" s="830"/>
      <c r="HN26" s="830"/>
      <c r="HO26" s="830"/>
      <c r="HP26" s="830"/>
      <c r="HQ26" s="830"/>
      <c r="HR26" s="830"/>
      <c r="HS26" s="830"/>
      <c r="HT26" s="830"/>
      <c r="HU26" s="830"/>
      <c r="HV26" s="830"/>
      <c r="HW26" s="830"/>
      <c r="HX26" s="830"/>
      <c r="HY26" s="830"/>
      <c r="HZ26" s="830"/>
      <c r="IA26" s="830"/>
      <c r="IB26" s="830"/>
      <c r="IC26" s="830"/>
      <c r="ID26" s="830"/>
      <c r="IE26" s="830"/>
      <c r="IF26" s="830"/>
      <c r="IG26" s="830"/>
      <c r="IH26" s="830"/>
      <c r="II26" s="830"/>
      <c r="IJ26" s="830"/>
      <c r="IK26" s="830"/>
      <c r="IL26" s="830"/>
      <c r="IM26" s="830"/>
      <c r="IN26" s="830"/>
      <c r="IO26" s="830"/>
      <c r="IP26" s="830"/>
      <c r="IQ26" s="830"/>
      <c r="IR26" s="830"/>
      <c r="IS26" s="830"/>
      <c r="IT26" s="830"/>
      <c r="IU26" s="830"/>
      <c r="IV26" s="830"/>
      <c r="IW26" s="830"/>
      <c r="IX26" s="830"/>
      <c r="IY26" s="830"/>
      <c r="IZ26" s="830"/>
      <c r="JA26" s="830"/>
      <c r="JB26" s="830"/>
      <c r="JC26" s="830"/>
      <c r="JD26" s="830"/>
      <c r="JE26" s="830"/>
      <c r="JF26" s="830"/>
      <c r="JG26" s="830"/>
      <c r="JH26" s="830"/>
      <c r="JI26" s="830"/>
      <c r="JJ26" s="830"/>
      <c r="JK26" s="830"/>
      <c r="JL26" s="830"/>
      <c r="JM26" s="830"/>
      <c r="JN26" s="830"/>
      <c r="JO26" s="830"/>
      <c r="JP26" s="830"/>
      <c r="JQ26" s="830"/>
      <c r="JR26" s="830"/>
      <c r="JS26" s="830"/>
      <c r="JT26" s="830"/>
      <c r="JU26" s="830"/>
      <c r="JV26" s="830"/>
      <c r="JW26" s="830"/>
      <c r="JX26" s="830"/>
      <c r="JY26" s="830"/>
      <c r="JZ26" s="830"/>
      <c r="KA26" s="830"/>
      <c r="KB26" s="830"/>
      <c r="KC26" s="830"/>
      <c r="KD26" s="830"/>
      <c r="KE26" s="830"/>
      <c r="KF26" s="830"/>
      <c r="KG26" s="830"/>
      <c r="KH26" s="830"/>
      <c r="KI26" s="830"/>
      <c r="KJ26" s="830"/>
      <c r="KK26" s="830"/>
      <c r="KL26" s="830"/>
      <c r="KM26" s="830"/>
      <c r="KN26" s="830"/>
      <c r="KO26" s="830"/>
      <c r="KP26" s="830"/>
      <c r="KQ26" s="830"/>
      <c r="KR26" s="830"/>
      <c r="KS26" s="830"/>
      <c r="KT26" s="830"/>
      <c r="KU26" s="830"/>
      <c r="KV26" s="830"/>
      <c r="KW26" s="830"/>
      <c r="KX26" s="830"/>
      <c r="KY26" s="830"/>
      <c r="KZ26" s="830"/>
      <c r="LA26" s="830"/>
      <c r="LB26" s="830"/>
      <c r="LC26" s="830"/>
      <c r="LD26" s="830"/>
      <c r="LE26" s="830"/>
      <c r="LF26" s="830"/>
      <c r="LG26" s="830"/>
      <c r="LH26" s="830"/>
      <c r="LI26" s="830"/>
      <c r="LJ26" s="830"/>
      <c r="LK26" s="830"/>
      <c r="LL26" s="830"/>
      <c r="LM26" s="830"/>
      <c r="LN26" s="830"/>
      <c r="LO26" s="830"/>
      <c r="LP26" s="830"/>
      <c r="LQ26" s="830"/>
      <c r="LR26" s="830"/>
      <c r="LS26" s="830"/>
      <c r="LT26" s="830"/>
      <c r="LU26" s="830"/>
      <c r="LV26" s="830"/>
      <c r="LW26" s="830"/>
      <c r="LX26" s="830"/>
      <c r="LY26" s="830"/>
      <c r="LZ26" s="830"/>
      <c r="MA26" s="830"/>
      <c r="MB26" s="830"/>
      <c r="MC26" s="830"/>
      <c r="MD26" s="830"/>
      <c r="ME26" s="830"/>
      <c r="MF26" s="830"/>
      <c r="MG26" s="830"/>
      <c r="MH26" s="830"/>
      <c r="MI26" s="830"/>
      <c r="MJ26" s="830"/>
      <c r="MK26" s="830"/>
      <c r="ML26" s="830"/>
      <c r="MM26" s="830"/>
      <c r="MN26" s="830"/>
      <c r="MO26" s="830"/>
      <c r="MP26" s="830"/>
      <c r="MQ26" s="830"/>
      <c r="MR26" s="830"/>
      <c r="MS26" s="830"/>
      <c r="MT26" s="830"/>
      <c r="MU26" s="830"/>
      <c r="MV26" s="830"/>
      <c r="MW26" s="830"/>
      <c r="MX26" s="830"/>
      <c r="MY26" s="830"/>
      <c r="MZ26" s="830"/>
      <c r="NA26" s="830"/>
      <c r="NB26" s="830"/>
      <c r="NC26" s="830"/>
      <c r="ND26" s="830"/>
      <c r="NE26" s="830"/>
      <c r="NF26" s="830"/>
      <c r="NG26" s="830"/>
      <c r="NH26" s="830"/>
      <c r="NI26" s="830"/>
      <c r="NJ26" s="830"/>
      <c r="NK26" s="830"/>
      <c r="NL26" s="830"/>
      <c r="NM26" s="830"/>
      <c r="NN26" s="830"/>
      <c r="NO26" s="830"/>
      <c r="NP26" s="830"/>
      <c r="NQ26" s="830"/>
      <c r="NR26" s="830"/>
      <c r="NS26" s="830"/>
      <c r="NT26" s="830"/>
      <c r="NU26" s="830"/>
      <c r="NV26" s="830"/>
      <c r="NW26" s="830"/>
      <c r="NX26" s="830"/>
      <c r="NY26" s="830"/>
      <c r="NZ26" s="830"/>
      <c r="OA26" s="830"/>
      <c r="OB26" s="830"/>
      <c r="OC26" s="830"/>
      <c r="OD26" s="830"/>
      <c r="OE26" s="830"/>
      <c r="OF26" s="830"/>
      <c r="OG26" s="830"/>
      <c r="OH26" s="830"/>
      <c r="OI26" s="830"/>
      <c r="OJ26" s="830"/>
      <c r="OK26" s="830"/>
      <c r="OL26" s="830"/>
      <c r="OM26" s="830"/>
      <c r="ON26" s="830"/>
      <c r="OO26" s="830"/>
      <c r="OP26" s="830"/>
      <c r="OQ26" s="830"/>
      <c r="OR26" s="830"/>
      <c r="OS26" s="830"/>
      <c r="OT26" s="830"/>
      <c r="OU26" s="830"/>
      <c r="OV26" s="830"/>
      <c r="OW26" s="830"/>
      <c r="OX26" s="830"/>
      <c r="OY26" s="830"/>
      <c r="OZ26" s="830"/>
      <c r="PA26" s="830"/>
      <c r="PB26" s="830"/>
      <c r="PC26" s="830"/>
      <c r="PD26" s="830"/>
      <c r="PE26" s="830"/>
      <c r="PF26" s="830"/>
      <c r="PG26" s="830"/>
      <c r="PH26" s="830"/>
      <c r="PI26" s="830"/>
      <c r="PJ26" s="830"/>
      <c r="PK26" s="830"/>
      <c r="PL26" s="830"/>
      <c r="PM26" s="830"/>
      <c r="PN26" s="830"/>
      <c r="PO26" s="830"/>
      <c r="PP26" s="830"/>
      <c r="PQ26" s="830"/>
      <c r="PR26" s="830"/>
      <c r="PS26" s="830"/>
      <c r="PT26" s="830"/>
      <c r="PU26" s="830"/>
      <c r="PV26" s="830"/>
      <c r="PW26" s="830"/>
      <c r="PX26" s="830"/>
      <c r="PY26" s="830"/>
      <c r="PZ26" s="830"/>
      <c r="QA26" s="830"/>
      <c r="QB26" s="830"/>
      <c r="QC26" s="830"/>
      <c r="QD26" s="830"/>
      <c r="QE26" s="830"/>
      <c r="QF26" s="830"/>
      <c r="QG26" s="830"/>
      <c r="QH26" s="830"/>
      <c r="QI26" s="830"/>
      <c r="QJ26" s="830"/>
      <c r="QK26" s="830"/>
      <c r="QL26" s="830"/>
      <c r="QM26" s="830"/>
      <c r="QN26" s="830"/>
      <c r="QO26" s="830"/>
      <c r="QP26" s="830"/>
      <c r="QQ26" s="830"/>
      <c r="QR26" s="830"/>
      <c r="QS26" s="830"/>
      <c r="QT26" s="830"/>
      <c r="QU26" s="830"/>
      <c r="QV26" s="830"/>
      <c r="QW26" s="830"/>
      <c r="QX26" s="830"/>
      <c r="QY26" s="830"/>
      <c r="QZ26" s="830"/>
      <c r="RA26" s="830"/>
      <c r="RB26" s="830"/>
      <c r="RC26" s="830"/>
      <c r="RD26" s="830"/>
      <c r="RE26" s="830"/>
      <c r="RF26" s="830"/>
      <c r="RG26" s="830"/>
      <c r="RH26" s="830"/>
      <c r="RI26" s="830"/>
      <c r="RJ26" s="830"/>
      <c r="RK26" s="830"/>
      <c r="RL26" s="830"/>
      <c r="RM26" s="830"/>
      <c r="RN26" s="830"/>
      <c r="RO26" s="830"/>
      <c r="RP26" s="830"/>
      <c r="RQ26" s="830"/>
      <c r="RR26" s="830"/>
      <c r="RS26" s="830"/>
      <c r="RT26" s="830"/>
      <c r="RU26" s="830"/>
      <c r="RV26" s="830"/>
      <c r="RW26" s="830"/>
      <c r="RX26" s="830"/>
      <c r="RY26" s="830"/>
      <c r="RZ26" s="830"/>
      <c r="SA26" s="830"/>
      <c r="SB26" s="830"/>
      <c r="SC26" s="830"/>
      <c r="SD26" s="830"/>
      <c r="SE26" s="830"/>
      <c r="SF26" s="830"/>
      <c r="SG26" s="830"/>
      <c r="SH26" s="830"/>
      <c r="SI26" s="830"/>
      <c r="SJ26" s="830"/>
      <c r="SK26" s="830"/>
      <c r="SL26" s="830"/>
      <c r="SM26" s="830"/>
      <c r="SN26" s="830"/>
      <c r="SO26" s="830"/>
      <c r="SP26" s="830"/>
      <c r="SQ26" s="830"/>
      <c r="SR26" s="830"/>
      <c r="SS26" s="830"/>
      <c r="ST26" s="830"/>
      <c r="SU26" s="830"/>
      <c r="SV26" s="830"/>
      <c r="SW26" s="830"/>
      <c r="SX26" s="830"/>
      <c r="SY26" s="830"/>
      <c r="SZ26" s="830"/>
      <c r="TA26" s="830"/>
      <c r="TB26" s="830"/>
      <c r="TC26" s="830"/>
      <c r="TD26" s="830"/>
      <c r="TE26" s="830"/>
      <c r="TF26" s="830"/>
      <c r="TG26" s="830"/>
      <c r="TH26" s="830"/>
      <c r="TI26" s="830"/>
      <c r="TJ26" s="830"/>
      <c r="TK26" s="830"/>
      <c r="TL26" s="830"/>
      <c r="TM26" s="830"/>
      <c r="TN26" s="830"/>
      <c r="TO26" s="830"/>
      <c r="TP26" s="830"/>
      <c r="TQ26" s="830"/>
      <c r="TR26" s="830"/>
      <c r="TS26" s="830"/>
      <c r="TT26" s="830"/>
      <c r="TU26" s="830"/>
      <c r="TV26" s="830"/>
      <c r="TW26" s="830"/>
      <c r="TX26" s="830"/>
      <c r="TY26" s="830"/>
      <c r="TZ26" s="830"/>
      <c r="UA26" s="830"/>
      <c r="UB26" s="830"/>
      <c r="UC26" s="830"/>
      <c r="UD26" s="830"/>
      <c r="UE26" s="830"/>
      <c r="UF26" s="830"/>
      <c r="UG26" s="830"/>
      <c r="UH26" s="830"/>
      <c r="UI26" s="830"/>
      <c r="UJ26" s="830"/>
      <c r="UK26" s="830"/>
      <c r="UL26" s="830"/>
      <c r="UM26" s="830"/>
      <c r="UN26" s="830"/>
      <c r="UO26" s="830"/>
      <c r="UP26" s="830"/>
      <c r="UQ26" s="830"/>
      <c r="UR26" s="830"/>
      <c r="US26" s="830"/>
      <c r="UT26" s="830"/>
      <c r="UU26" s="830"/>
      <c r="UV26" s="830"/>
      <c r="UW26" s="830"/>
      <c r="UX26" s="830"/>
      <c r="UY26" s="830"/>
      <c r="UZ26" s="830"/>
      <c r="VA26" s="830"/>
      <c r="VB26" s="830"/>
      <c r="VC26" s="830"/>
      <c r="VD26" s="830"/>
      <c r="VE26" s="830"/>
      <c r="VF26" s="830"/>
      <c r="VG26" s="830"/>
      <c r="VH26" s="830"/>
      <c r="VI26" s="830"/>
      <c r="VJ26" s="830"/>
      <c r="VK26" s="830"/>
      <c r="VL26" s="830"/>
      <c r="VM26" s="830"/>
      <c r="VN26" s="830"/>
      <c r="VO26" s="830"/>
      <c r="VP26" s="830"/>
      <c r="VQ26" s="830"/>
      <c r="VR26" s="830"/>
      <c r="VS26" s="830"/>
      <c r="VT26" s="830"/>
      <c r="VU26" s="830"/>
      <c r="VV26" s="830"/>
      <c r="VW26" s="830"/>
      <c r="VX26" s="830"/>
      <c r="VY26" s="830"/>
      <c r="VZ26" s="830"/>
      <c r="WA26" s="830"/>
      <c r="WB26" s="830"/>
      <c r="WC26" s="830"/>
      <c r="WD26" s="830"/>
      <c r="WE26" s="830"/>
      <c r="WF26" s="830"/>
      <c r="WG26" s="830"/>
      <c r="WH26" s="830"/>
      <c r="WI26" s="830"/>
      <c r="WJ26" s="830"/>
      <c r="WK26" s="830"/>
      <c r="WL26" s="830"/>
      <c r="WM26" s="830"/>
      <c r="WN26" s="830"/>
      <c r="WO26" s="830"/>
      <c r="WP26" s="830"/>
      <c r="WQ26" s="830"/>
      <c r="WR26" s="830"/>
      <c r="WS26" s="830"/>
      <c r="WT26" s="830"/>
      <c r="WU26" s="830"/>
      <c r="WV26" s="830"/>
      <c r="WW26" s="830"/>
      <c r="WX26" s="830"/>
      <c r="WY26" s="830"/>
      <c r="WZ26" s="830"/>
      <c r="XA26" s="830"/>
      <c r="XB26" s="830"/>
      <c r="XC26" s="830"/>
      <c r="XD26" s="830"/>
      <c r="XE26" s="830"/>
      <c r="XF26" s="830"/>
      <c r="XG26" s="830"/>
      <c r="XH26" s="830"/>
      <c r="XI26" s="830"/>
      <c r="XJ26" s="830"/>
      <c r="XK26" s="830"/>
      <c r="XL26" s="830"/>
      <c r="XM26" s="830"/>
      <c r="XN26" s="830"/>
      <c r="XO26" s="830"/>
      <c r="XP26" s="830"/>
      <c r="XQ26" s="830"/>
      <c r="XR26" s="830"/>
      <c r="XS26" s="830"/>
      <c r="XT26" s="830"/>
      <c r="XU26" s="830"/>
      <c r="XV26" s="830"/>
      <c r="XW26" s="830"/>
      <c r="XX26" s="830"/>
      <c r="XY26" s="830"/>
      <c r="XZ26" s="830"/>
      <c r="YA26" s="830"/>
      <c r="YB26" s="830"/>
      <c r="YC26" s="830"/>
      <c r="YD26" s="830"/>
      <c r="YE26" s="830"/>
      <c r="YF26" s="830"/>
      <c r="YG26" s="830"/>
      <c r="YH26" s="830"/>
      <c r="YI26" s="830"/>
      <c r="YJ26" s="830"/>
      <c r="YK26" s="830"/>
      <c r="YL26" s="830"/>
      <c r="YM26" s="830"/>
      <c r="YN26" s="830"/>
      <c r="YO26" s="830"/>
      <c r="YP26" s="830"/>
      <c r="YQ26" s="830"/>
      <c r="YR26" s="830"/>
      <c r="YS26" s="830"/>
      <c r="YT26" s="830"/>
      <c r="YU26" s="830"/>
      <c r="YV26" s="830"/>
      <c r="YW26" s="830"/>
      <c r="YX26" s="830"/>
      <c r="YY26" s="830"/>
      <c r="YZ26" s="830"/>
      <c r="ZA26" s="830"/>
      <c r="ZB26" s="830"/>
      <c r="ZC26" s="830"/>
      <c r="ZD26" s="830"/>
      <c r="ZE26" s="830"/>
      <c r="ZF26" s="830"/>
      <c r="ZG26" s="830"/>
      <c r="ZH26" s="830"/>
      <c r="ZI26" s="830"/>
      <c r="ZJ26" s="830"/>
      <c r="ZK26" s="830"/>
      <c r="ZL26" s="830"/>
      <c r="ZM26" s="830"/>
      <c r="ZN26" s="830"/>
      <c r="ZO26" s="830"/>
      <c r="ZP26" s="830"/>
      <c r="ZQ26" s="830"/>
      <c r="ZR26" s="830"/>
      <c r="ZS26" s="830"/>
      <c r="ZT26" s="830"/>
      <c r="ZU26" s="830"/>
      <c r="ZV26" s="830"/>
      <c r="ZW26" s="830"/>
      <c r="ZX26" s="830"/>
      <c r="ZY26" s="830"/>
      <c r="ZZ26" s="830"/>
      <c r="AAA26" s="830"/>
      <c r="AAB26" s="830"/>
      <c r="AAC26" s="830"/>
      <c r="AAD26" s="830"/>
      <c r="AAE26" s="830"/>
      <c r="AAF26" s="830"/>
      <c r="AAG26" s="830"/>
      <c r="AAH26" s="830"/>
      <c r="AAI26" s="830"/>
      <c r="AAJ26" s="830"/>
      <c r="AAK26" s="830"/>
      <c r="AAL26" s="830"/>
      <c r="AAM26" s="830"/>
      <c r="AAN26" s="830"/>
      <c r="AAO26" s="830"/>
      <c r="AAP26" s="830"/>
      <c r="AAQ26" s="830"/>
      <c r="AAR26" s="830"/>
      <c r="AAS26" s="830"/>
      <c r="AAT26" s="830"/>
      <c r="AAU26" s="830"/>
      <c r="AAV26" s="830"/>
      <c r="AAW26" s="830"/>
      <c r="AAX26" s="830"/>
      <c r="AAY26" s="830"/>
      <c r="AAZ26" s="830"/>
      <c r="ABA26" s="830"/>
      <c r="ABB26" s="830"/>
      <c r="ABC26" s="830"/>
      <c r="ABD26" s="830"/>
      <c r="ABE26" s="830"/>
      <c r="ABF26" s="830"/>
      <c r="ABG26" s="830"/>
      <c r="ABH26" s="830"/>
      <c r="ABI26" s="830"/>
      <c r="ABJ26" s="830"/>
      <c r="ABK26" s="830"/>
      <c r="ABL26" s="830"/>
      <c r="ABM26" s="830"/>
      <c r="ABN26" s="830"/>
      <c r="ABO26" s="830"/>
      <c r="ABP26" s="830"/>
      <c r="ABQ26" s="830"/>
      <c r="ABR26" s="830"/>
      <c r="ABS26" s="830"/>
      <c r="ABT26" s="830"/>
      <c r="ABU26" s="830"/>
      <c r="ABV26" s="830"/>
      <c r="ABW26" s="830"/>
      <c r="ABX26" s="830"/>
      <c r="ABY26" s="830"/>
      <c r="ABZ26" s="830"/>
      <c r="ACA26" s="830"/>
      <c r="ACB26" s="830"/>
      <c r="ACC26" s="830"/>
      <c r="ACD26" s="830"/>
      <c r="ACE26" s="830"/>
      <c r="ACF26" s="830"/>
      <c r="ACG26" s="830"/>
      <c r="ACH26" s="830"/>
      <c r="ACI26" s="830"/>
      <c r="ACJ26" s="830"/>
      <c r="ACK26" s="830"/>
      <c r="ACL26" s="830"/>
      <c r="ACM26" s="830"/>
      <c r="ACN26" s="830"/>
      <c r="ACO26" s="830"/>
      <c r="ACP26" s="830"/>
      <c r="ACQ26" s="830"/>
      <c r="ACR26" s="830"/>
      <c r="ACS26" s="830"/>
      <c r="ACT26" s="830"/>
      <c r="ACU26" s="830"/>
      <c r="ACV26" s="830"/>
      <c r="ACW26" s="830"/>
      <c r="ACX26" s="830"/>
      <c r="ACY26" s="830"/>
      <c r="ACZ26" s="830"/>
      <c r="ADA26" s="830"/>
      <c r="ADB26" s="830"/>
      <c r="ADC26" s="830"/>
      <c r="ADD26" s="830"/>
      <c r="ADE26" s="830"/>
      <c r="ADF26" s="830"/>
      <c r="ADG26" s="830"/>
      <c r="ADH26" s="830"/>
      <c r="ADI26" s="830"/>
      <c r="ADJ26" s="830"/>
      <c r="ADK26" s="830"/>
      <c r="ADL26" s="830"/>
      <c r="ADM26" s="830"/>
      <c r="ADN26" s="830"/>
      <c r="ADO26" s="830"/>
      <c r="ADP26" s="830"/>
      <c r="ADQ26" s="830"/>
      <c r="ADR26" s="830"/>
      <c r="ADS26" s="830"/>
      <c r="ADT26" s="830"/>
      <c r="ADU26" s="830"/>
      <c r="ADV26" s="830"/>
      <c r="ADW26" s="830"/>
      <c r="ADX26" s="830"/>
      <c r="ADY26" s="830"/>
      <c r="ADZ26" s="830"/>
      <c r="AEA26" s="830"/>
      <c r="AEB26" s="830"/>
      <c r="AEC26" s="830"/>
      <c r="AED26" s="830"/>
      <c r="AEE26" s="830"/>
      <c r="AEF26" s="830"/>
      <c r="AEG26" s="830"/>
      <c r="AEH26" s="830"/>
      <c r="AEI26" s="830"/>
      <c r="AEJ26" s="830"/>
      <c r="AEK26" s="830"/>
      <c r="AEL26" s="830"/>
      <c r="AEM26" s="830"/>
      <c r="AEN26" s="830"/>
      <c r="AEO26" s="830"/>
      <c r="AEP26" s="830"/>
      <c r="AEQ26" s="830"/>
      <c r="AER26" s="830"/>
      <c r="AES26" s="830"/>
      <c r="AET26" s="830"/>
      <c r="AEU26" s="830"/>
      <c r="AEV26" s="830"/>
      <c r="AEW26" s="830"/>
      <c r="AEX26" s="830"/>
      <c r="AEY26" s="830"/>
      <c r="AEZ26" s="830"/>
      <c r="AFA26" s="830"/>
      <c r="AFB26" s="830"/>
      <c r="AFC26" s="830"/>
      <c r="AFD26" s="830"/>
      <c r="AFE26" s="830"/>
      <c r="AFF26" s="830"/>
      <c r="AFG26" s="830"/>
      <c r="AFH26" s="830"/>
      <c r="AFI26" s="830"/>
      <c r="AFJ26" s="830"/>
      <c r="AFK26" s="830"/>
      <c r="AFL26" s="830"/>
      <c r="AFM26" s="830"/>
      <c r="AFN26" s="830"/>
      <c r="AFO26" s="830"/>
      <c r="AFP26" s="830"/>
      <c r="AFQ26" s="830"/>
      <c r="AFR26" s="830"/>
      <c r="AFS26" s="830"/>
      <c r="AFT26" s="830"/>
      <c r="AFU26" s="830"/>
      <c r="AFV26" s="830"/>
      <c r="AFW26" s="830"/>
      <c r="AFX26" s="830"/>
      <c r="AFY26" s="830"/>
      <c r="AFZ26" s="830"/>
      <c r="AGA26" s="830"/>
      <c r="AGB26" s="830"/>
      <c r="AGC26" s="830"/>
      <c r="AGD26" s="830"/>
      <c r="AGE26" s="830"/>
      <c r="AGF26" s="830"/>
      <c r="AGG26" s="830"/>
      <c r="AGH26" s="830"/>
      <c r="AGI26" s="830"/>
      <c r="AGJ26" s="830"/>
      <c r="AGK26" s="830"/>
      <c r="AGL26" s="830"/>
      <c r="AGM26" s="830"/>
      <c r="AGN26" s="830"/>
      <c r="AGO26" s="830"/>
      <c r="AGP26" s="830"/>
      <c r="AGQ26" s="830"/>
      <c r="AGR26" s="830"/>
      <c r="AGS26" s="830"/>
      <c r="AGT26" s="830"/>
      <c r="AGU26" s="830"/>
      <c r="AGV26" s="830"/>
      <c r="AGW26" s="830"/>
      <c r="AGX26" s="830"/>
      <c r="AGY26" s="830"/>
      <c r="AGZ26" s="830"/>
      <c r="AHA26" s="830"/>
      <c r="AHB26" s="830"/>
      <c r="AHC26" s="830"/>
      <c r="AHD26" s="830"/>
      <c r="AHE26" s="830"/>
      <c r="AHF26" s="830"/>
      <c r="AHG26" s="830"/>
      <c r="AHH26" s="830"/>
      <c r="AHI26" s="830"/>
      <c r="AHJ26" s="830"/>
      <c r="AHK26" s="830"/>
      <c r="AHL26" s="830"/>
      <c r="AHM26" s="830"/>
      <c r="AHN26" s="830"/>
      <c r="AHO26" s="830"/>
      <c r="AHP26" s="830"/>
      <c r="AHQ26" s="830"/>
      <c r="AHR26" s="830"/>
      <c r="AHS26" s="830"/>
      <c r="AHT26" s="830"/>
      <c r="AHU26" s="830"/>
      <c r="AHV26" s="830"/>
      <c r="AHW26" s="830"/>
      <c r="AHX26" s="830"/>
      <c r="AHY26" s="830"/>
      <c r="AHZ26" s="830"/>
      <c r="AIA26" s="830"/>
      <c r="AIB26" s="830"/>
      <c r="AIC26" s="830"/>
      <c r="AID26" s="830"/>
      <c r="AIE26" s="830"/>
      <c r="AIF26" s="830"/>
      <c r="AIG26" s="830"/>
      <c r="AIH26" s="830"/>
      <c r="AII26" s="830"/>
      <c r="AIJ26" s="830"/>
      <c r="AIK26" s="830"/>
      <c r="AIL26" s="830"/>
      <c r="AIM26" s="830"/>
      <c r="AIN26" s="830"/>
      <c r="AIO26" s="830"/>
      <c r="AIP26" s="830"/>
      <c r="AIQ26" s="830"/>
      <c r="AIR26" s="830"/>
      <c r="AIS26" s="830"/>
      <c r="AIT26" s="830"/>
      <c r="AIU26" s="830"/>
      <c r="AIV26" s="830"/>
      <c r="AIW26" s="830"/>
      <c r="AIX26" s="830"/>
      <c r="AIY26" s="830"/>
      <c r="AIZ26" s="830"/>
      <c r="AJA26" s="830"/>
      <c r="AJB26" s="830"/>
      <c r="AJC26" s="830"/>
      <c r="AJD26" s="830"/>
      <c r="AJE26" s="830"/>
      <c r="AJF26" s="830"/>
      <c r="AJG26" s="830"/>
      <c r="AJH26" s="830"/>
      <c r="AJI26" s="830"/>
      <c r="AJJ26" s="830"/>
      <c r="AJK26" s="830"/>
      <c r="AJL26" s="830"/>
      <c r="AJM26" s="830"/>
      <c r="AJN26" s="830"/>
      <c r="AJO26" s="830"/>
      <c r="AJP26" s="830"/>
      <c r="AJQ26" s="830"/>
      <c r="AJR26" s="830"/>
      <c r="AJS26" s="830"/>
      <c r="AJT26" s="830"/>
      <c r="AJU26" s="830"/>
      <c r="AJV26" s="830"/>
      <c r="AJW26" s="830"/>
      <c r="AJX26" s="830"/>
      <c r="AJY26" s="830"/>
      <c r="AJZ26" s="830"/>
      <c r="AKA26" s="830"/>
      <c r="AKB26" s="830"/>
      <c r="AKC26" s="830"/>
      <c r="AKD26" s="830"/>
      <c r="AKE26" s="830"/>
      <c r="AKF26" s="830"/>
      <c r="AKG26" s="830"/>
      <c r="AKH26" s="830"/>
      <c r="AKI26" s="830"/>
      <c r="AKJ26" s="830"/>
      <c r="AKK26" s="830"/>
      <c r="AKL26" s="830"/>
      <c r="AKM26" s="830"/>
      <c r="AKN26" s="830"/>
      <c r="AKO26" s="830"/>
      <c r="AKP26" s="830"/>
      <c r="AKQ26" s="830"/>
      <c r="AKR26" s="830"/>
      <c r="AKS26" s="830"/>
      <c r="AKT26" s="830"/>
      <c r="AKU26" s="830"/>
      <c r="AKV26" s="830"/>
      <c r="AKW26" s="830"/>
      <c r="AKX26" s="830"/>
      <c r="AKY26" s="830"/>
      <c r="AKZ26" s="830"/>
      <c r="ALA26" s="830"/>
      <c r="ALB26" s="830"/>
      <c r="ALC26" s="830"/>
      <c r="ALD26" s="830"/>
      <c r="ALE26" s="830"/>
      <c r="ALF26" s="830"/>
      <c r="ALG26" s="830"/>
      <c r="ALH26" s="830"/>
      <c r="ALI26" s="830"/>
      <c r="ALJ26" s="830"/>
      <c r="ALK26" s="830"/>
      <c r="ALL26" s="830"/>
      <c r="ALM26" s="830"/>
      <c r="ALN26" s="830"/>
      <c r="ALO26" s="830"/>
      <c r="ALP26" s="830"/>
      <c r="ALQ26" s="830"/>
      <c r="ALR26" s="830"/>
      <c r="ALS26" s="830"/>
      <c r="ALT26" s="830"/>
      <c r="ALU26" s="830"/>
      <c r="ALV26" s="830"/>
      <c r="ALW26" s="830"/>
      <c r="ALX26" s="830"/>
      <c r="ALY26" s="830"/>
      <c r="ALZ26" s="830"/>
      <c r="AMA26" s="830"/>
      <c r="AMB26" s="830"/>
      <c r="AMC26" s="830"/>
      <c r="AMD26" s="830"/>
      <c r="AME26" s="830"/>
      <c r="AMF26" s="830"/>
      <c r="AMG26" s="830"/>
      <c r="AMH26" s="830"/>
      <c r="AMI26" s="830"/>
      <c r="AMJ26" s="830"/>
      <c r="AMK26" s="830"/>
      <c r="AML26" s="830"/>
      <c r="AMM26" s="830"/>
      <c r="AMN26" s="830"/>
      <c r="AMO26" s="830"/>
      <c r="AMP26" s="830"/>
      <c r="AMQ26" s="830"/>
      <c r="AMR26" s="830"/>
      <c r="AMS26" s="830"/>
      <c r="AMT26" s="830"/>
      <c r="AMU26" s="830"/>
      <c r="AMV26" s="830"/>
      <c r="AMW26" s="830"/>
      <c r="AMX26" s="830"/>
      <c r="AMY26" s="830"/>
      <c r="AMZ26" s="830"/>
      <c r="ANA26" s="830"/>
      <c r="ANB26" s="830"/>
      <c r="ANC26" s="830"/>
      <c r="AND26" s="830"/>
      <c r="ANE26" s="830"/>
      <c r="ANF26" s="830"/>
      <c r="ANG26" s="830"/>
      <c r="ANH26" s="830"/>
      <c r="ANI26" s="830"/>
      <c r="ANJ26" s="830"/>
      <c r="ANK26" s="830"/>
      <c r="ANL26" s="830"/>
      <c r="ANM26" s="830"/>
      <c r="ANN26" s="830"/>
      <c r="ANO26" s="830"/>
      <c r="ANP26" s="830"/>
      <c r="ANQ26" s="830"/>
      <c r="ANR26" s="830"/>
      <c r="ANS26" s="830"/>
      <c r="ANT26" s="830"/>
      <c r="ANU26" s="830"/>
      <c r="ANV26" s="830"/>
      <c r="ANW26" s="830"/>
      <c r="ANX26" s="830"/>
      <c r="ANY26" s="830"/>
      <c r="ANZ26" s="830"/>
      <c r="AOA26" s="830"/>
      <c r="AOB26" s="830"/>
      <c r="AOC26" s="830"/>
      <c r="AOD26" s="830"/>
      <c r="AOE26" s="830"/>
      <c r="AOF26" s="830"/>
      <c r="AOG26" s="830"/>
      <c r="AOH26" s="830"/>
      <c r="AOI26" s="830"/>
      <c r="AOJ26" s="830"/>
      <c r="AOK26" s="830"/>
      <c r="AOL26" s="830"/>
      <c r="AOM26" s="830"/>
      <c r="AON26" s="830"/>
      <c r="AOO26" s="830"/>
      <c r="AOP26" s="830"/>
      <c r="AOQ26" s="830"/>
      <c r="AOR26" s="830"/>
      <c r="AOS26" s="830"/>
      <c r="AOT26" s="830"/>
      <c r="AOU26" s="830"/>
      <c r="AOV26" s="830"/>
      <c r="AOW26" s="830"/>
      <c r="AOX26" s="830"/>
      <c r="AOY26" s="830"/>
      <c r="AOZ26" s="830"/>
      <c r="APA26" s="830"/>
      <c r="APB26" s="830"/>
      <c r="APC26" s="830"/>
      <c r="APD26" s="830"/>
      <c r="APE26" s="830"/>
      <c r="APF26" s="830"/>
      <c r="APG26" s="830"/>
      <c r="APH26" s="830"/>
      <c r="API26" s="830"/>
      <c r="APJ26" s="830"/>
      <c r="APK26" s="830"/>
      <c r="APL26" s="830"/>
      <c r="APM26" s="830"/>
      <c r="APN26" s="830"/>
      <c r="APO26" s="830"/>
      <c r="APP26" s="830"/>
      <c r="APQ26" s="830"/>
      <c r="APR26" s="830"/>
      <c r="APS26" s="830"/>
      <c r="APT26" s="830"/>
      <c r="APU26" s="830"/>
      <c r="APV26" s="830"/>
      <c r="APW26" s="830"/>
      <c r="APX26" s="830"/>
      <c r="APY26" s="830"/>
      <c r="APZ26" s="830"/>
      <c r="AQA26" s="830"/>
      <c r="AQB26" s="830"/>
      <c r="AQC26" s="830"/>
      <c r="AQD26" s="830"/>
      <c r="AQE26" s="830"/>
      <c r="AQF26" s="830"/>
      <c r="AQG26" s="830"/>
      <c r="AQH26" s="830"/>
      <c r="AQI26" s="830"/>
      <c r="AQJ26" s="830"/>
      <c r="AQK26" s="830"/>
      <c r="AQL26" s="830"/>
      <c r="AQM26" s="830"/>
      <c r="AQN26" s="830"/>
      <c r="AQO26" s="830"/>
      <c r="AQP26" s="830"/>
      <c r="AQQ26" s="830"/>
      <c r="AQR26" s="830"/>
      <c r="AQS26" s="830"/>
      <c r="AQT26" s="830"/>
      <c r="AQU26" s="830"/>
      <c r="AQV26" s="830"/>
      <c r="AQW26" s="830"/>
      <c r="AQX26" s="830"/>
      <c r="AQY26" s="830"/>
      <c r="AQZ26" s="830"/>
      <c r="ARA26" s="830"/>
      <c r="ARB26" s="830"/>
      <c r="ARC26" s="830"/>
      <c r="ARD26" s="830"/>
      <c r="ARE26" s="830"/>
      <c r="ARF26" s="830"/>
      <c r="ARG26" s="830"/>
      <c r="ARH26" s="830"/>
      <c r="ARI26" s="830"/>
      <c r="ARJ26" s="830"/>
      <c r="ARK26" s="830"/>
      <c r="ARL26" s="830"/>
      <c r="ARM26" s="830"/>
      <c r="ARN26" s="830"/>
      <c r="ARO26" s="830"/>
      <c r="ARP26" s="830"/>
      <c r="ARQ26" s="830"/>
      <c r="ARR26" s="830"/>
      <c r="ARS26" s="830"/>
      <c r="ART26" s="830"/>
      <c r="ARU26" s="830"/>
      <c r="ARV26" s="830"/>
      <c r="ARW26" s="830"/>
      <c r="ARX26" s="830"/>
      <c r="ARY26" s="830"/>
      <c r="ARZ26" s="830"/>
      <c r="ASA26" s="830"/>
      <c r="ASB26" s="830"/>
      <c r="ASC26" s="830"/>
      <c r="ASD26" s="830"/>
      <c r="ASE26" s="830"/>
      <c r="ASF26" s="830"/>
      <c r="ASG26" s="830"/>
      <c r="ASH26" s="830"/>
      <c r="ASI26" s="830"/>
      <c r="ASJ26" s="830"/>
      <c r="ASK26" s="830"/>
      <c r="ASL26" s="830"/>
      <c r="ASM26" s="830"/>
      <c r="ASN26" s="830"/>
      <c r="ASO26" s="830"/>
      <c r="ASP26" s="830"/>
      <c r="ASQ26" s="830"/>
      <c r="ASR26" s="830"/>
      <c r="ASS26" s="830"/>
      <c r="AST26" s="830"/>
      <c r="ASU26" s="830"/>
      <c r="ASV26" s="830"/>
      <c r="ASW26" s="830"/>
      <c r="ASX26" s="830"/>
      <c r="ASY26" s="830"/>
      <c r="ASZ26" s="830"/>
      <c r="ATA26" s="830"/>
      <c r="ATB26" s="830"/>
      <c r="ATC26" s="830"/>
      <c r="ATD26" s="830"/>
      <c r="ATE26" s="830"/>
      <c r="ATF26" s="830"/>
      <c r="ATG26" s="830"/>
      <c r="ATH26" s="830"/>
      <c r="ATI26" s="830"/>
      <c r="ATJ26" s="830"/>
      <c r="ATK26" s="830"/>
      <c r="ATL26" s="830"/>
      <c r="ATM26" s="830"/>
      <c r="ATN26" s="830"/>
      <c r="ATO26" s="830"/>
      <c r="ATP26" s="830"/>
      <c r="ATQ26" s="830"/>
      <c r="ATR26" s="830"/>
      <c r="ATS26" s="830"/>
      <c r="ATT26" s="830"/>
      <c r="ATU26" s="830"/>
      <c r="ATV26" s="830"/>
      <c r="ATW26" s="830"/>
      <c r="ATX26" s="830"/>
      <c r="ATY26" s="830"/>
      <c r="ATZ26" s="830"/>
      <c r="AUA26" s="830"/>
      <c r="AUB26" s="830"/>
      <c r="AUC26" s="830"/>
      <c r="AUD26" s="830"/>
      <c r="AUE26" s="830"/>
      <c r="AUF26" s="830"/>
      <c r="AUG26" s="830"/>
      <c r="AUH26" s="830"/>
      <c r="AUI26" s="830"/>
      <c r="AUJ26" s="830"/>
      <c r="AUK26" s="830"/>
      <c r="AUL26" s="830"/>
      <c r="AUM26" s="830"/>
      <c r="AUN26" s="830"/>
      <c r="AUO26" s="830"/>
      <c r="AUP26" s="830"/>
      <c r="AUQ26" s="830"/>
      <c r="AUR26" s="830"/>
      <c r="AUS26" s="830"/>
      <c r="AUT26" s="830"/>
      <c r="AUU26" s="830"/>
      <c r="AUV26" s="830"/>
      <c r="AUW26" s="830"/>
      <c r="AUX26" s="830"/>
      <c r="AUY26" s="830"/>
      <c r="AUZ26" s="830"/>
      <c r="AVA26" s="830"/>
      <c r="AVB26" s="830"/>
      <c r="AVC26" s="830"/>
      <c r="AVD26" s="830"/>
      <c r="AVE26" s="830"/>
      <c r="AVF26" s="830"/>
      <c r="AVG26" s="830"/>
      <c r="AVH26" s="830"/>
      <c r="AVI26" s="830"/>
      <c r="AVJ26" s="830"/>
      <c r="AVK26" s="830"/>
      <c r="AVL26" s="830"/>
      <c r="AVM26" s="830"/>
      <c r="AVN26" s="830"/>
      <c r="AVO26" s="830"/>
      <c r="AVP26" s="830"/>
      <c r="AVQ26" s="830"/>
      <c r="AVR26" s="830"/>
      <c r="AVS26" s="830"/>
      <c r="AVT26" s="830"/>
      <c r="AVU26" s="830"/>
      <c r="AVV26" s="830"/>
      <c r="AVW26" s="830"/>
      <c r="AVX26" s="830"/>
      <c r="AVY26" s="830"/>
      <c r="AVZ26" s="830"/>
      <c r="AWA26" s="830"/>
      <c r="AWB26" s="830"/>
      <c r="AWC26" s="830"/>
      <c r="AWD26" s="830"/>
      <c r="AWE26" s="830"/>
      <c r="AWF26" s="830"/>
      <c r="AWG26" s="830"/>
      <c r="AWH26" s="830"/>
      <c r="AWI26" s="830"/>
      <c r="AWJ26" s="830"/>
      <c r="AWK26" s="830"/>
      <c r="AWL26" s="830"/>
      <c r="AWM26" s="830"/>
      <c r="AWN26" s="830"/>
      <c r="AWO26" s="830"/>
      <c r="AWP26" s="830"/>
      <c r="AWQ26" s="830"/>
      <c r="AWR26" s="830"/>
      <c r="AWS26" s="830"/>
      <c r="AWT26" s="830"/>
      <c r="AWU26" s="830"/>
      <c r="AWV26" s="830"/>
      <c r="AWW26" s="830"/>
      <c r="AWX26" s="830"/>
      <c r="AWY26" s="830"/>
      <c r="AWZ26" s="830"/>
      <c r="AXA26" s="830"/>
      <c r="AXB26" s="830"/>
      <c r="AXC26" s="830"/>
      <c r="AXD26" s="830"/>
      <c r="AXE26" s="830"/>
      <c r="AXF26" s="830"/>
      <c r="AXG26" s="830"/>
      <c r="AXH26" s="830"/>
      <c r="AXI26" s="830"/>
      <c r="AXJ26" s="830"/>
      <c r="AXK26" s="830"/>
      <c r="AXL26" s="830"/>
      <c r="AXM26" s="830"/>
      <c r="AXN26" s="830"/>
      <c r="AXO26" s="830"/>
      <c r="AXP26" s="830"/>
      <c r="AXQ26" s="830"/>
      <c r="AXR26" s="830"/>
      <c r="AXS26" s="830"/>
      <c r="AXT26" s="830"/>
      <c r="AXU26" s="830"/>
      <c r="AXV26" s="830"/>
      <c r="AXW26" s="830"/>
      <c r="AXX26" s="830"/>
      <c r="AXY26" s="830"/>
      <c r="AXZ26" s="830"/>
      <c r="AYA26" s="830"/>
      <c r="AYB26" s="830"/>
      <c r="AYC26" s="830"/>
      <c r="AYD26" s="830"/>
      <c r="AYE26" s="830"/>
      <c r="AYF26" s="830"/>
      <c r="AYG26" s="830"/>
      <c r="AYH26" s="830"/>
      <c r="AYI26" s="830"/>
      <c r="AYJ26" s="830"/>
      <c r="AYK26" s="830"/>
      <c r="AYL26" s="830"/>
      <c r="AYM26" s="830"/>
      <c r="AYN26" s="830"/>
      <c r="AYO26" s="830"/>
      <c r="AYP26" s="830"/>
      <c r="AYQ26" s="830"/>
      <c r="AYR26" s="830"/>
      <c r="AYS26" s="830"/>
      <c r="AYT26" s="830"/>
      <c r="AYU26" s="830"/>
      <c r="AYV26" s="830"/>
      <c r="AYW26" s="830"/>
      <c r="AYX26" s="830"/>
      <c r="AYY26" s="830"/>
      <c r="AYZ26" s="830"/>
      <c r="AZA26" s="830"/>
      <c r="AZB26" s="830"/>
      <c r="AZC26" s="830"/>
      <c r="AZD26" s="830"/>
      <c r="AZE26" s="830"/>
      <c r="AZF26" s="830"/>
      <c r="AZG26" s="830"/>
      <c r="AZH26" s="830"/>
      <c r="AZI26" s="830"/>
      <c r="AZJ26" s="830"/>
      <c r="AZK26" s="830"/>
      <c r="AZL26" s="830"/>
      <c r="AZM26" s="830"/>
      <c r="AZN26" s="830"/>
      <c r="AZO26" s="830"/>
      <c r="AZP26" s="830"/>
      <c r="AZQ26" s="830"/>
      <c r="AZR26" s="830"/>
      <c r="AZS26" s="830"/>
      <c r="AZT26" s="830"/>
      <c r="AZU26" s="830"/>
      <c r="AZV26" s="830"/>
      <c r="AZW26" s="830"/>
      <c r="AZX26" s="830"/>
      <c r="AZY26" s="830"/>
      <c r="AZZ26" s="830"/>
      <c r="BAA26" s="830"/>
      <c r="BAB26" s="830"/>
      <c r="BAC26" s="830"/>
      <c r="BAD26" s="830"/>
      <c r="BAE26" s="830"/>
      <c r="BAF26" s="830"/>
      <c r="BAG26" s="830"/>
      <c r="BAH26" s="830"/>
      <c r="BAI26" s="830"/>
      <c r="BAJ26" s="830"/>
      <c r="BAK26" s="830"/>
      <c r="BAL26" s="830"/>
      <c r="BAM26" s="830"/>
      <c r="BAN26" s="830"/>
      <c r="BAO26" s="830"/>
      <c r="BAP26" s="830"/>
      <c r="BAQ26" s="830"/>
      <c r="BAR26" s="830"/>
      <c r="BAS26" s="830"/>
      <c r="BAT26" s="830"/>
      <c r="BAU26" s="830"/>
      <c r="BAV26" s="830"/>
      <c r="BAW26" s="830"/>
      <c r="BAX26" s="830"/>
      <c r="BAY26" s="830"/>
      <c r="BAZ26" s="830"/>
      <c r="BBA26" s="830"/>
      <c r="BBB26" s="830"/>
      <c r="BBC26" s="830"/>
      <c r="BBD26" s="830"/>
      <c r="BBE26" s="830"/>
      <c r="BBF26" s="830"/>
      <c r="BBG26" s="830"/>
      <c r="BBH26" s="830"/>
      <c r="BBI26" s="830"/>
      <c r="BBJ26" s="830"/>
      <c r="BBK26" s="830"/>
      <c r="BBL26" s="830"/>
      <c r="BBM26" s="830"/>
      <c r="BBN26" s="830"/>
      <c r="BBO26" s="830"/>
      <c r="BBP26" s="830"/>
      <c r="BBQ26" s="830"/>
      <c r="BBR26" s="830"/>
      <c r="BBS26" s="830"/>
      <c r="BBT26" s="830"/>
      <c r="BBU26" s="830"/>
      <c r="BBV26" s="830"/>
      <c r="BBW26" s="830"/>
      <c r="BBX26" s="830"/>
      <c r="BBY26" s="830"/>
      <c r="BBZ26" s="830"/>
      <c r="BCA26" s="830"/>
      <c r="BCB26" s="830"/>
      <c r="BCC26" s="830"/>
      <c r="BCD26" s="830"/>
      <c r="BCE26" s="830"/>
      <c r="BCF26" s="830"/>
      <c r="BCG26" s="830"/>
      <c r="BCH26" s="830"/>
      <c r="BCI26" s="830"/>
      <c r="BCJ26" s="830"/>
      <c r="BCK26" s="830"/>
      <c r="BCL26" s="830"/>
      <c r="BCM26" s="830"/>
      <c r="BCN26" s="830"/>
      <c r="BCO26" s="830"/>
      <c r="BCP26" s="830"/>
      <c r="BCQ26" s="830"/>
      <c r="BCR26" s="830"/>
      <c r="BCS26" s="830"/>
      <c r="BCT26" s="830"/>
      <c r="BCU26" s="830"/>
      <c r="BCV26" s="830"/>
      <c r="BCW26" s="830"/>
      <c r="BCX26" s="830"/>
      <c r="BCY26" s="830"/>
      <c r="BCZ26" s="830"/>
      <c r="BDA26" s="830"/>
      <c r="BDB26" s="830"/>
      <c r="BDC26" s="830"/>
      <c r="BDD26" s="830"/>
      <c r="BDE26" s="830"/>
      <c r="BDF26" s="830"/>
      <c r="BDG26" s="830"/>
      <c r="BDH26" s="830"/>
      <c r="BDI26" s="830"/>
      <c r="BDJ26" s="830"/>
      <c r="BDK26" s="830"/>
      <c r="BDL26" s="830"/>
      <c r="BDM26" s="830"/>
      <c r="BDN26" s="830"/>
      <c r="BDO26" s="830"/>
      <c r="BDP26" s="830"/>
      <c r="BDQ26" s="830"/>
      <c r="BDR26" s="830"/>
      <c r="BDS26" s="830"/>
      <c r="BDT26" s="830"/>
      <c r="BDU26" s="830"/>
      <c r="BDV26" s="830"/>
      <c r="BDW26" s="830"/>
      <c r="BDX26" s="830"/>
      <c r="BDY26" s="830"/>
      <c r="BDZ26" s="830"/>
      <c r="BEA26" s="830"/>
      <c r="BEB26" s="830"/>
      <c r="BEC26" s="830"/>
      <c r="BED26" s="830"/>
      <c r="BEE26" s="830"/>
      <c r="BEF26" s="830"/>
      <c r="BEG26" s="830"/>
      <c r="BEH26" s="830"/>
      <c r="BEI26" s="830"/>
      <c r="BEJ26" s="830"/>
      <c r="BEK26" s="830"/>
      <c r="BEL26" s="830"/>
      <c r="BEM26" s="830"/>
      <c r="BEN26" s="830"/>
      <c r="BEO26" s="830"/>
      <c r="BEP26" s="830"/>
      <c r="BEQ26" s="830"/>
      <c r="BER26" s="830"/>
      <c r="BES26" s="830"/>
      <c r="BET26" s="830"/>
      <c r="BEU26" s="830"/>
      <c r="BEV26" s="830"/>
      <c r="BEW26" s="830"/>
      <c r="BEX26" s="830"/>
      <c r="BEY26" s="830"/>
      <c r="BEZ26" s="830"/>
      <c r="BFA26" s="830"/>
      <c r="BFB26" s="830"/>
      <c r="BFC26" s="830"/>
      <c r="BFD26" s="830"/>
      <c r="BFE26" s="830"/>
      <c r="BFF26" s="830"/>
      <c r="BFG26" s="830"/>
      <c r="BFH26" s="830"/>
      <c r="BFI26" s="830"/>
      <c r="BFJ26" s="830"/>
      <c r="BFK26" s="830"/>
      <c r="BFL26" s="830"/>
      <c r="BFM26" s="830"/>
      <c r="BFN26" s="830"/>
      <c r="BFO26" s="830"/>
      <c r="BFP26" s="830"/>
      <c r="BFQ26" s="830"/>
      <c r="BFR26" s="830"/>
      <c r="BFS26" s="830"/>
      <c r="BFT26" s="830"/>
      <c r="BFU26" s="830"/>
      <c r="BFV26" s="830"/>
      <c r="BFW26" s="830"/>
      <c r="BFX26" s="830"/>
      <c r="BFY26" s="830"/>
      <c r="BFZ26" s="830"/>
      <c r="BGA26" s="830"/>
      <c r="BGB26" s="830"/>
      <c r="BGC26" s="830"/>
      <c r="BGD26" s="830"/>
      <c r="BGE26" s="830"/>
      <c r="BGF26" s="830"/>
      <c r="BGG26" s="830"/>
      <c r="BGH26" s="830"/>
      <c r="BGI26" s="830"/>
      <c r="BGJ26" s="830"/>
      <c r="BGK26" s="830"/>
      <c r="BGL26" s="830"/>
      <c r="BGM26" s="830"/>
      <c r="BGN26" s="830"/>
      <c r="BGO26" s="830"/>
      <c r="BGP26" s="830"/>
      <c r="BGQ26" s="830"/>
      <c r="BGR26" s="830"/>
      <c r="BGS26" s="830"/>
      <c r="BGT26" s="830"/>
      <c r="BGU26" s="830"/>
      <c r="BGV26" s="830"/>
      <c r="BGW26" s="830"/>
      <c r="BGX26" s="830"/>
      <c r="BGY26" s="830"/>
      <c r="BGZ26" s="830"/>
      <c r="BHA26" s="830"/>
      <c r="BHB26" s="830"/>
      <c r="BHC26" s="830"/>
      <c r="BHD26" s="830"/>
      <c r="BHE26" s="830"/>
      <c r="BHF26" s="830"/>
      <c r="BHG26" s="830"/>
      <c r="BHH26" s="830"/>
      <c r="BHI26" s="830"/>
      <c r="BHJ26" s="830"/>
      <c r="BHK26" s="830"/>
      <c r="BHL26" s="830"/>
      <c r="BHM26" s="830"/>
      <c r="BHN26" s="830"/>
      <c r="BHO26" s="830"/>
      <c r="BHP26" s="830"/>
      <c r="BHQ26" s="830"/>
      <c r="BHR26" s="830"/>
      <c r="BHS26" s="830"/>
      <c r="BHT26" s="830"/>
      <c r="BHU26" s="830"/>
      <c r="BHV26" s="830"/>
      <c r="BHW26" s="830"/>
      <c r="BHX26" s="830"/>
      <c r="BHY26" s="830"/>
      <c r="BHZ26" s="830"/>
      <c r="BIA26" s="830"/>
      <c r="BIB26" s="830"/>
      <c r="BIC26" s="830"/>
      <c r="BID26" s="830"/>
      <c r="BIE26" s="830"/>
      <c r="BIF26" s="830"/>
      <c r="BIG26" s="830"/>
      <c r="BIH26" s="830"/>
      <c r="BII26" s="830"/>
      <c r="BIJ26" s="830"/>
      <c r="BIK26" s="830"/>
      <c r="BIL26" s="830"/>
      <c r="BIM26" s="830"/>
      <c r="BIN26" s="830"/>
      <c r="BIO26" s="830"/>
      <c r="BIP26" s="830"/>
      <c r="BIQ26" s="830"/>
      <c r="BIR26" s="830"/>
      <c r="BIS26" s="830"/>
      <c r="BIT26" s="830"/>
      <c r="BIU26" s="830"/>
      <c r="BIV26" s="830"/>
      <c r="BIW26" s="830"/>
      <c r="BIX26" s="830"/>
      <c r="BIY26" s="830"/>
      <c r="BIZ26" s="830"/>
      <c r="BJA26" s="830"/>
      <c r="BJB26" s="830"/>
      <c r="BJC26" s="830"/>
      <c r="BJD26" s="830"/>
      <c r="BJE26" s="830"/>
      <c r="BJF26" s="830"/>
      <c r="BJG26" s="830"/>
      <c r="BJH26" s="830"/>
      <c r="BJI26" s="830"/>
      <c r="BJJ26" s="830"/>
      <c r="BJK26" s="830"/>
      <c r="BJL26" s="830"/>
      <c r="BJM26" s="830"/>
      <c r="BJN26" s="830"/>
      <c r="BJO26" s="830"/>
      <c r="BJP26" s="830"/>
      <c r="BJQ26" s="830"/>
      <c r="BJR26" s="830"/>
      <c r="BJS26" s="830"/>
      <c r="BJT26" s="830"/>
      <c r="BJU26" s="830"/>
      <c r="BJV26" s="830"/>
      <c r="BJW26" s="830"/>
      <c r="BJX26" s="830"/>
      <c r="BJY26" s="830"/>
      <c r="BJZ26" s="830"/>
      <c r="BKA26" s="830"/>
      <c r="BKB26" s="830"/>
      <c r="BKC26" s="830"/>
      <c r="BKD26" s="830"/>
      <c r="BKE26" s="830"/>
      <c r="BKF26" s="830"/>
      <c r="BKG26" s="830"/>
      <c r="BKH26" s="830"/>
      <c r="BKI26" s="830"/>
      <c r="BKJ26" s="830"/>
      <c r="BKK26" s="830"/>
      <c r="BKL26" s="830"/>
      <c r="BKM26" s="830"/>
      <c r="BKN26" s="830"/>
      <c r="BKO26" s="830"/>
      <c r="BKP26" s="830"/>
      <c r="BKQ26" s="830"/>
      <c r="BKR26" s="830"/>
      <c r="BKS26" s="830"/>
      <c r="BKT26" s="830"/>
      <c r="BKU26" s="830"/>
      <c r="BKV26" s="830"/>
      <c r="BKW26" s="830"/>
      <c r="BKX26" s="830"/>
      <c r="BKY26" s="830"/>
      <c r="BKZ26" s="830"/>
      <c r="BLA26" s="830"/>
      <c r="BLB26" s="830"/>
      <c r="BLC26" s="830"/>
      <c r="BLD26" s="830"/>
      <c r="BLE26" s="830"/>
      <c r="BLF26" s="830"/>
      <c r="BLG26" s="830"/>
      <c r="BLH26" s="830"/>
      <c r="BLI26" s="830"/>
      <c r="BLJ26" s="830"/>
      <c r="BLK26" s="830"/>
      <c r="BLL26" s="830"/>
      <c r="BLM26" s="830"/>
      <c r="BLN26" s="830"/>
      <c r="BLO26" s="830"/>
      <c r="BLP26" s="830"/>
      <c r="BLQ26" s="830"/>
      <c r="BLR26" s="830"/>
      <c r="BLS26" s="830"/>
      <c r="BLT26" s="830"/>
      <c r="BLU26" s="830"/>
      <c r="BLV26" s="830"/>
      <c r="BLW26" s="830"/>
      <c r="BLX26" s="830"/>
      <c r="BLY26" s="830"/>
      <c r="BLZ26" s="830"/>
      <c r="BMA26" s="830"/>
      <c r="BMB26" s="830"/>
      <c r="BMC26" s="830"/>
      <c r="BMD26" s="830"/>
      <c r="BME26" s="830"/>
      <c r="BMF26" s="830"/>
      <c r="BMG26" s="830"/>
      <c r="BMH26" s="830"/>
      <c r="BMI26" s="830"/>
      <c r="BMJ26" s="830"/>
      <c r="BMK26" s="830"/>
      <c r="BML26" s="830"/>
      <c r="BMM26" s="830"/>
      <c r="BMN26" s="830"/>
      <c r="BMO26" s="830"/>
      <c r="BMP26" s="830"/>
      <c r="BMQ26" s="830"/>
      <c r="BMR26" s="830"/>
      <c r="BMS26" s="830"/>
      <c r="BMT26" s="830"/>
      <c r="BMU26" s="830"/>
      <c r="BMV26" s="830"/>
      <c r="BMW26" s="830"/>
      <c r="BMX26" s="830"/>
      <c r="BMY26" s="830"/>
      <c r="BMZ26" s="830"/>
      <c r="BNA26" s="830"/>
      <c r="BNB26" s="830"/>
      <c r="BNC26" s="830"/>
      <c r="BND26" s="830"/>
      <c r="BNE26" s="830"/>
      <c r="BNF26" s="830"/>
      <c r="BNG26" s="830"/>
      <c r="BNH26" s="830"/>
      <c r="BNI26" s="830"/>
      <c r="BNJ26" s="830"/>
      <c r="BNK26" s="830"/>
      <c r="BNL26" s="830"/>
      <c r="BNM26" s="830"/>
      <c r="BNN26" s="830"/>
      <c r="BNO26" s="830"/>
      <c r="BNP26" s="830"/>
      <c r="BNQ26" s="830"/>
      <c r="BNR26" s="830"/>
      <c r="BNS26" s="830"/>
      <c r="BNT26" s="830"/>
      <c r="BNU26" s="830"/>
      <c r="BNV26" s="830"/>
      <c r="BNW26" s="830"/>
      <c r="BNX26" s="830"/>
      <c r="BNY26" s="830"/>
      <c r="BNZ26" s="830"/>
      <c r="BOA26" s="830"/>
      <c r="BOB26" s="830"/>
      <c r="BOC26" s="830"/>
      <c r="BOD26" s="830"/>
      <c r="BOE26" s="830"/>
      <c r="BOF26" s="830"/>
      <c r="BOG26" s="830"/>
      <c r="BOH26" s="830"/>
      <c r="BOI26" s="830"/>
      <c r="BOJ26" s="830"/>
      <c r="BOK26" s="830"/>
      <c r="BOL26" s="830"/>
      <c r="BOM26" s="830"/>
      <c r="BON26" s="830"/>
      <c r="BOO26" s="830"/>
      <c r="BOP26" s="830"/>
      <c r="BOQ26" s="830"/>
      <c r="BOR26" s="830"/>
      <c r="BOS26" s="830"/>
      <c r="BOT26" s="830"/>
      <c r="BOU26" s="830"/>
      <c r="BOV26" s="830"/>
      <c r="BOW26" s="830"/>
      <c r="BOX26" s="830"/>
      <c r="BOY26" s="830"/>
      <c r="BOZ26" s="830"/>
      <c r="BPA26" s="830"/>
      <c r="BPB26" s="830"/>
      <c r="BPC26" s="830"/>
      <c r="BPD26" s="830"/>
      <c r="BPE26" s="830"/>
      <c r="BPF26" s="830"/>
      <c r="BPG26" s="830"/>
      <c r="BPH26" s="830"/>
      <c r="BPI26" s="830"/>
      <c r="BPJ26" s="830"/>
      <c r="BPK26" s="830"/>
      <c r="BPL26" s="830"/>
      <c r="BPM26" s="830"/>
      <c r="BPN26" s="830"/>
      <c r="BPO26" s="830"/>
      <c r="BPP26" s="830"/>
      <c r="BPQ26" s="830"/>
      <c r="BPR26" s="830"/>
      <c r="BPS26" s="830"/>
      <c r="BPT26" s="830"/>
      <c r="BPU26" s="830"/>
      <c r="BPV26" s="830"/>
      <c r="BPW26" s="830"/>
      <c r="BPX26" s="830"/>
      <c r="BPY26" s="830"/>
      <c r="BPZ26" s="830"/>
      <c r="BQA26" s="830"/>
      <c r="BQB26" s="830"/>
      <c r="BQC26" s="830"/>
      <c r="BQD26" s="830"/>
      <c r="BQE26" s="830"/>
      <c r="BQF26" s="830"/>
      <c r="BQG26" s="830"/>
      <c r="BQH26" s="830"/>
      <c r="BQI26" s="830"/>
      <c r="BQJ26" s="830"/>
      <c r="BQK26" s="830"/>
      <c r="BQL26" s="830"/>
      <c r="BQM26" s="830"/>
      <c r="BQN26" s="830"/>
      <c r="BQO26" s="830"/>
      <c r="BQP26" s="830"/>
      <c r="BQQ26" s="830"/>
      <c r="BQR26" s="830"/>
      <c r="BQS26" s="830"/>
      <c r="BQT26" s="830"/>
      <c r="BQU26" s="830"/>
      <c r="BQV26" s="830"/>
      <c r="BQW26" s="830"/>
      <c r="BQX26" s="830"/>
      <c r="BQY26" s="830"/>
      <c r="BQZ26" s="830"/>
      <c r="BRA26" s="830"/>
      <c r="BRB26" s="830"/>
      <c r="BRC26" s="830"/>
      <c r="BRD26" s="830"/>
      <c r="BRE26" s="830"/>
      <c r="BRF26" s="830"/>
      <c r="BRG26" s="830"/>
      <c r="BRH26" s="830"/>
      <c r="BRI26" s="830"/>
      <c r="BRJ26" s="830"/>
      <c r="BRK26" s="830"/>
      <c r="BRL26" s="830"/>
      <c r="BRM26" s="830"/>
      <c r="BRN26" s="830"/>
      <c r="BRO26" s="830"/>
      <c r="BRP26" s="830"/>
      <c r="BRQ26" s="830"/>
      <c r="BRR26" s="830"/>
      <c r="BRS26" s="830"/>
      <c r="BRT26" s="830"/>
      <c r="BRU26" s="830"/>
      <c r="BRV26" s="830"/>
      <c r="BRW26" s="830"/>
      <c r="BRX26" s="830"/>
      <c r="BRY26" s="830"/>
      <c r="BRZ26" s="830"/>
      <c r="BSA26" s="830"/>
      <c r="BSB26" s="830"/>
      <c r="BSC26" s="830"/>
      <c r="BSD26" s="830"/>
      <c r="BSE26" s="830"/>
      <c r="BSF26" s="830"/>
      <c r="BSG26" s="830"/>
      <c r="BSH26" s="830"/>
      <c r="BSI26" s="830"/>
      <c r="BSJ26" s="830"/>
      <c r="BSK26" s="830"/>
      <c r="BSL26" s="830"/>
      <c r="BSM26" s="830"/>
      <c r="BSN26" s="830"/>
      <c r="BSO26" s="830"/>
      <c r="BSP26" s="830"/>
      <c r="BSQ26" s="830"/>
      <c r="BSR26" s="830"/>
      <c r="BSS26" s="830"/>
      <c r="BST26" s="830"/>
    </row>
    <row r="27" spans="1:1866" s="829" customFormat="1" ht="20.100000000000001" customHeight="1" x14ac:dyDescent="0.25">
      <c r="A27" s="830"/>
      <c r="B27" s="3183"/>
      <c r="C27" s="1502" t="s">
        <v>280</v>
      </c>
      <c r="D27" s="1503">
        <f>SUMIF(Bfr!$B$53:$B$56,"="&amp;C27,Bfr!$D$53:$D$56)</f>
        <v>0</v>
      </c>
      <c r="E27" s="1473"/>
      <c r="F27" s="1500">
        <f>E24*$D$27</f>
        <v>0</v>
      </c>
      <c r="G27" s="1500">
        <f t="shared" ref="G27:V27" si="32">F24*$D$27</f>
        <v>0</v>
      </c>
      <c r="H27" s="1500">
        <f t="shared" si="32"/>
        <v>0</v>
      </c>
      <c r="I27" s="1500">
        <f t="shared" si="32"/>
        <v>0</v>
      </c>
      <c r="J27" s="1500">
        <f t="shared" si="32"/>
        <v>0</v>
      </c>
      <c r="K27" s="1500">
        <f t="shared" si="32"/>
        <v>0</v>
      </c>
      <c r="L27" s="1500">
        <f t="shared" si="32"/>
        <v>0</v>
      </c>
      <c r="M27" s="1500">
        <f t="shared" si="32"/>
        <v>0</v>
      </c>
      <c r="N27" s="1500">
        <f t="shared" si="32"/>
        <v>0</v>
      </c>
      <c r="O27" s="1500">
        <f t="shared" si="32"/>
        <v>0</v>
      </c>
      <c r="P27" s="1500">
        <f t="shared" si="32"/>
        <v>0</v>
      </c>
      <c r="Q27" s="1500">
        <f t="shared" si="32"/>
        <v>0</v>
      </c>
      <c r="R27" s="1500">
        <f t="shared" si="32"/>
        <v>0</v>
      </c>
      <c r="S27" s="1500">
        <f t="shared" si="32"/>
        <v>0</v>
      </c>
      <c r="T27" s="1500">
        <f t="shared" si="32"/>
        <v>0</v>
      </c>
      <c r="U27" s="1500">
        <f t="shared" si="32"/>
        <v>0</v>
      </c>
      <c r="V27" s="1501">
        <f t="shared" si="32"/>
        <v>0</v>
      </c>
      <c r="W27" s="830"/>
      <c r="X27" s="1459">
        <f t="shared" si="30"/>
        <v>0</v>
      </c>
      <c r="Y27" s="1459">
        <f>V24*D27</f>
        <v>0</v>
      </c>
      <c r="Z27" s="1460"/>
      <c r="AA27" s="1461"/>
      <c r="AB27" s="826"/>
      <c r="AC27" s="826"/>
      <c r="AD27" s="830"/>
      <c r="AE27" s="830"/>
      <c r="AF27" s="830"/>
      <c r="AG27" s="830"/>
      <c r="AH27" s="830"/>
      <c r="AI27" s="830"/>
      <c r="AJ27" s="830"/>
      <c r="AK27" s="830"/>
      <c r="AL27" s="830"/>
      <c r="AM27" s="830"/>
      <c r="AN27" s="830"/>
      <c r="AO27" s="830"/>
      <c r="AP27" s="830"/>
      <c r="AQ27" s="830"/>
      <c r="AR27" s="830"/>
      <c r="AS27" s="830"/>
      <c r="AT27" s="830"/>
      <c r="AU27" s="830"/>
      <c r="AV27" s="830"/>
      <c r="AW27" s="830"/>
      <c r="AX27" s="830"/>
      <c r="AY27" s="830"/>
      <c r="AZ27" s="830"/>
      <c r="BA27" s="830"/>
      <c r="BB27" s="830"/>
      <c r="BC27" s="830"/>
      <c r="BD27" s="830"/>
      <c r="BE27" s="830"/>
      <c r="BF27" s="830"/>
      <c r="BG27" s="830"/>
      <c r="BH27" s="830"/>
      <c r="BI27" s="830"/>
      <c r="BJ27" s="830"/>
      <c r="BK27" s="830"/>
      <c r="BL27" s="830"/>
      <c r="BM27" s="830"/>
      <c r="BN27" s="830"/>
      <c r="BO27" s="830"/>
      <c r="BP27" s="830"/>
      <c r="BQ27" s="830"/>
      <c r="BR27" s="830"/>
      <c r="BS27" s="830"/>
      <c r="BT27" s="830"/>
      <c r="BU27" s="830"/>
      <c r="BV27" s="830"/>
      <c r="BW27" s="830"/>
      <c r="BX27" s="830"/>
      <c r="BY27" s="830"/>
      <c r="BZ27" s="830"/>
      <c r="CA27" s="830"/>
      <c r="CB27" s="830"/>
      <c r="CC27" s="830"/>
      <c r="CD27" s="830"/>
      <c r="CE27" s="830"/>
      <c r="CF27" s="830"/>
      <c r="CG27" s="830"/>
      <c r="CH27" s="830"/>
      <c r="CI27" s="830"/>
      <c r="CJ27" s="830"/>
      <c r="CK27" s="830"/>
      <c r="CL27" s="830"/>
      <c r="CM27" s="830"/>
      <c r="CN27" s="830"/>
      <c r="CO27" s="830"/>
      <c r="CP27" s="830"/>
      <c r="CQ27" s="830"/>
      <c r="CR27" s="830"/>
      <c r="CS27" s="830"/>
      <c r="CT27" s="830"/>
      <c r="CU27" s="830"/>
      <c r="CV27" s="830"/>
      <c r="CW27" s="830"/>
      <c r="CX27" s="830"/>
      <c r="CY27" s="830"/>
      <c r="CZ27" s="830"/>
      <c r="DA27" s="830"/>
      <c r="DB27" s="830"/>
      <c r="DC27" s="830"/>
      <c r="DD27" s="830"/>
      <c r="DE27" s="830"/>
      <c r="DF27" s="830"/>
      <c r="DG27" s="830"/>
      <c r="DH27" s="830"/>
      <c r="DI27" s="830"/>
      <c r="DJ27" s="830"/>
      <c r="DK27" s="830"/>
      <c r="DL27" s="830"/>
      <c r="DM27" s="830"/>
      <c r="DN27" s="830"/>
      <c r="DO27" s="830"/>
      <c r="DP27" s="830"/>
      <c r="DQ27" s="830"/>
      <c r="DR27" s="830"/>
      <c r="DS27" s="830"/>
      <c r="DT27" s="830"/>
      <c r="DU27" s="830"/>
      <c r="DV27" s="830"/>
      <c r="DW27" s="830"/>
      <c r="DX27" s="830"/>
      <c r="DY27" s="830"/>
      <c r="DZ27" s="830"/>
      <c r="EA27" s="830"/>
      <c r="EB27" s="830"/>
      <c r="EC27" s="830"/>
      <c r="ED27" s="830"/>
      <c r="EE27" s="830"/>
      <c r="EF27" s="830"/>
      <c r="EG27" s="830"/>
      <c r="EH27" s="830"/>
      <c r="EI27" s="830"/>
      <c r="EJ27" s="830"/>
      <c r="EK27" s="830"/>
      <c r="EL27" s="830"/>
      <c r="EM27" s="830"/>
      <c r="EN27" s="830"/>
      <c r="EO27" s="830"/>
      <c r="EP27" s="830"/>
      <c r="EQ27" s="830"/>
      <c r="ER27" s="830"/>
      <c r="ES27" s="830"/>
      <c r="ET27" s="830"/>
      <c r="EU27" s="830"/>
      <c r="EV27" s="830"/>
      <c r="EW27" s="830"/>
      <c r="EX27" s="830"/>
      <c r="EY27" s="830"/>
      <c r="EZ27" s="830"/>
      <c r="FA27" s="830"/>
      <c r="FB27" s="830"/>
      <c r="FC27" s="830"/>
      <c r="FD27" s="830"/>
      <c r="FE27" s="830"/>
      <c r="FF27" s="830"/>
      <c r="FG27" s="830"/>
      <c r="FH27" s="830"/>
      <c r="FI27" s="830"/>
      <c r="FJ27" s="830"/>
      <c r="FK27" s="830"/>
      <c r="FL27" s="830"/>
      <c r="FM27" s="830"/>
      <c r="FN27" s="830"/>
      <c r="FO27" s="830"/>
      <c r="FP27" s="830"/>
      <c r="FQ27" s="830"/>
      <c r="FR27" s="830"/>
      <c r="FS27" s="830"/>
      <c r="FT27" s="830"/>
      <c r="FU27" s="830"/>
      <c r="FV27" s="830"/>
      <c r="FW27" s="830"/>
      <c r="FX27" s="830"/>
      <c r="FY27" s="830"/>
      <c r="FZ27" s="830"/>
      <c r="GA27" s="830"/>
      <c r="GB27" s="830"/>
      <c r="GC27" s="830"/>
      <c r="GD27" s="830"/>
      <c r="GE27" s="830"/>
      <c r="GF27" s="830"/>
      <c r="GG27" s="830"/>
      <c r="GH27" s="830"/>
      <c r="GI27" s="830"/>
      <c r="GJ27" s="830"/>
      <c r="GK27" s="830"/>
      <c r="GL27" s="830"/>
      <c r="GM27" s="830"/>
      <c r="GN27" s="830"/>
      <c r="GO27" s="830"/>
      <c r="GP27" s="830"/>
      <c r="GQ27" s="830"/>
      <c r="GR27" s="830"/>
      <c r="GS27" s="830"/>
      <c r="GT27" s="830"/>
      <c r="GU27" s="830"/>
      <c r="GV27" s="830"/>
      <c r="GW27" s="830"/>
      <c r="GX27" s="830"/>
      <c r="GY27" s="830"/>
      <c r="GZ27" s="830"/>
      <c r="HA27" s="830"/>
      <c r="HB27" s="830"/>
      <c r="HC27" s="830"/>
      <c r="HD27" s="830"/>
      <c r="HE27" s="830"/>
      <c r="HF27" s="830"/>
      <c r="HG27" s="830"/>
      <c r="HH27" s="830"/>
      <c r="HI27" s="830"/>
      <c r="HJ27" s="830"/>
      <c r="HK27" s="830"/>
      <c r="HL27" s="830"/>
      <c r="HM27" s="830"/>
      <c r="HN27" s="830"/>
      <c r="HO27" s="830"/>
      <c r="HP27" s="830"/>
      <c r="HQ27" s="830"/>
      <c r="HR27" s="830"/>
      <c r="HS27" s="830"/>
      <c r="HT27" s="830"/>
      <c r="HU27" s="830"/>
      <c r="HV27" s="830"/>
      <c r="HW27" s="830"/>
      <c r="HX27" s="830"/>
      <c r="HY27" s="830"/>
      <c r="HZ27" s="830"/>
      <c r="IA27" s="830"/>
      <c r="IB27" s="830"/>
      <c r="IC27" s="830"/>
      <c r="ID27" s="830"/>
      <c r="IE27" s="830"/>
      <c r="IF27" s="830"/>
      <c r="IG27" s="830"/>
      <c r="IH27" s="830"/>
      <c r="II27" s="830"/>
      <c r="IJ27" s="830"/>
      <c r="IK27" s="830"/>
      <c r="IL27" s="830"/>
      <c r="IM27" s="830"/>
      <c r="IN27" s="830"/>
      <c r="IO27" s="830"/>
      <c r="IP27" s="830"/>
      <c r="IQ27" s="830"/>
      <c r="IR27" s="830"/>
      <c r="IS27" s="830"/>
      <c r="IT27" s="830"/>
      <c r="IU27" s="830"/>
      <c r="IV27" s="830"/>
      <c r="IW27" s="830"/>
      <c r="IX27" s="830"/>
      <c r="IY27" s="830"/>
      <c r="IZ27" s="830"/>
      <c r="JA27" s="830"/>
      <c r="JB27" s="830"/>
      <c r="JC27" s="830"/>
      <c r="JD27" s="830"/>
      <c r="JE27" s="830"/>
      <c r="JF27" s="830"/>
      <c r="JG27" s="830"/>
      <c r="JH27" s="830"/>
      <c r="JI27" s="830"/>
      <c r="JJ27" s="830"/>
      <c r="JK27" s="830"/>
      <c r="JL27" s="830"/>
      <c r="JM27" s="830"/>
      <c r="JN27" s="830"/>
      <c r="JO27" s="830"/>
      <c r="JP27" s="830"/>
      <c r="JQ27" s="830"/>
      <c r="JR27" s="830"/>
      <c r="JS27" s="830"/>
      <c r="JT27" s="830"/>
      <c r="JU27" s="830"/>
      <c r="JV27" s="830"/>
      <c r="JW27" s="830"/>
      <c r="JX27" s="830"/>
      <c r="JY27" s="830"/>
      <c r="JZ27" s="830"/>
      <c r="KA27" s="830"/>
      <c r="KB27" s="830"/>
      <c r="KC27" s="830"/>
      <c r="KD27" s="830"/>
      <c r="KE27" s="830"/>
      <c r="KF27" s="830"/>
      <c r="KG27" s="830"/>
      <c r="KH27" s="830"/>
      <c r="KI27" s="830"/>
      <c r="KJ27" s="830"/>
      <c r="KK27" s="830"/>
      <c r="KL27" s="830"/>
      <c r="KM27" s="830"/>
      <c r="KN27" s="830"/>
      <c r="KO27" s="830"/>
      <c r="KP27" s="830"/>
      <c r="KQ27" s="830"/>
      <c r="KR27" s="830"/>
      <c r="KS27" s="830"/>
      <c r="KT27" s="830"/>
      <c r="KU27" s="830"/>
      <c r="KV27" s="830"/>
      <c r="KW27" s="830"/>
      <c r="KX27" s="830"/>
      <c r="KY27" s="830"/>
      <c r="KZ27" s="830"/>
      <c r="LA27" s="830"/>
      <c r="LB27" s="830"/>
      <c r="LC27" s="830"/>
      <c r="LD27" s="830"/>
      <c r="LE27" s="830"/>
      <c r="LF27" s="830"/>
      <c r="LG27" s="830"/>
      <c r="LH27" s="830"/>
      <c r="LI27" s="830"/>
      <c r="LJ27" s="830"/>
      <c r="LK27" s="830"/>
      <c r="LL27" s="830"/>
      <c r="LM27" s="830"/>
      <c r="LN27" s="830"/>
      <c r="LO27" s="830"/>
      <c r="LP27" s="830"/>
      <c r="LQ27" s="830"/>
      <c r="LR27" s="830"/>
      <c r="LS27" s="830"/>
      <c r="LT27" s="830"/>
      <c r="LU27" s="830"/>
      <c r="LV27" s="830"/>
      <c r="LW27" s="830"/>
      <c r="LX27" s="830"/>
      <c r="LY27" s="830"/>
      <c r="LZ27" s="830"/>
      <c r="MA27" s="830"/>
      <c r="MB27" s="830"/>
      <c r="MC27" s="830"/>
      <c r="MD27" s="830"/>
      <c r="ME27" s="830"/>
      <c r="MF27" s="830"/>
      <c r="MG27" s="830"/>
      <c r="MH27" s="830"/>
      <c r="MI27" s="830"/>
      <c r="MJ27" s="830"/>
      <c r="MK27" s="830"/>
      <c r="ML27" s="830"/>
      <c r="MM27" s="830"/>
      <c r="MN27" s="830"/>
      <c r="MO27" s="830"/>
      <c r="MP27" s="830"/>
      <c r="MQ27" s="830"/>
      <c r="MR27" s="830"/>
      <c r="MS27" s="830"/>
      <c r="MT27" s="830"/>
      <c r="MU27" s="830"/>
      <c r="MV27" s="830"/>
      <c r="MW27" s="830"/>
      <c r="MX27" s="830"/>
      <c r="MY27" s="830"/>
      <c r="MZ27" s="830"/>
      <c r="NA27" s="830"/>
      <c r="NB27" s="830"/>
      <c r="NC27" s="830"/>
      <c r="ND27" s="830"/>
      <c r="NE27" s="830"/>
      <c r="NF27" s="830"/>
      <c r="NG27" s="830"/>
      <c r="NH27" s="830"/>
      <c r="NI27" s="830"/>
      <c r="NJ27" s="830"/>
      <c r="NK27" s="830"/>
      <c r="NL27" s="830"/>
      <c r="NM27" s="830"/>
      <c r="NN27" s="830"/>
      <c r="NO27" s="830"/>
      <c r="NP27" s="830"/>
      <c r="NQ27" s="830"/>
      <c r="NR27" s="830"/>
      <c r="NS27" s="830"/>
      <c r="NT27" s="830"/>
      <c r="NU27" s="830"/>
      <c r="NV27" s="830"/>
      <c r="NW27" s="830"/>
      <c r="NX27" s="830"/>
      <c r="NY27" s="830"/>
      <c r="NZ27" s="830"/>
      <c r="OA27" s="830"/>
      <c r="OB27" s="830"/>
      <c r="OC27" s="830"/>
      <c r="OD27" s="830"/>
      <c r="OE27" s="830"/>
      <c r="OF27" s="830"/>
      <c r="OG27" s="830"/>
      <c r="OH27" s="830"/>
      <c r="OI27" s="830"/>
      <c r="OJ27" s="830"/>
      <c r="OK27" s="830"/>
      <c r="OL27" s="830"/>
      <c r="OM27" s="830"/>
      <c r="ON27" s="830"/>
      <c r="OO27" s="830"/>
      <c r="OP27" s="830"/>
      <c r="OQ27" s="830"/>
      <c r="OR27" s="830"/>
      <c r="OS27" s="830"/>
      <c r="OT27" s="830"/>
      <c r="OU27" s="830"/>
      <c r="OV27" s="830"/>
      <c r="OW27" s="830"/>
      <c r="OX27" s="830"/>
      <c r="OY27" s="830"/>
      <c r="OZ27" s="830"/>
      <c r="PA27" s="830"/>
      <c r="PB27" s="830"/>
      <c r="PC27" s="830"/>
      <c r="PD27" s="830"/>
      <c r="PE27" s="830"/>
      <c r="PF27" s="830"/>
      <c r="PG27" s="830"/>
      <c r="PH27" s="830"/>
      <c r="PI27" s="830"/>
      <c r="PJ27" s="830"/>
      <c r="PK27" s="830"/>
      <c r="PL27" s="830"/>
      <c r="PM27" s="830"/>
      <c r="PN27" s="830"/>
      <c r="PO27" s="830"/>
      <c r="PP27" s="830"/>
      <c r="PQ27" s="830"/>
      <c r="PR27" s="830"/>
      <c r="PS27" s="830"/>
      <c r="PT27" s="830"/>
      <c r="PU27" s="830"/>
      <c r="PV27" s="830"/>
      <c r="PW27" s="830"/>
      <c r="PX27" s="830"/>
      <c r="PY27" s="830"/>
      <c r="PZ27" s="830"/>
      <c r="QA27" s="830"/>
      <c r="QB27" s="830"/>
      <c r="QC27" s="830"/>
      <c r="QD27" s="830"/>
      <c r="QE27" s="830"/>
      <c r="QF27" s="830"/>
      <c r="QG27" s="830"/>
      <c r="QH27" s="830"/>
      <c r="QI27" s="830"/>
      <c r="QJ27" s="830"/>
      <c r="QK27" s="830"/>
      <c r="QL27" s="830"/>
      <c r="QM27" s="830"/>
      <c r="QN27" s="830"/>
      <c r="QO27" s="830"/>
      <c r="QP27" s="830"/>
      <c r="QQ27" s="830"/>
      <c r="QR27" s="830"/>
      <c r="QS27" s="830"/>
      <c r="QT27" s="830"/>
      <c r="QU27" s="830"/>
      <c r="QV27" s="830"/>
      <c r="QW27" s="830"/>
      <c r="QX27" s="830"/>
      <c r="QY27" s="830"/>
      <c r="QZ27" s="830"/>
      <c r="RA27" s="830"/>
      <c r="RB27" s="830"/>
      <c r="RC27" s="830"/>
      <c r="RD27" s="830"/>
      <c r="RE27" s="830"/>
      <c r="RF27" s="830"/>
      <c r="RG27" s="830"/>
      <c r="RH27" s="830"/>
      <c r="RI27" s="830"/>
      <c r="RJ27" s="830"/>
      <c r="RK27" s="830"/>
      <c r="RL27" s="830"/>
      <c r="RM27" s="830"/>
      <c r="RN27" s="830"/>
      <c r="RO27" s="830"/>
      <c r="RP27" s="830"/>
      <c r="RQ27" s="830"/>
      <c r="RR27" s="830"/>
      <c r="RS27" s="830"/>
      <c r="RT27" s="830"/>
      <c r="RU27" s="830"/>
      <c r="RV27" s="830"/>
      <c r="RW27" s="830"/>
      <c r="RX27" s="830"/>
      <c r="RY27" s="830"/>
      <c r="RZ27" s="830"/>
      <c r="SA27" s="830"/>
      <c r="SB27" s="830"/>
      <c r="SC27" s="830"/>
      <c r="SD27" s="830"/>
      <c r="SE27" s="830"/>
      <c r="SF27" s="830"/>
      <c r="SG27" s="830"/>
      <c r="SH27" s="830"/>
      <c r="SI27" s="830"/>
      <c r="SJ27" s="830"/>
      <c r="SK27" s="830"/>
      <c r="SL27" s="830"/>
      <c r="SM27" s="830"/>
      <c r="SN27" s="830"/>
      <c r="SO27" s="830"/>
      <c r="SP27" s="830"/>
      <c r="SQ27" s="830"/>
      <c r="SR27" s="830"/>
      <c r="SS27" s="830"/>
      <c r="ST27" s="830"/>
      <c r="SU27" s="830"/>
      <c r="SV27" s="830"/>
      <c r="SW27" s="830"/>
      <c r="SX27" s="830"/>
      <c r="SY27" s="830"/>
      <c r="SZ27" s="830"/>
      <c r="TA27" s="830"/>
      <c r="TB27" s="830"/>
      <c r="TC27" s="830"/>
      <c r="TD27" s="830"/>
      <c r="TE27" s="830"/>
      <c r="TF27" s="830"/>
      <c r="TG27" s="830"/>
      <c r="TH27" s="830"/>
      <c r="TI27" s="830"/>
      <c r="TJ27" s="830"/>
      <c r="TK27" s="830"/>
      <c r="TL27" s="830"/>
      <c r="TM27" s="830"/>
      <c r="TN27" s="830"/>
      <c r="TO27" s="830"/>
      <c r="TP27" s="830"/>
      <c r="TQ27" s="830"/>
      <c r="TR27" s="830"/>
      <c r="TS27" s="830"/>
      <c r="TT27" s="830"/>
      <c r="TU27" s="830"/>
      <c r="TV27" s="830"/>
      <c r="TW27" s="830"/>
      <c r="TX27" s="830"/>
      <c r="TY27" s="830"/>
      <c r="TZ27" s="830"/>
      <c r="UA27" s="830"/>
      <c r="UB27" s="830"/>
      <c r="UC27" s="830"/>
      <c r="UD27" s="830"/>
      <c r="UE27" s="830"/>
      <c r="UF27" s="830"/>
      <c r="UG27" s="830"/>
      <c r="UH27" s="830"/>
      <c r="UI27" s="830"/>
      <c r="UJ27" s="830"/>
      <c r="UK27" s="830"/>
      <c r="UL27" s="830"/>
      <c r="UM27" s="830"/>
      <c r="UN27" s="830"/>
      <c r="UO27" s="830"/>
      <c r="UP27" s="830"/>
      <c r="UQ27" s="830"/>
      <c r="UR27" s="830"/>
      <c r="US27" s="830"/>
      <c r="UT27" s="830"/>
      <c r="UU27" s="830"/>
      <c r="UV27" s="830"/>
      <c r="UW27" s="830"/>
      <c r="UX27" s="830"/>
      <c r="UY27" s="830"/>
      <c r="UZ27" s="830"/>
      <c r="VA27" s="830"/>
      <c r="VB27" s="830"/>
      <c r="VC27" s="830"/>
      <c r="VD27" s="830"/>
      <c r="VE27" s="830"/>
      <c r="VF27" s="830"/>
      <c r="VG27" s="830"/>
      <c r="VH27" s="830"/>
      <c r="VI27" s="830"/>
      <c r="VJ27" s="830"/>
      <c r="VK27" s="830"/>
      <c r="VL27" s="830"/>
      <c r="VM27" s="830"/>
      <c r="VN27" s="830"/>
      <c r="VO27" s="830"/>
      <c r="VP27" s="830"/>
      <c r="VQ27" s="830"/>
      <c r="VR27" s="830"/>
      <c r="VS27" s="830"/>
      <c r="VT27" s="830"/>
      <c r="VU27" s="830"/>
      <c r="VV27" s="830"/>
      <c r="VW27" s="830"/>
      <c r="VX27" s="830"/>
      <c r="VY27" s="830"/>
      <c r="VZ27" s="830"/>
      <c r="WA27" s="830"/>
      <c r="WB27" s="830"/>
      <c r="WC27" s="830"/>
      <c r="WD27" s="830"/>
      <c r="WE27" s="830"/>
      <c r="WF27" s="830"/>
      <c r="WG27" s="830"/>
      <c r="WH27" s="830"/>
      <c r="WI27" s="830"/>
      <c r="WJ27" s="830"/>
      <c r="WK27" s="830"/>
      <c r="WL27" s="830"/>
      <c r="WM27" s="830"/>
      <c r="WN27" s="830"/>
      <c r="WO27" s="830"/>
      <c r="WP27" s="830"/>
      <c r="WQ27" s="830"/>
      <c r="WR27" s="830"/>
      <c r="WS27" s="830"/>
      <c r="WT27" s="830"/>
      <c r="WU27" s="830"/>
      <c r="WV27" s="830"/>
      <c r="WW27" s="830"/>
      <c r="WX27" s="830"/>
      <c r="WY27" s="830"/>
      <c r="WZ27" s="830"/>
      <c r="XA27" s="830"/>
      <c r="XB27" s="830"/>
      <c r="XC27" s="830"/>
      <c r="XD27" s="830"/>
      <c r="XE27" s="830"/>
      <c r="XF27" s="830"/>
      <c r="XG27" s="830"/>
      <c r="XH27" s="830"/>
      <c r="XI27" s="830"/>
      <c r="XJ27" s="830"/>
      <c r="XK27" s="830"/>
      <c r="XL27" s="830"/>
      <c r="XM27" s="830"/>
      <c r="XN27" s="830"/>
      <c r="XO27" s="830"/>
      <c r="XP27" s="830"/>
      <c r="XQ27" s="830"/>
      <c r="XR27" s="830"/>
      <c r="XS27" s="830"/>
      <c r="XT27" s="830"/>
      <c r="XU27" s="830"/>
      <c r="XV27" s="830"/>
      <c r="XW27" s="830"/>
      <c r="XX27" s="830"/>
      <c r="XY27" s="830"/>
      <c r="XZ27" s="830"/>
      <c r="YA27" s="830"/>
      <c r="YB27" s="830"/>
      <c r="YC27" s="830"/>
      <c r="YD27" s="830"/>
      <c r="YE27" s="830"/>
      <c r="YF27" s="830"/>
      <c r="YG27" s="830"/>
      <c r="YH27" s="830"/>
      <c r="YI27" s="830"/>
      <c r="YJ27" s="830"/>
      <c r="YK27" s="830"/>
      <c r="YL27" s="830"/>
      <c r="YM27" s="830"/>
      <c r="YN27" s="830"/>
      <c r="YO27" s="830"/>
      <c r="YP27" s="830"/>
      <c r="YQ27" s="830"/>
      <c r="YR27" s="830"/>
      <c r="YS27" s="830"/>
      <c r="YT27" s="830"/>
      <c r="YU27" s="830"/>
      <c r="YV27" s="830"/>
      <c r="YW27" s="830"/>
      <c r="YX27" s="830"/>
      <c r="YY27" s="830"/>
      <c r="YZ27" s="830"/>
      <c r="ZA27" s="830"/>
      <c r="ZB27" s="830"/>
      <c r="ZC27" s="830"/>
      <c r="ZD27" s="830"/>
      <c r="ZE27" s="830"/>
      <c r="ZF27" s="830"/>
      <c r="ZG27" s="830"/>
      <c r="ZH27" s="830"/>
      <c r="ZI27" s="830"/>
      <c r="ZJ27" s="830"/>
      <c r="ZK27" s="830"/>
      <c r="ZL27" s="830"/>
      <c r="ZM27" s="830"/>
      <c r="ZN27" s="830"/>
      <c r="ZO27" s="830"/>
      <c r="ZP27" s="830"/>
      <c r="ZQ27" s="830"/>
      <c r="ZR27" s="830"/>
      <c r="ZS27" s="830"/>
      <c r="ZT27" s="830"/>
      <c r="ZU27" s="830"/>
      <c r="ZV27" s="830"/>
      <c r="ZW27" s="830"/>
      <c r="ZX27" s="830"/>
      <c r="ZY27" s="830"/>
      <c r="ZZ27" s="830"/>
      <c r="AAA27" s="830"/>
      <c r="AAB27" s="830"/>
      <c r="AAC27" s="830"/>
      <c r="AAD27" s="830"/>
      <c r="AAE27" s="830"/>
      <c r="AAF27" s="830"/>
      <c r="AAG27" s="830"/>
      <c r="AAH27" s="830"/>
      <c r="AAI27" s="830"/>
      <c r="AAJ27" s="830"/>
      <c r="AAK27" s="830"/>
      <c r="AAL27" s="830"/>
      <c r="AAM27" s="830"/>
      <c r="AAN27" s="830"/>
      <c r="AAO27" s="830"/>
      <c r="AAP27" s="830"/>
      <c r="AAQ27" s="830"/>
      <c r="AAR27" s="830"/>
      <c r="AAS27" s="830"/>
      <c r="AAT27" s="830"/>
      <c r="AAU27" s="830"/>
      <c r="AAV27" s="830"/>
      <c r="AAW27" s="830"/>
      <c r="AAX27" s="830"/>
      <c r="AAY27" s="830"/>
      <c r="AAZ27" s="830"/>
      <c r="ABA27" s="830"/>
      <c r="ABB27" s="830"/>
      <c r="ABC27" s="830"/>
      <c r="ABD27" s="830"/>
      <c r="ABE27" s="830"/>
      <c r="ABF27" s="830"/>
      <c r="ABG27" s="830"/>
      <c r="ABH27" s="830"/>
      <c r="ABI27" s="830"/>
      <c r="ABJ27" s="830"/>
      <c r="ABK27" s="830"/>
      <c r="ABL27" s="830"/>
      <c r="ABM27" s="830"/>
      <c r="ABN27" s="830"/>
      <c r="ABO27" s="830"/>
      <c r="ABP27" s="830"/>
      <c r="ABQ27" s="830"/>
      <c r="ABR27" s="830"/>
      <c r="ABS27" s="830"/>
      <c r="ABT27" s="830"/>
      <c r="ABU27" s="830"/>
      <c r="ABV27" s="830"/>
      <c r="ABW27" s="830"/>
      <c r="ABX27" s="830"/>
      <c r="ABY27" s="830"/>
      <c r="ABZ27" s="830"/>
      <c r="ACA27" s="830"/>
      <c r="ACB27" s="830"/>
      <c r="ACC27" s="830"/>
      <c r="ACD27" s="830"/>
      <c r="ACE27" s="830"/>
      <c r="ACF27" s="830"/>
      <c r="ACG27" s="830"/>
      <c r="ACH27" s="830"/>
      <c r="ACI27" s="830"/>
      <c r="ACJ27" s="830"/>
      <c r="ACK27" s="830"/>
      <c r="ACL27" s="830"/>
      <c r="ACM27" s="830"/>
      <c r="ACN27" s="830"/>
      <c r="ACO27" s="830"/>
      <c r="ACP27" s="830"/>
      <c r="ACQ27" s="830"/>
      <c r="ACR27" s="830"/>
      <c r="ACS27" s="830"/>
      <c r="ACT27" s="830"/>
      <c r="ACU27" s="830"/>
      <c r="ACV27" s="830"/>
      <c r="ACW27" s="830"/>
      <c r="ACX27" s="830"/>
      <c r="ACY27" s="830"/>
      <c r="ACZ27" s="830"/>
      <c r="ADA27" s="830"/>
      <c r="ADB27" s="830"/>
      <c r="ADC27" s="830"/>
      <c r="ADD27" s="830"/>
      <c r="ADE27" s="830"/>
      <c r="ADF27" s="830"/>
      <c r="ADG27" s="830"/>
      <c r="ADH27" s="830"/>
      <c r="ADI27" s="830"/>
      <c r="ADJ27" s="830"/>
      <c r="ADK27" s="830"/>
      <c r="ADL27" s="830"/>
      <c r="ADM27" s="830"/>
      <c r="ADN27" s="830"/>
      <c r="ADO27" s="830"/>
      <c r="ADP27" s="830"/>
      <c r="ADQ27" s="830"/>
      <c r="ADR27" s="830"/>
      <c r="ADS27" s="830"/>
      <c r="ADT27" s="830"/>
      <c r="ADU27" s="830"/>
      <c r="ADV27" s="830"/>
      <c r="ADW27" s="830"/>
      <c r="ADX27" s="830"/>
      <c r="ADY27" s="830"/>
      <c r="ADZ27" s="830"/>
      <c r="AEA27" s="830"/>
      <c r="AEB27" s="830"/>
      <c r="AEC27" s="830"/>
      <c r="AED27" s="830"/>
      <c r="AEE27" s="830"/>
      <c r="AEF27" s="830"/>
      <c r="AEG27" s="830"/>
      <c r="AEH27" s="830"/>
      <c r="AEI27" s="830"/>
      <c r="AEJ27" s="830"/>
      <c r="AEK27" s="830"/>
      <c r="AEL27" s="830"/>
      <c r="AEM27" s="830"/>
      <c r="AEN27" s="830"/>
      <c r="AEO27" s="830"/>
      <c r="AEP27" s="830"/>
      <c r="AEQ27" s="830"/>
      <c r="AER27" s="830"/>
      <c r="AES27" s="830"/>
      <c r="AET27" s="830"/>
      <c r="AEU27" s="830"/>
      <c r="AEV27" s="830"/>
      <c r="AEW27" s="830"/>
      <c r="AEX27" s="830"/>
      <c r="AEY27" s="830"/>
      <c r="AEZ27" s="830"/>
      <c r="AFA27" s="830"/>
      <c r="AFB27" s="830"/>
      <c r="AFC27" s="830"/>
      <c r="AFD27" s="830"/>
      <c r="AFE27" s="830"/>
      <c r="AFF27" s="830"/>
      <c r="AFG27" s="830"/>
      <c r="AFH27" s="830"/>
      <c r="AFI27" s="830"/>
      <c r="AFJ27" s="830"/>
      <c r="AFK27" s="830"/>
      <c r="AFL27" s="830"/>
      <c r="AFM27" s="830"/>
      <c r="AFN27" s="830"/>
      <c r="AFO27" s="830"/>
      <c r="AFP27" s="830"/>
      <c r="AFQ27" s="830"/>
      <c r="AFR27" s="830"/>
      <c r="AFS27" s="830"/>
      <c r="AFT27" s="830"/>
      <c r="AFU27" s="830"/>
      <c r="AFV27" s="830"/>
      <c r="AFW27" s="830"/>
      <c r="AFX27" s="830"/>
      <c r="AFY27" s="830"/>
      <c r="AFZ27" s="830"/>
      <c r="AGA27" s="830"/>
      <c r="AGB27" s="830"/>
      <c r="AGC27" s="830"/>
      <c r="AGD27" s="830"/>
      <c r="AGE27" s="830"/>
      <c r="AGF27" s="830"/>
      <c r="AGG27" s="830"/>
      <c r="AGH27" s="830"/>
      <c r="AGI27" s="830"/>
      <c r="AGJ27" s="830"/>
      <c r="AGK27" s="830"/>
      <c r="AGL27" s="830"/>
      <c r="AGM27" s="830"/>
      <c r="AGN27" s="830"/>
      <c r="AGO27" s="830"/>
      <c r="AGP27" s="830"/>
      <c r="AGQ27" s="830"/>
      <c r="AGR27" s="830"/>
      <c r="AGS27" s="830"/>
      <c r="AGT27" s="830"/>
      <c r="AGU27" s="830"/>
      <c r="AGV27" s="830"/>
      <c r="AGW27" s="830"/>
      <c r="AGX27" s="830"/>
      <c r="AGY27" s="830"/>
      <c r="AGZ27" s="830"/>
      <c r="AHA27" s="830"/>
      <c r="AHB27" s="830"/>
      <c r="AHC27" s="830"/>
      <c r="AHD27" s="830"/>
      <c r="AHE27" s="830"/>
      <c r="AHF27" s="830"/>
      <c r="AHG27" s="830"/>
      <c r="AHH27" s="830"/>
      <c r="AHI27" s="830"/>
      <c r="AHJ27" s="830"/>
      <c r="AHK27" s="830"/>
      <c r="AHL27" s="830"/>
      <c r="AHM27" s="830"/>
      <c r="AHN27" s="830"/>
      <c r="AHO27" s="830"/>
      <c r="AHP27" s="830"/>
      <c r="AHQ27" s="830"/>
      <c r="AHR27" s="830"/>
      <c r="AHS27" s="830"/>
      <c r="AHT27" s="830"/>
      <c r="AHU27" s="830"/>
      <c r="AHV27" s="830"/>
      <c r="AHW27" s="830"/>
      <c r="AHX27" s="830"/>
      <c r="AHY27" s="830"/>
      <c r="AHZ27" s="830"/>
      <c r="AIA27" s="830"/>
      <c r="AIB27" s="830"/>
      <c r="AIC27" s="830"/>
      <c r="AID27" s="830"/>
      <c r="AIE27" s="830"/>
      <c r="AIF27" s="830"/>
      <c r="AIG27" s="830"/>
      <c r="AIH27" s="830"/>
      <c r="AII27" s="830"/>
      <c r="AIJ27" s="830"/>
      <c r="AIK27" s="830"/>
      <c r="AIL27" s="830"/>
      <c r="AIM27" s="830"/>
      <c r="AIN27" s="830"/>
      <c r="AIO27" s="830"/>
      <c r="AIP27" s="830"/>
      <c r="AIQ27" s="830"/>
      <c r="AIR27" s="830"/>
      <c r="AIS27" s="830"/>
      <c r="AIT27" s="830"/>
      <c r="AIU27" s="830"/>
      <c r="AIV27" s="830"/>
      <c r="AIW27" s="830"/>
      <c r="AIX27" s="830"/>
      <c r="AIY27" s="830"/>
      <c r="AIZ27" s="830"/>
      <c r="AJA27" s="830"/>
      <c r="AJB27" s="830"/>
      <c r="AJC27" s="830"/>
      <c r="AJD27" s="830"/>
      <c r="AJE27" s="830"/>
      <c r="AJF27" s="830"/>
      <c r="AJG27" s="830"/>
      <c r="AJH27" s="830"/>
      <c r="AJI27" s="830"/>
      <c r="AJJ27" s="830"/>
      <c r="AJK27" s="830"/>
      <c r="AJL27" s="830"/>
      <c r="AJM27" s="830"/>
      <c r="AJN27" s="830"/>
      <c r="AJO27" s="830"/>
      <c r="AJP27" s="830"/>
      <c r="AJQ27" s="830"/>
      <c r="AJR27" s="830"/>
      <c r="AJS27" s="830"/>
      <c r="AJT27" s="830"/>
      <c r="AJU27" s="830"/>
      <c r="AJV27" s="830"/>
      <c r="AJW27" s="830"/>
      <c r="AJX27" s="830"/>
      <c r="AJY27" s="830"/>
      <c r="AJZ27" s="830"/>
      <c r="AKA27" s="830"/>
      <c r="AKB27" s="830"/>
      <c r="AKC27" s="830"/>
      <c r="AKD27" s="830"/>
      <c r="AKE27" s="830"/>
      <c r="AKF27" s="830"/>
      <c r="AKG27" s="830"/>
      <c r="AKH27" s="830"/>
      <c r="AKI27" s="830"/>
      <c r="AKJ27" s="830"/>
      <c r="AKK27" s="830"/>
      <c r="AKL27" s="830"/>
      <c r="AKM27" s="830"/>
      <c r="AKN27" s="830"/>
      <c r="AKO27" s="830"/>
      <c r="AKP27" s="830"/>
      <c r="AKQ27" s="830"/>
      <c r="AKR27" s="830"/>
      <c r="AKS27" s="830"/>
      <c r="AKT27" s="830"/>
      <c r="AKU27" s="830"/>
      <c r="AKV27" s="830"/>
      <c r="AKW27" s="830"/>
      <c r="AKX27" s="830"/>
      <c r="AKY27" s="830"/>
      <c r="AKZ27" s="830"/>
      <c r="ALA27" s="830"/>
      <c r="ALB27" s="830"/>
      <c r="ALC27" s="830"/>
      <c r="ALD27" s="830"/>
      <c r="ALE27" s="830"/>
      <c r="ALF27" s="830"/>
      <c r="ALG27" s="830"/>
      <c r="ALH27" s="830"/>
      <c r="ALI27" s="830"/>
      <c r="ALJ27" s="830"/>
      <c r="ALK27" s="830"/>
      <c r="ALL27" s="830"/>
      <c r="ALM27" s="830"/>
      <c r="ALN27" s="830"/>
      <c r="ALO27" s="830"/>
      <c r="ALP27" s="830"/>
      <c r="ALQ27" s="830"/>
      <c r="ALR27" s="830"/>
      <c r="ALS27" s="830"/>
      <c r="ALT27" s="830"/>
      <c r="ALU27" s="830"/>
      <c r="ALV27" s="830"/>
      <c r="ALW27" s="830"/>
      <c r="ALX27" s="830"/>
      <c r="ALY27" s="830"/>
      <c r="ALZ27" s="830"/>
      <c r="AMA27" s="830"/>
      <c r="AMB27" s="830"/>
      <c r="AMC27" s="830"/>
      <c r="AMD27" s="830"/>
      <c r="AME27" s="830"/>
      <c r="AMF27" s="830"/>
      <c r="AMG27" s="830"/>
      <c r="AMH27" s="830"/>
      <c r="AMI27" s="830"/>
      <c r="AMJ27" s="830"/>
      <c r="AMK27" s="830"/>
      <c r="AML27" s="830"/>
      <c r="AMM27" s="830"/>
      <c r="AMN27" s="830"/>
      <c r="AMO27" s="830"/>
      <c r="AMP27" s="830"/>
      <c r="AMQ27" s="830"/>
      <c r="AMR27" s="830"/>
      <c r="AMS27" s="830"/>
      <c r="AMT27" s="830"/>
      <c r="AMU27" s="830"/>
      <c r="AMV27" s="830"/>
      <c r="AMW27" s="830"/>
      <c r="AMX27" s="830"/>
      <c r="AMY27" s="830"/>
      <c r="AMZ27" s="830"/>
      <c r="ANA27" s="830"/>
      <c r="ANB27" s="830"/>
      <c r="ANC27" s="830"/>
      <c r="AND27" s="830"/>
      <c r="ANE27" s="830"/>
      <c r="ANF27" s="830"/>
      <c r="ANG27" s="830"/>
      <c r="ANH27" s="830"/>
      <c r="ANI27" s="830"/>
      <c r="ANJ27" s="830"/>
      <c r="ANK27" s="830"/>
      <c r="ANL27" s="830"/>
      <c r="ANM27" s="830"/>
      <c r="ANN27" s="830"/>
      <c r="ANO27" s="830"/>
      <c r="ANP27" s="830"/>
      <c r="ANQ27" s="830"/>
      <c r="ANR27" s="830"/>
      <c r="ANS27" s="830"/>
      <c r="ANT27" s="830"/>
      <c r="ANU27" s="830"/>
      <c r="ANV27" s="830"/>
      <c r="ANW27" s="830"/>
      <c r="ANX27" s="830"/>
      <c r="ANY27" s="830"/>
      <c r="ANZ27" s="830"/>
      <c r="AOA27" s="830"/>
      <c r="AOB27" s="830"/>
      <c r="AOC27" s="830"/>
      <c r="AOD27" s="830"/>
      <c r="AOE27" s="830"/>
      <c r="AOF27" s="830"/>
      <c r="AOG27" s="830"/>
      <c r="AOH27" s="830"/>
      <c r="AOI27" s="830"/>
      <c r="AOJ27" s="830"/>
      <c r="AOK27" s="830"/>
      <c r="AOL27" s="830"/>
      <c r="AOM27" s="830"/>
      <c r="AON27" s="830"/>
      <c r="AOO27" s="830"/>
      <c r="AOP27" s="830"/>
      <c r="AOQ27" s="830"/>
      <c r="AOR27" s="830"/>
      <c r="AOS27" s="830"/>
      <c r="AOT27" s="830"/>
      <c r="AOU27" s="830"/>
      <c r="AOV27" s="830"/>
      <c r="AOW27" s="830"/>
      <c r="AOX27" s="830"/>
      <c r="AOY27" s="830"/>
      <c r="AOZ27" s="830"/>
      <c r="APA27" s="830"/>
      <c r="APB27" s="830"/>
      <c r="APC27" s="830"/>
      <c r="APD27" s="830"/>
      <c r="APE27" s="830"/>
      <c r="APF27" s="830"/>
      <c r="APG27" s="830"/>
      <c r="APH27" s="830"/>
      <c r="API27" s="830"/>
      <c r="APJ27" s="830"/>
      <c r="APK27" s="830"/>
      <c r="APL27" s="830"/>
      <c r="APM27" s="830"/>
      <c r="APN27" s="830"/>
      <c r="APO27" s="830"/>
      <c r="APP27" s="830"/>
      <c r="APQ27" s="830"/>
      <c r="APR27" s="830"/>
      <c r="APS27" s="830"/>
      <c r="APT27" s="830"/>
      <c r="APU27" s="830"/>
      <c r="APV27" s="830"/>
      <c r="APW27" s="830"/>
      <c r="APX27" s="830"/>
      <c r="APY27" s="830"/>
      <c r="APZ27" s="830"/>
      <c r="AQA27" s="830"/>
      <c r="AQB27" s="830"/>
      <c r="AQC27" s="830"/>
      <c r="AQD27" s="830"/>
      <c r="AQE27" s="830"/>
      <c r="AQF27" s="830"/>
      <c r="AQG27" s="830"/>
      <c r="AQH27" s="830"/>
      <c r="AQI27" s="830"/>
      <c r="AQJ27" s="830"/>
      <c r="AQK27" s="830"/>
      <c r="AQL27" s="830"/>
      <c r="AQM27" s="830"/>
      <c r="AQN27" s="830"/>
      <c r="AQO27" s="830"/>
      <c r="AQP27" s="830"/>
      <c r="AQQ27" s="830"/>
      <c r="AQR27" s="830"/>
      <c r="AQS27" s="830"/>
      <c r="AQT27" s="830"/>
      <c r="AQU27" s="830"/>
      <c r="AQV27" s="830"/>
      <c r="AQW27" s="830"/>
      <c r="AQX27" s="830"/>
      <c r="AQY27" s="830"/>
      <c r="AQZ27" s="830"/>
      <c r="ARA27" s="830"/>
      <c r="ARB27" s="830"/>
      <c r="ARC27" s="830"/>
      <c r="ARD27" s="830"/>
      <c r="ARE27" s="830"/>
      <c r="ARF27" s="830"/>
      <c r="ARG27" s="830"/>
      <c r="ARH27" s="830"/>
      <c r="ARI27" s="830"/>
      <c r="ARJ27" s="830"/>
      <c r="ARK27" s="830"/>
      <c r="ARL27" s="830"/>
      <c r="ARM27" s="830"/>
      <c r="ARN27" s="830"/>
      <c r="ARO27" s="830"/>
      <c r="ARP27" s="830"/>
      <c r="ARQ27" s="830"/>
      <c r="ARR27" s="830"/>
      <c r="ARS27" s="830"/>
      <c r="ART27" s="830"/>
      <c r="ARU27" s="830"/>
      <c r="ARV27" s="830"/>
      <c r="ARW27" s="830"/>
      <c r="ARX27" s="830"/>
      <c r="ARY27" s="830"/>
      <c r="ARZ27" s="830"/>
      <c r="ASA27" s="830"/>
      <c r="ASB27" s="830"/>
      <c r="ASC27" s="830"/>
      <c r="ASD27" s="830"/>
      <c r="ASE27" s="830"/>
      <c r="ASF27" s="830"/>
      <c r="ASG27" s="830"/>
      <c r="ASH27" s="830"/>
      <c r="ASI27" s="830"/>
      <c r="ASJ27" s="830"/>
      <c r="ASK27" s="830"/>
      <c r="ASL27" s="830"/>
      <c r="ASM27" s="830"/>
      <c r="ASN27" s="830"/>
      <c r="ASO27" s="830"/>
      <c r="ASP27" s="830"/>
      <c r="ASQ27" s="830"/>
      <c r="ASR27" s="830"/>
      <c r="ASS27" s="830"/>
      <c r="AST27" s="830"/>
      <c r="ASU27" s="830"/>
      <c r="ASV27" s="830"/>
      <c r="ASW27" s="830"/>
      <c r="ASX27" s="830"/>
      <c r="ASY27" s="830"/>
      <c r="ASZ27" s="830"/>
      <c r="ATA27" s="830"/>
      <c r="ATB27" s="830"/>
      <c r="ATC27" s="830"/>
      <c r="ATD27" s="830"/>
      <c r="ATE27" s="830"/>
      <c r="ATF27" s="830"/>
      <c r="ATG27" s="830"/>
      <c r="ATH27" s="830"/>
      <c r="ATI27" s="830"/>
      <c r="ATJ27" s="830"/>
      <c r="ATK27" s="830"/>
      <c r="ATL27" s="830"/>
      <c r="ATM27" s="830"/>
      <c r="ATN27" s="830"/>
      <c r="ATO27" s="830"/>
      <c r="ATP27" s="830"/>
      <c r="ATQ27" s="830"/>
      <c r="ATR27" s="830"/>
      <c r="ATS27" s="830"/>
      <c r="ATT27" s="830"/>
      <c r="ATU27" s="830"/>
      <c r="ATV27" s="830"/>
      <c r="ATW27" s="830"/>
      <c r="ATX27" s="830"/>
      <c r="ATY27" s="830"/>
      <c r="ATZ27" s="830"/>
      <c r="AUA27" s="830"/>
      <c r="AUB27" s="830"/>
      <c r="AUC27" s="830"/>
      <c r="AUD27" s="830"/>
      <c r="AUE27" s="830"/>
      <c r="AUF27" s="830"/>
      <c r="AUG27" s="830"/>
      <c r="AUH27" s="830"/>
      <c r="AUI27" s="830"/>
      <c r="AUJ27" s="830"/>
      <c r="AUK27" s="830"/>
      <c r="AUL27" s="830"/>
      <c r="AUM27" s="830"/>
      <c r="AUN27" s="830"/>
      <c r="AUO27" s="830"/>
      <c r="AUP27" s="830"/>
      <c r="AUQ27" s="830"/>
      <c r="AUR27" s="830"/>
      <c r="AUS27" s="830"/>
      <c r="AUT27" s="830"/>
      <c r="AUU27" s="830"/>
      <c r="AUV27" s="830"/>
      <c r="AUW27" s="830"/>
      <c r="AUX27" s="830"/>
      <c r="AUY27" s="830"/>
      <c r="AUZ27" s="830"/>
      <c r="AVA27" s="830"/>
      <c r="AVB27" s="830"/>
      <c r="AVC27" s="830"/>
      <c r="AVD27" s="830"/>
      <c r="AVE27" s="830"/>
      <c r="AVF27" s="830"/>
      <c r="AVG27" s="830"/>
      <c r="AVH27" s="830"/>
      <c r="AVI27" s="830"/>
      <c r="AVJ27" s="830"/>
      <c r="AVK27" s="830"/>
      <c r="AVL27" s="830"/>
      <c r="AVM27" s="830"/>
      <c r="AVN27" s="830"/>
      <c r="AVO27" s="830"/>
      <c r="AVP27" s="830"/>
      <c r="AVQ27" s="830"/>
      <c r="AVR27" s="830"/>
      <c r="AVS27" s="830"/>
      <c r="AVT27" s="830"/>
      <c r="AVU27" s="830"/>
      <c r="AVV27" s="830"/>
      <c r="AVW27" s="830"/>
      <c r="AVX27" s="830"/>
      <c r="AVY27" s="830"/>
      <c r="AVZ27" s="830"/>
      <c r="AWA27" s="830"/>
      <c r="AWB27" s="830"/>
      <c r="AWC27" s="830"/>
      <c r="AWD27" s="830"/>
      <c r="AWE27" s="830"/>
      <c r="AWF27" s="830"/>
      <c r="AWG27" s="830"/>
      <c r="AWH27" s="830"/>
      <c r="AWI27" s="830"/>
      <c r="AWJ27" s="830"/>
      <c r="AWK27" s="830"/>
      <c r="AWL27" s="830"/>
      <c r="AWM27" s="830"/>
      <c r="AWN27" s="830"/>
      <c r="AWO27" s="830"/>
      <c r="AWP27" s="830"/>
      <c r="AWQ27" s="830"/>
      <c r="AWR27" s="830"/>
      <c r="AWS27" s="830"/>
      <c r="AWT27" s="830"/>
      <c r="AWU27" s="830"/>
      <c r="AWV27" s="830"/>
      <c r="AWW27" s="830"/>
      <c r="AWX27" s="830"/>
      <c r="AWY27" s="830"/>
      <c r="AWZ27" s="830"/>
      <c r="AXA27" s="830"/>
      <c r="AXB27" s="830"/>
      <c r="AXC27" s="830"/>
      <c r="AXD27" s="830"/>
      <c r="AXE27" s="830"/>
      <c r="AXF27" s="830"/>
      <c r="AXG27" s="830"/>
      <c r="AXH27" s="830"/>
      <c r="AXI27" s="830"/>
      <c r="AXJ27" s="830"/>
      <c r="AXK27" s="830"/>
      <c r="AXL27" s="830"/>
      <c r="AXM27" s="830"/>
      <c r="AXN27" s="830"/>
      <c r="AXO27" s="830"/>
      <c r="AXP27" s="830"/>
      <c r="AXQ27" s="830"/>
      <c r="AXR27" s="830"/>
      <c r="AXS27" s="830"/>
      <c r="AXT27" s="830"/>
      <c r="AXU27" s="830"/>
      <c r="AXV27" s="830"/>
      <c r="AXW27" s="830"/>
      <c r="AXX27" s="830"/>
      <c r="AXY27" s="830"/>
      <c r="AXZ27" s="830"/>
      <c r="AYA27" s="830"/>
      <c r="AYB27" s="830"/>
      <c r="AYC27" s="830"/>
      <c r="AYD27" s="830"/>
      <c r="AYE27" s="830"/>
      <c r="AYF27" s="830"/>
      <c r="AYG27" s="830"/>
      <c r="AYH27" s="830"/>
      <c r="AYI27" s="830"/>
      <c r="AYJ27" s="830"/>
      <c r="AYK27" s="830"/>
      <c r="AYL27" s="830"/>
      <c r="AYM27" s="830"/>
      <c r="AYN27" s="830"/>
      <c r="AYO27" s="830"/>
      <c r="AYP27" s="830"/>
      <c r="AYQ27" s="830"/>
      <c r="AYR27" s="830"/>
      <c r="AYS27" s="830"/>
      <c r="AYT27" s="830"/>
      <c r="AYU27" s="830"/>
      <c r="AYV27" s="830"/>
      <c r="AYW27" s="830"/>
      <c r="AYX27" s="830"/>
      <c r="AYY27" s="830"/>
      <c r="AYZ27" s="830"/>
      <c r="AZA27" s="830"/>
      <c r="AZB27" s="830"/>
      <c r="AZC27" s="830"/>
      <c r="AZD27" s="830"/>
      <c r="AZE27" s="830"/>
      <c r="AZF27" s="830"/>
      <c r="AZG27" s="830"/>
      <c r="AZH27" s="830"/>
      <c r="AZI27" s="830"/>
      <c r="AZJ27" s="830"/>
      <c r="AZK27" s="830"/>
      <c r="AZL27" s="830"/>
      <c r="AZM27" s="830"/>
      <c r="AZN27" s="830"/>
      <c r="AZO27" s="830"/>
      <c r="AZP27" s="830"/>
      <c r="AZQ27" s="830"/>
      <c r="AZR27" s="830"/>
      <c r="AZS27" s="830"/>
      <c r="AZT27" s="830"/>
      <c r="AZU27" s="830"/>
      <c r="AZV27" s="830"/>
      <c r="AZW27" s="830"/>
      <c r="AZX27" s="830"/>
      <c r="AZY27" s="830"/>
      <c r="AZZ27" s="830"/>
      <c r="BAA27" s="830"/>
      <c r="BAB27" s="830"/>
      <c r="BAC27" s="830"/>
      <c r="BAD27" s="830"/>
      <c r="BAE27" s="830"/>
      <c r="BAF27" s="830"/>
      <c r="BAG27" s="830"/>
      <c r="BAH27" s="830"/>
      <c r="BAI27" s="830"/>
      <c r="BAJ27" s="830"/>
      <c r="BAK27" s="830"/>
      <c r="BAL27" s="830"/>
      <c r="BAM27" s="830"/>
      <c r="BAN27" s="830"/>
      <c r="BAO27" s="830"/>
      <c r="BAP27" s="830"/>
      <c r="BAQ27" s="830"/>
      <c r="BAR27" s="830"/>
      <c r="BAS27" s="830"/>
      <c r="BAT27" s="830"/>
      <c r="BAU27" s="830"/>
      <c r="BAV27" s="830"/>
      <c r="BAW27" s="830"/>
      <c r="BAX27" s="830"/>
      <c r="BAY27" s="830"/>
      <c r="BAZ27" s="830"/>
      <c r="BBA27" s="830"/>
      <c r="BBB27" s="830"/>
      <c r="BBC27" s="830"/>
      <c r="BBD27" s="830"/>
      <c r="BBE27" s="830"/>
      <c r="BBF27" s="830"/>
      <c r="BBG27" s="830"/>
      <c r="BBH27" s="830"/>
      <c r="BBI27" s="830"/>
      <c r="BBJ27" s="830"/>
      <c r="BBK27" s="830"/>
      <c r="BBL27" s="830"/>
      <c r="BBM27" s="830"/>
      <c r="BBN27" s="830"/>
      <c r="BBO27" s="830"/>
      <c r="BBP27" s="830"/>
      <c r="BBQ27" s="830"/>
      <c r="BBR27" s="830"/>
      <c r="BBS27" s="830"/>
      <c r="BBT27" s="830"/>
      <c r="BBU27" s="830"/>
      <c r="BBV27" s="830"/>
      <c r="BBW27" s="830"/>
      <c r="BBX27" s="830"/>
      <c r="BBY27" s="830"/>
      <c r="BBZ27" s="830"/>
      <c r="BCA27" s="830"/>
      <c r="BCB27" s="830"/>
      <c r="BCC27" s="830"/>
      <c r="BCD27" s="830"/>
      <c r="BCE27" s="830"/>
      <c r="BCF27" s="830"/>
      <c r="BCG27" s="830"/>
      <c r="BCH27" s="830"/>
      <c r="BCI27" s="830"/>
      <c r="BCJ27" s="830"/>
      <c r="BCK27" s="830"/>
      <c r="BCL27" s="830"/>
      <c r="BCM27" s="830"/>
      <c r="BCN27" s="830"/>
      <c r="BCO27" s="830"/>
      <c r="BCP27" s="830"/>
      <c r="BCQ27" s="830"/>
      <c r="BCR27" s="830"/>
      <c r="BCS27" s="830"/>
      <c r="BCT27" s="830"/>
      <c r="BCU27" s="830"/>
      <c r="BCV27" s="830"/>
      <c r="BCW27" s="830"/>
      <c r="BCX27" s="830"/>
      <c r="BCY27" s="830"/>
      <c r="BCZ27" s="830"/>
      <c r="BDA27" s="830"/>
      <c r="BDB27" s="830"/>
      <c r="BDC27" s="830"/>
      <c r="BDD27" s="830"/>
      <c r="BDE27" s="830"/>
      <c r="BDF27" s="830"/>
      <c r="BDG27" s="830"/>
      <c r="BDH27" s="830"/>
      <c r="BDI27" s="830"/>
      <c r="BDJ27" s="830"/>
      <c r="BDK27" s="830"/>
      <c r="BDL27" s="830"/>
      <c r="BDM27" s="830"/>
      <c r="BDN27" s="830"/>
      <c r="BDO27" s="830"/>
      <c r="BDP27" s="830"/>
      <c r="BDQ27" s="830"/>
      <c r="BDR27" s="830"/>
      <c r="BDS27" s="830"/>
      <c r="BDT27" s="830"/>
      <c r="BDU27" s="830"/>
      <c r="BDV27" s="830"/>
      <c r="BDW27" s="830"/>
      <c r="BDX27" s="830"/>
      <c r="BDY27" s="830"/>
      <c r="BDZ27" s="830"/>
      <c r="BEA27" s="830"/>
      <c r="BEB27" s="830"/>
      <c r="BEC27" s="830"/>
      <c r="BED27" s="830"/>
      <c r="BEE27" s="830"/>
      <c r="BEF27" s="830"/>
      <c r="BEG27" s="830"/>
      <c r="BEH27" s="830"/>
      <c r="BEI27" s="830"/>
      <c r="BEJ27" s="830"/>
      <c r="BEK27" s="830"/>
      <c r="BEL27" s="830"/>
      <c r="BEM27" s="830"/>
      <c r="BEN27" s="830"/>
      <c r="BEO27" s="830"/>
      <c r="BEP27" s="830"/>
      <c r="BEQ27" s="830"/>
      <c r="BER27" s="830"/>
      <c r="BES27" s="830"/>
      <c r="BET27" s="830"/>
      <c r="BEU27" s="830"/>
      <c r="BEV27" s="830"/>
      <c r="BEW27" s="830"/>
      <c r="BEX27" s="830"/>
      <c r="BEY27" s="830"/>
      <c r="BEZ27" s="830"/>
      <c r="BFA27" s="830"/>
      <c r="BFB27" s="830"/>
      <c r="BFC27" s="830"/>
      <c r="BFD27" s="830"/>
      <c r="BFE27" s="830"/>
      <c r="BFF27" s="830"/>
      <c r="BFG27" s="830"/>
      <c r="BFH27" s="830"/>
      <c r="BFI27" s="830"/>
      <c r="BFJ27" s="830"/>
      <c r="BFK27" s="830"/>
      <c r="BFL27" s="830"/>
      <c r="BFM27" s="830"/>
      <c r="BFN27" s="830"/>
      <c r="BFO27" s="830"/>
      <c r="BFP27" s="830"/>
      <c r="BFQ27" s="830"/>
      <c r="BFR27" s="830"/>
      <c r="BFS27" s="830"/>
      <c r="BFT27" s="830"/>
      <c r="BFU27" s="830"/>
      <c r="BFV27" s="830"/>
      <c r="BFW27" s="830"/>
      <c r="BFX27" s="830"/>
      <c r="BFY27" s="830"/>
      <c r="BFZ27" s="830"/>
      <c r="BGA27" s="830"/>
      <c r="BGB27" s="830"/>
      <c r="BGC27" s="830"/>
      <c r="BGD27" s="830"/>
      <c r="BGE27" s="830"/>
      <c r="BGF27" s="830"/>
      <c r="BGG27" s="830"/>
      <c r="BGH27" s="830"/>
      <c r="BGI27" s="830"/>
      <c r="BGJ27" s="830"/>
      <c r="BGK27" s="830"/>
      <c r="BGL27" s="830"/>
      <c r="BGM27" s="830"/>
      <c r="BGN27" s="830"/>
      <c r="BGO27" s="830"/>
      <c r="BGP27" s="830"/>
      <c r="BGQ27" s="830"/>
      <c r="BGR27" s="830"/>
      <c r="BGS27" s="830"/>
      <c r="BGT27" s="830"/>
      <c r="BGU27" s="830"/>
      <c r="BGV27" s="830"/>
      <c r="BGW27" s="830"/>
      <c r="BGX27" s="830"/>
      <c r="BGY27" s="830"/>
      <c r="BGZ27" s="830"/>
      <c r="BHA27" s="830"/>
      <c r="BHB27" s="830"/>
      <c r="BHC27" s="830"/>
      <c r="BHD27" s="830"/>
      <c r="BHE27" s="830"/>
      <c r="BHF27" s="830"/>
      <c r="BHG27" s="830"/>
      <c r="BHH27" s="830"/>
      <c r="BHI27" s="830"/>
      <c r="BHJ27" s="830"/>
      <c r="BHK27" s="830"/>
      <c r="BHL27" s="830"/>
      <c r="BHM27" s="830"/>
      <c r="BHN27" s="830"/>
      <c r="BHO27" s="830"/>
      <c r="BHP27" s="830"/>
      <c r="BHQ27" s="830"/>
      <c r="BHR27" s="830"/>
      <c r="BHS27" s="830"/>
      <c r="BHT27" s="830"/>
      <c r="BHU27" s="830"/>
      <c r="BHV27" s="830"/>
      <c r="BHW27" s="830"/>
      <c r="BHX27" s="830"/>
      <c r="BHY27" s="830"/>
      <c r="BHZ27" s="830"/>
      <c r="BIA27" s="830"/>
      <c r="BIB27" s="830"/>
      <c r="BIC27" s="830"/>
      <c r="BID27" s="830"/>
      <c r="BIE27" s="830"/>
      <c r="BIF27" s="830"/>
      <c r="BIG27" s="830"/>
      <c r="BIH27" s="830"/>
      <c r="BII27" s="830"/>
      <c r="BIJ27" s="830"/>
      <c r="BIK27" s="830"/>
      <c r="BIL27" s="830"/>
      <c r="BIM27" s="830"/>
      <c r="BIN27" s="830"/>
      <c r="BIO27" s="830"/>
      <c r="BIP27" s="830"/>
      <c r="BIQ27" s="830"/>
      <c r="BIR27" s="830"/>
      <c r="BIS27" s="830"/>
      <c r="BIT27" s="830"/>
      <c r="BIU27" s="830"/>
      <c r="BIV27" s="830"/>
      <c r="BIW27" s="830"/>
      <c r="BIX27" s="830"/>
      <c r="BIY27" s="830"/>
      <c r="BIZ27" s="830"/>
      <c r="BJA27" s="830"/>
      <c r="BJB27" s="830"/>
      <c r="BJC27" s="830"/>
      <c r="BJD27" s="830"/>
      <c r="BJE27" s="830"/>
      <c r="BJF27" s="830"/>
      <c r="BJG27" s="830"/>
      <c r="BJH27" s="830"/>
      <c r="BJI27" s="830"/>
      <c r="BJJ27" s="830"/>
      <c r="BJK27" s="830"/>
      <c r="BJL27" s="830"/>
      <c r="BJM27" s="830"/>
      <c r="BJN27" s="830"/>
      <c r="BJO27" s="830"/>
      <c r="BJP27" s="830"/>
      <c r="BJQ27" s="830"/>
      <c r="BJR27" s="830"/>
      <c r="BJS27" s="830"/>
      <c r="BJT27" s="830"/>
      <c r="BJU27" s="830"/>
      <c r="BJV27" s="830"/>
      <c r="BJW27" s="830"/>
      <c r="BJX27" s="830"/>
      <c r="BJY27" s="830"/>
      <c r="BJZ27" s="830"/>
      <c r="BKA27" s="830"/>
      <c r="BKB27" s="830"/>
      <c r="BKC27" s="830"/>
      <c r="BKD27" s="830"/>
      <c r="BKE27" s="830"/>
      <c r="BKF27" s="830"/>
      <c r="BKG27" s="830"/>
      <c r="BKH27" s="830"/>
      <c r="BKI27" s="830"/>
      <c r="BKJ27" s="830"/>
      <c r="BKK27" s="830"/>
      <c r="BKL27" s="830"/>
      <c r="BKM27" s="830"/>
      <c r="BKN27" s="830"/>
      <c r="BKO27" s="830"/>
      <c r="BKP27" s="830"/>
      <c r="BKQ27" s="830"/>
      <c r="BKR27" s="830"/>
      <c r="BKS27" s="830"/>
      <c r="BKT27" s="830"/>
      <c r="BKU27" s="830"/>
      <c r="BKV27" s="830"/>
      <c r="BKW27" s="830"/>
      <c r="BKX27" s="830"/>
      <c r="BKY27" s="830"/>
      <c r="BKZ27" s="830"/>
      <c r="BLA27" s="830"/>
      <c r="BLB27" s="830"/>
      <c r="BLC27" s="830"/>
      <c r="BLD27" s="830"/>
      <c r="BLE27" s="830"/>
      <c r="BLF27" s="830"/>
      <c r="BLG27" s="830"/>
      <c r="BLH27" s="830"/>
      <c r="BLI27" s="830"/>
      <c r="BLJ27" s="830"/>
      <c r="BLK27" s="830"/>
      <c r="BLL27" s="830"/>
      <c r="BLM27" s="830"/>
      <c r="BLN27" s="830"/>
      <c r="BLO27" s="830"/>
      <c r="BLP27" s="830"/>
      <c r="BLQ27" s="830"/>
      <c r="BLR27" s="830"/>
      <c r="BLS27" s="830"/>
      <c r="BLT27" s="830"/>
      <c r="BLU27" s="830"/>
      <c r="BLV27" s="830"/>
      <c r="BLW27" s="830"/>
      <c r="BLX27" s="830"/>
      <c r="BLY27" s="830"/>
      <c r="BLZ27" s="830"/>
      <c r="BMA27" s="830"/>
      <c r="BMB27" s="830"/>
      <c r="BMC27" s="830"/>
      <c r="BMD27" s="830"/>
      <c r="BME27" s="830"/>
      <c r="BMF27" s="830"/>
      <c r="BMG27" s="830"/>
      <c r="BMH27" s="830"/>
      <c r="BMI27" s="830"/>
      <c r="BMJ27" s="830"/>
      <c r="BMK27" s="830"/>
      <c r="BML27" s="830"/>
      <c r="BMM27" s="830"/>
      <c r="BMN27" s="830"/>
      <c r="BMO27" s="830"/>
      <c r="BMP27" s="830"/>
      <c r="BMQ27" s="830"/>
      <c r="BMR27" s="830"/>
      <c r="BMS27" s="830"/>
      <c r="BMT27" s="830"/>
      <c r="BMU27" s="830"/>
      <c r="BMV27" s="830"/>
      <c r="BMW27" s="830"/>
      <c r="BMX27" s="830"/>
      <c r="BMY27" s="830"/>
      <c r="BMZ27" s="830"/>
      <c r="BNA27" s="830"/>
      <c r="BNB27" s="830"/>
      <c r="BNC27" s="830"/>
      <c r="BND27" s="830"/>
      <c r="BNE27" s="830"/>
      <c r="BNF27" s="830"/>
      <c r="BNG27" s="830"/>
      <c r="BNH27" s="830"/>
      <c r="BNI27" s="830"/>
      <c r="BNJ27" s="830"/>
      <c r="BNK27" s="830"/>
      <c r="BNL27" s="830"/>
      <c r="BNM27" s="830"/>
      <c r="BNN27" s="830"/>
      <c r="BNO27" s="830"/>
      <c r="BNP27" s="830"/>
      <c r="BNQ27" s="830"/>
      <c r="BNR27" s="830"/>
      <c r="BNS27" s="830"/>
      <c r="BNT27" s="830"/>
      <c r="BNU27" s="830"/>
      <c r="BNV27" s="830"/>
      <c r="BNW27" s="830"/>
      <c r="BNX27" s="830"/>
      <c r="BNY27" s="830"/>
      <c r="BNZ27" s="830"/>
      <c r="BOA27" s="830"/>
      <c r="BOB27" s="830"/>
      <c r="BOC27" s="830"/>
      <c r="BOD27" s="830"/>
      <c r="BOE27" s="830"/>
      <c r="BOF27" s="830"/>
      <c r="BOG27" s="830"/>
      <c r="BOH27" s="830"/>
      <c r="BOI27" s="830"/>
      <c r="BOJ27" s="830"/>
      <c r="BOK27" s="830"/>
      <c r="BOL27" s="830"/>
      <c r="BOM27" s="830"/>
      <c r="BON27" s="830"/>
      <c r="BOO27" s="830"/>
      <c r="BOP27" s="830"/>
      <c r="BOQ27" s="830"/>
      <c r="BOR27" s="830"/>
      <c r="BOS27" s="830"/>
      <c r="BOT27" s="830"/>
      <c r="BOU27" s="830"/>
      <c r="BOV27" s="830"/>
      <c r="BOW27" s="830"/>
      <c r="BOX27" s="830"/>
      <c r="BOY27" s="830"/>
      <c r="BOZ27" s="830"/>
      <c r="BPA27" s="830"/>
      <c r="BPB27" s="830"/>
      <c r="BPC27" s="830"/>
      <c r="BPD27" s="830"/>
      <c r="BPE27" s="830"/>
      <c r="BPF27" s="830"/>
      <c r="BPG27" s="830"/>
      <c r="BPH27" s="830"/>
      <c r="BPI27" s="830"/>
      <c r="BPJ27" s="830"/>
      <c r="BPK27" s="830"/>
      <c r="BPL27" s="830"/>
      <c r="BPM27" s="830"/>
      <c r="BPN27" s="830"/>
      <c r="BPO27" s="830"/>
      <c r="BPP27" s="830"/>
      <c r="BPQ27" s="830"/>
      <c r="BPR27" s="830"/>
      <c r="BPS27" s="830"/>
      <c r="BPT27" s="830"/>
      <c r="BPU27" s="830"/>
      <c r="BPV27" s="830"/>
      <c r="BPW27" s="830"/>
      <c r="BPX27" s="830"/>
      <c r="BPY27" s="830"/>
      <c r="BPZ27" s="830"/>
      <c r="BQA27" s="830"/>
      <c r="BQB27" s="830"/>
      <c r="BQC27" s="830"/>
      <c r="BQD27" s="830"/>
      <c r="BQE27" s="830"/>
      <c r="BQF27" s="830"/>
      <c r="BQG27" s="830"/>
      <c r="BQH27" s="830"/>
      <c r="BQI27" s="830"/>
      <c r="BQJ27" s="830"/>
      <c r="BQK27" s="830"/>
      <c r="BQL27" s="830"/>
      <c r="BQM27" s="830"/>
      <c r="BQN27" s="830"/>
      <c r="BQO27" s="830"/>
      <c r="BQP27" s="830"/>
      <c r="BQQ27" s="830"/>
      <c r="BQR27" s="830"/>
      <c r="BQS27" s="830"/>
      <c r="BQT27" s="830"/>
      <c r="BQU27" s="830"/>
      <c r="BQV27" s="830"/>
      <c r="BQW27" s="830"/>
      <c r="BQX27" s="830"/>
      <c r="BQY27" s="830"/>
      <c r="BQZ27" s="830"/>
      <c r="BRA27" s="830"/>
      <c r="BRB27" s="830"/>
      <c r="BRC27" s="830"/>
      <c r="BRD27" s="830"/>
      <c r="BRE27" s="830"/>
      <c r="BRF27" s="830"/>
      <c r="BRG27" s="830"/>
      <c r="BRH27" s="830"/>
      <c r="BRI27" s="830"/>
      <c r="BRJ27" s="830"/>
      <c r="BRK27" s="830"/>
      <c r="BRL27" s="830"/>
      <c r="BRM27" s="830"/>
      <c r="BRN27" s="830"/>
      <c r="BRO27" s="830"/>
      <c r="BRP27" s="830"/>
      <c r="BRQ27" s="830"/>
      <c r="BRR27" s="830"/>
      <c r="BRS27" s="830"/>
      <c r="BRT27" s="830"/>
      <c r="BRU27" s="830"/>
      <c r="BRV27" s="830"/>
      <c r="BRW27" s="830"/>
      <c r="BRX27" s="830"/>
      <c r="BRY27" s="830"/>
      <c r="BRZ27" s="830"/>
      <c r="BSA27" s="830"/>
      <c r="BSB27" s="830"/>
      <c r="BSC27" s="830"/>
      <c r="BSD27" s="830"/>
      <c r="BSE27" s="830"/>
      <c r="BSF27" s="830"/>
      <c r="BSG27" s="830"/>
      <c r="BSH27" s="830"/>
      <c r="BSI27" s="830"/>
      <c r="BSJ27" s="830"/>
      <c r="BSK27" s="830"/>
      <c r="BSL27" s="830"/>
      <c r="BSM27" s="830"/>
      <c r="BSN27" s="830"/>
      <c r="BSO27" s="830"/>
      <c r="BSP27" s="830"/>
      <c r="BSQ27" s="830"/>
      <c r="BSR27" s="830"/>
      <c r="BSS27" s="830"/>
      <c r="BST27" s="830"/>
    </row>
    <row r="28" spans="1:1866" s="829" customFormat="1" ht="20.100000000000001" customHeight="1" x14ac:dyDescent="0.25">
      <c r="A28" s="830"/>
      <c r="B28" s="3183"/>
      <c r="C28" s="1502" t="s">
        <v>281</v>
      </c>
      <c r="D28" s="1503">
        <f>SUMIF(Bfr!$B$53:$B$56,"="&amp;C28,Bfr!$D$53:$D$56)</f>
        <v>0</v>
      </c>
      <c r="E28" s="1473"/>
      <c r="F28" s="1500">
        <f>E24*$D$28</f>
        <v>0</v>
      </c>
      <c r="G28" s="1500">
        <f t="shared" ref="G28:V28" si="33">F24*$D$28</f>
        <v>0</v>
      </c>
      <c r="H28" s="1500">
        <f t="shared" si="33"/>
        <v>0</v>
      </c>
      <c r="I28" s="1500">
        <f t="shared" si="33"/>
        <v>0</v>
      </c>
      <c r="J28" s="1500">
        <f t="shared" si="33"/>
        <v>0</v>
      </c>
      <c r="K28" s="1500">
        <f t="shared" si="33"/>
        <v>0</v>
      </c>
      <c r="L28" s="1500">
        <f t="shared" si="33"/>
        <v>0</v>
      </c>
      <c r="M28" s="1500">
        <f t="shared" si="33"/>
        <v>0</v>
      </c>
      <c r="N28" s="1500">
        <f t="shared" si="33"/>
        <v>0</v>
      </c>
      <c r="O28" s="1500">
        <f t="shared" si="33"/>
        <v>0</v>
      </c>
      <c r="P28" s="1500">
        <f t="shared" si="33"/>
        <v>0</v>
      </c>
      <c r="Q28" s="1500">
        <f t="shared" si="33"/>
        <v>0</v>
      </c>
      <c r="R28" s="1500">
        <f t="shared" si="33"/>
        <v>0</v>
      </c>
      <c r="S28" s="1500">
        <f t="shared" si="33"/>
        <v>0</v>
      </c>
      <c r="T28" s="1500">
        <f t="shared" si="33"/>
        <v>0</v>
      </c>
      <c r="U28" s="1500">
        <f t="shared" si="33"/>
        <v>0</v>
      </c>
      <c r="V28" s="1501">
        <f t="shared" si="33"/>
        <v>0</v>
      </c>
      <c r="W28" s="830"/>
      <c r="X28" s="1459">
        <f t="shared" si="30"/>
        <v>0</v>
      </c>
      <c r="Y28" s="1459">
        <f>V24*D28</f>
        <v>0</v>
      </c>
      <c r="Z28" s="1462"/>
      <c r="AA28" s="1461"/>
      <c r="AB28" s="826"/>
      <c r="AC28" s="826"/>
      <c r="AD28" s="830"/>
      <c r="AE28" s="830"/>
      <c r="AF28" s="830"/>
      <c r="AG28" s="830"/>
      <c r="AH28" s="830"/>
      <c r="AI28" s="830"/>
      <c r="AJ28" s="830"/>
      <c r="AK28" s="830"/>
      <c r="AL28" s="830"/>
      <c r="AM28" s="830"/>
      <c r="AN28" s="830"/>
      <c r="AO28" s="830"/>
      <c r="AP28" s="830"/>
      <c r="AQ28" s="830"/>
      <c r="AR28" s="830"/>
      <c r="AS28" s="830"/>
      <c r="AT28" s="830"/>
      <c r="AU28" s="830"/>
      <c r="AV28" s="830"/>
      <c r="AW28" s="830"/>
      <c r="AX28" s="830"/>
      <c r="AY28" s="830"/>
      <c r="AZ28" s="830"/>
      <c r="BA28" s="830"/>
      <c r="BB28" s="830"/>
      <c r="BC28" s="830"/>
      <c r="BD28" s="830"/>
      <c r="BE28" s="830"/>
      <c r="BF28" s="830"/>
      <c r="BG28" s="830"/>
      <c r="BH28" s="830"/>
      <c r="BI28" s="830"/>
      <c r="BJ28" s="830"/>
      <c r="BK28" s="830"/>
      <c r="BL28" s="830"/>
      <c r="BM28" s="830"/>
      <c r="BN28" s="830"/>
      <c r="BO28" s="830"/>
      <c r="BP28" s="830"/>
      <c r="BQ28" s="830"/>
      <c r="BR28" s="830"/>
      <c r="BS28" s="830"/>
      <c r="BT28" s="830"/>
      <c r="BU28" s="830"/>
      <c r="BV28" s="830"/>
      <c r="BW28" s="830"/>
      <c r="BX28" s="830"/>
      <c r="BY28" s="830"/>
      <c r="BZ28" s="830"/>
      <c r="CA28" s="830"/>
      <c r="CB28" s="830"/>
      <c r="CC28" s="830"/>
      <c r="CD28" s="830"/>
      <c r="CE28" s="830"/>
      <c r="CF28" s="830"/>
      <c r="CG28" s="830"/>
      <c r="CH28" s="830"/>
      <c r="CI28" s="830"/>
      <c r="CJ28" s="830"/>
      <c r="CK28" s="830"/>
      <c r="CL28" s="830"/>
      <c r="CM28" s="830"/>
      <c r="CN28" s="830"/>
      <c r="CO28" s="830"/>
      <c r="CP28" s="830"/>
      <c r="CQ28" s="830"/>
      <c r="CR28" s="830"/>
      <c r="CS28" s="830"/>
      <c r="CT28" s="830"/>
      <c r="CU28" s="830"/>
      <c r="CV28" s="830"/>
      <c r="CW28" s="830"/>
      <c r="CX28" s="830"/>
      <c r="CY28" s="830"/>
      <c r="CZ28" s="830"/>
      <c r="DA28" s="830"/>
      <c r="DB28" s="830"/>
      <c r="DC28" s="830"/>
      <c r="DD28" s="830"/>
      <c r="DE28" s="830"/>
      <c r="DF28" s="830"/>
      <c r="DG28" s="830"/>
      <c r="DH28" s="830"/>
      <c r="DI28" s="830"/>
      <c r="DJ28" s="830"/>
      <c r="DK28" s="830"/>
      <c r="DL28" s="830"/>
      <c r="DM28" s="830"/>
      <c r="DN28" s="830"/>
      <c r="DO28" s="830"/>
      <c r="DP28" s="830"/>
      <c r="DQ28" s="830"/>
      <c r="DR28" s="830"/>
      <c r="DS28" s="830"/>
      <c r="DT28" s="830"/>
      <c r="DU28" s="830"/>
      <c r="DV28" s="830"/>
      <c r="DW28" s="830"/>
      <c r="DX28" s="830"/>
      <c r="DY28" s="830"/>
      <c r="DZ28" s="830"/>
      <c r="EA28" s="830"/>
      <c r="EB28" s="830"/>
      <c r="EC28" s="830"/>
      <c r="ED28" s="830"/>
      <c r="EE28" s="830"/>
      <c r="EF28" s="830"/>
      <c r="EG28" s="830"/>
      <c r="EH28" s="830"/>
      <c r="EI28" s="830"/>
      <c r="EJ28" s="830"/>
      <c r="EK28" s="830"/>
      <c r="EL28" s="830"/>
      <c r="EM28" s="830"/>
      <c r="EN28" s="830"/>
      <c r="EO28" s="830"/>
      <c r="EP28" s="830"/>
      <c r="EQ28" s="830"/>
      <c r="ER28" s="830"/>
      <c r="ES28" s="830"/>
      <c r="ET28" s="830"/>
      <c r="EU28" s="830"/>
      <c r="EV28" s="830"/>
      <c r="EW28" s="830"/>
      <c r="EX28" s="830"/>
      <c r="EY28" s="830"/>
      <c r="EZ28" s="830"/>
      <c r="FA28" s="830"/>
      <c r="FB28" s="830"/>
      <c r="FC28" s="830"/>
      <c r="FD28" s="830"/>
      <c r="FE28" s="830"/>
      <c r="FF28" s="830"/>
      <c r="FG28" s="830"/>
      <c r="FH28" s="830"/>
      <c r="FI28" s="830"/>
      <c r="FJ28" s="830"/>
      <c r="FK28" s="830"/>
      <c r="FL28" s="830"/>
      <c r="FM28" s="830"/>
      <c r="FN28" s="830"/>
      <c r="FO28" s="830"/>
      <c r="FP28" s="830"/>
      <c r="FQ28" s="830"/>
      <c r="FR28" s="830"/>
      <c r="FS28" s="830"/>
      <c r="FT28" s="830"/>
      <c r="FU28" s="830"/>
      <c r="FV28" s="830"/>
      <c r="FW28" s="830"/>
      <c r="FX28" s="830"/>
      <c r="FY28" s="830"/>
      <c r="FZ28" s="830"/>
      <c r="GA28" s="830"/>
      <c r="GB28" s="830"/>
      <c r="GC28" s="830"/>
      <c r="GD28" s="830"/>
      <c r="GE28" s="830"/>
      <c r="GF28" s="830"/>
      <c r="GG28" s="830"/>
      <c r="GH28" s="830"/>
      <c r="GI28" s="830"/>
      <c r="GJ28" s="830"/>
      <c r="GK28" s="830"/>
      <c r="GL28" s="830"/>
      <c r="GM28" s="830"/>
      <c r="GN28" s="830"/>
      <c r="GO28" s="830"/>
      <c r="GP28" s="830"/>
      <c r="GQ28" s="830"/>
      <c r="GR28" s="830"/>
      <c r="GS28" s="830"/>
      <c r="GT28" s="830"/>
      <c r="GU28" s="830"/>
      <c r="GV28" s="830"/>
      <c r="GW28" s="830"/>
      <c r="GX28" s="830"/>
      <c r="GY28" s="830"/>
      <c r="GZ28" s="830"/>
      <c r="HA28" s="830"/>
      <c r="HB28" s="830"/>
      <c r="HC28" s="830"/>
      <c r="HD28" s="830"/>
      <c r="HE28" s="830"/>
      <c r="HF28" s="830"/>
      <c r="HG28" s="830"/>
      <c r="HH28" s="830"/>
      <c r="HI28" s="830"/>
      <c r="HJ28" s="830"/>
      <c r="HK28" s="830"/>
      <c r="HL28" s="830"/>
      <c r="HM28" s="830"/>
      <c r="HN28" s="830"/>
      <c r="HO28" s="830"/>
      <c r="HP28" s="830"/>
      <c r="HQ28" s="830"/>
      <c r="HR28" s="830"/>
      <c r="HS28" s="830"/>
      <c r="HT28" s="830"/>
      <c r="HU28" s="830"/>
      <c r="HV28" s="830"/>
      <c r="HW28" s="830"/>
      <c r="HX28" s="830"/>
      <c r="HY28" s="830"/>
      <c r="HZ28" s="830"/>
      <c r="IA28" s="830"/>
      <c r="IB28" s="830"/>
      <c r="IC28" s="830"/>
      <c r="ID28" s="830"/>
      <c r="IE28" s="830"/>
      <c r="IF28" s="830"/>
      <c r="IG28" s="830"/>
      <c r="IH28" s="830"/>
      <c r="II28" s="830"/>
      <c r="IJ28" s="830"/>
      <c r="IK28" s="830"/>
      <c r="IL28" s="830"/>
      <c r="IM28" s="830"/>
      <c r="IN28" s="830"/>
      <c r="IO28" s="830"/>
      <c r="IP28" s="830"/>
      <c r="IQ28" s="830"/>
      <c r="IR28" s="830"/>
      <c r="IS28" s="830"/>
      <c r="IT28" s="830"/>
      <c r="IU28" s="830"/>
      <c r="IV28" s="830"/>
      <c r="IW28" s="830"/>
      <c r="IX28" s="830"/>
      <c r="IY28" s="830"/>
      <c r="IZ28" s="830"/>
      <c r="JA28" s="830"/>
      <c r="JB28" s="830"/>
      <c r="JC28" s="830"/>
      <c r="JD28" s="830"/>
      <c r="JE28" s="830"/>
      <c r="JF28" s="830"/>
      <c r="JG28" s="830"/>
      <c r="JH28" s="830"/>
      <c r="JI28" s="830"/>
      <c r="JJ28" s="830"/>
      <c r="JK28" s="830"/>
      <c r="JL28" s="830"/>
      <c r="JM28" s="830"/>
      <c r="JN28" s="830"/>
      <c r="JO28" s="830"/>
      <c r="JP28" s="830"/>
      <c r="JQ28" s="830"/>
      <c r="JR28" s="830"/>
      <c r="JS28" s="830"/>
      <c r="JT28" s="830"/>
      <c r="JU28" s="830"/>
      <c r="JV28" s="830"/>
      <c r="JW28" s="830"/>
      <c r="JX28" s="830"/>
      <c r="JY28" s="830"/>
      <c r="JZ28" s="830"/>
      <c r="KA28" s="830"/>
      <c r="KB28" s="830"/>
      <c r="KC28" s="830"/>
      <c r="KD28" s="830"/>
      <c r="KE28" s="830"/>
      <c r="KF28" s="830"/>
      <c r="KG28" s="830"/>
      <c r="KH28" s="830"/>
      <c r="KI28" s="830"/>
      <c r="KJ28" s="830"/>
      <c r="KK28" s="830"/>
      <c r="KL28" s="830"/>
      <c r="KM28" s="830"/>
      <c r="KN28" s="830"/>
      <c r="KO28" s="830"/>
      <c r="KP28" s="830"/>
      <c r="KQ28" s="830"/>
      <c r="KR28" s="830"/>
      <c r="KS28" s="830"/>
      <c r="KT28" s="830"/>
      <c r="KU28" s="830"/>
      <c r="KV28" s="830"/>
      <c r="KW28" s="830"/>
      <c r="KX28" s="830"/>
      <c r="KY28" s="830"/>
      <c r="KZ28" s="830"/>
      <c r="LA28" s="830"/>
      <c r="LB28" s="830"/>
      <c r="LC28" s="830"/>
      <c r="LD28" s="830"/>
      <c r="LE28" s="830"/>
      <c r="LF28" s="830"/>
      <c r="LG28" s="830"/>
      <c r="LH28" s="830"/>
      <c r="LI28" s="830"/>
      <c r="LJ28" s="830"/>
      <c r="LK28" s="830"/>
      <c r="LL28" s="830"/>
      <c r="LM28" s="830"/>
      <c r="LN28" s="830"/>
      <c r="LO28" s="830"/>
      <c r="LP28" s="830"/>
      <c r="LQ28" s="830"/>
      <c r="LR28" s="830"/>
      <c r="LS28" s="830"/>
      <c r="LT28" s="830"/>
      <c r="LU28" s="830"/>
      <c r="LV28" s="830"/>
      <c r="LW28" s="830"/>
      <c r="LX28" s="830"/>
      <c r="LY28" s="830"/>
      <c r="LZ28" s="830"/>
      <c r="MA28" s="830"/>
      <c r="MB28" s="830"/>
      <c r="MC28" s="830"/>
      <c r="MD28" s="830"/>
      <c r="ME28" s="830"/>
      <c r="MF28" s="830"/>
      <c r="MG28" s="830"/>
      <c r="MH28" s="830"/>
      <c r="MI28" s="830"/>
      <c r="MJ28" s="830"/>
      <c r="MK28" s="830"/>
      <c r="ML28" s="830"/>
      <c r="MM28" s="830"/>
      <c r="MN28" s="830"/>
      <c r="MO28" s="830"/>
      <c r="MP28" s="830"/>
      <c r="MQ28" s="830"/>
      <c r="MR28" s="830"/>
      <c r="MS28" s="830"/>
      <c r="MT28" s="830"/>
      <c r="MU28" s="830"/>
      <c r="MV28" s="830"/>
      <c r="MW28" s="830"/>
      <c r="MX28" s="830"/>
      <c r="MY28" s="830"/>
      <c r="MZ28" s="830"/>
      <c r="NA28" s="830"/>
      <c r="NB28" s="830"/>
      <c r="NC28" s="830"/>
      <c r="ND28" s="830"/>
      <c r="NE28" s="830"/>
      <c r="NF28" s="830"/>
      <c r="NG28" s="830"/>
      <c r="NH28" s="830"/>
      <c r="NI28" s="830"/>
      <c r="NJ28" s="830"/>
      <c r="NK28" s="830"/>
      <c r="NL28" s="830"/>
      <c r="NM28" s="830"/>
      <c r="NN28" s="830"/>
      <c r="NO28" s="830"/>
      <c r="NP28" s="830"/>
      <c r="NQ28" s="830"/>
      <c r="NR28" s="830"/>
      <c r="NS28" s="830"/>
      <c r="NT28" s="830"/>
      <c r="NU28" s="830"/>
      <c r="NV28" s="830"/>
      <c r="NW28" s="830"/>
      <c r="NX28" s="830"/>
      <c r="NY28" s="830"/>
      <c r="NZ28" s="830"/>
      <c r="OA28" s="830"/>
      <c r="OB28" s="830"/>
      <c r="OC28" s="830"/>
      <c r="OD28" s="830"/>
      <c r="OE28" s="830"/>
      <c r="OF28" s="830"/>
      <c r="OG28" s="830"/>
      <c r="OH28" s="830"/>
      <c r="OI28" s="830"/>
      <c r="OJ28" s="830"/>
      <c r="OK28" s="830"/>
      <c r="OL28" s="830"/>
      <c r="OM28" s="830"/>
      <c r="ON28" s="830"/>
      <c r="OO28" s="830"/>
      <c r="OP28" s="830"/>
      <c r="OQ28" s="830"/>
      <c r="OR28" s="830"/>
      <c r="OS28" s="830"/>
      <c r="OT28" s="830"/>
      <c r="OU28" s="830"/>
      <c r="OV28" s="830"/>
      <c r="OW28" s="830"/>
      <c r="OX28" s="830"/>
      <c r="OY28" s="830"/>
      <c r="OZ28" s="830"/>
      <c r="PA28" s="830"/>
      <c r="PB28" s="830"/>
      <c r="PC28" s="830"/>
      <c r="PD28" s="830"/>
      <c r="PE28" s="830"/>
      <c r="PF28" s="830"/>
      <c r="PG28" s="830"/>
      <c r="PH28" s="830"/>
      <c r="PI28" s="830"/>
      <c r="PJ28" s="830"/>
      <c r="PK28" s="830"/>
      <c r="PL28" s="830"/>
      <c r="PM28" s="830"/>
      <c r="PN28" s="830"/>
      <c r="PO28" s="830"/>
      <c r="PP28" s="830"/>
      <c r="PQ28" s="830"/>
      <c r="PR28" s="830"/>
      <c r="PS28" s="830"/>
      <c r="PT28" s="830"/>
      <c r="PU28" s="830"/>
      <c r="PV28" s="830"/>
      <c r="PW28" s="830"/>
      <c r="PX28" s="830"/>
      <c r="PY28" s="830"/>
      <c r="PZ28" s="830"/>
      <c r="QA28" s="830"/>
      <c r="QB28" s="830"/>
      <c r="QC28" s="830"/>
      <c r="QD28" s="830"/>
      <c r="QE28" s="830"/>
      <c r="QF28" s="830"/>
      <c r="QG28" s="830"/>
      <c r="QH28" s="830"/>
      <c r="QI28" s="830"/>
      <c r="QJ28" s="830"/>
      <c r="QK28" s="830"/>
      <c r="QL28" s="830"/>
      <c r="QM28" s="830"/>
      <c r="QN28" s="830"/>
      <c r="QO28" s="830"/>
      <c r="QP28" s="830"/>
      <c r="QQ28" s="830"/>
      <c r="QR28" s="830"/>
      <c r="QS28" s="830"/>
      <c r="QT28" s="830"/>
      <c r="QU28" s="830"/>
      <c r="QV28" s="830"/>
      <c r="QW28" s="830"/>
      <c r="QX28" s="830"/>
      <c r="QY28" s="830"/>
      <c r="QZ28" s="830"/>
      <c r="RA28" s="830"/>
      <c r="RB28" s="830"/>
      <c r="RC28" s="830"/>
      <c r="RD28" s="830"/>
      <c r="RE28" s="830"/>
      <c r="RF28" s="830"/>
      <c r="RG28" s="830"/>
      <c r="RH28" s="830"/>
      <c r="RI28" s="830"/>
      <c r="RJ28" s="830"/>
      <c r="RK28" s="830"/>
      <c r="RL28" s="830"/>
      <c r="RM28" s="830"/>
      <c r="RN28" s="830"/>
      <c r="RO28" s="830"/>
      <c r="RP28" s="830"/>
      <c r="RQ28" s="830"/>
      <c r="RR28" s="830"/>
      <c r="RS28" s="830"/>
      <c r="RT28" s="830"/>
      <c r="RU28" s="830"/>
      <c r="RV28" s="830"/>
      <c r="RW28" s="830"/>
      <c r="RX28" s="830"/>
      <c r="RY28" s="830"/>
      <c r="RZ28" s="830"/>
      <c r="SA28" s="830"/>
      <c r="SB28" s="830"/>
      <c r="SC28" s="830"/>
      <c r="SD28" s="830"/>
      <c r="SE28" s="830"/>
      <c r="SF28" s="830"/>
      <c r="SG28" s="830"/>
      <c r="SH28" s="830"/>
      <c r="SI28" s="830"/>
      <c r="SJ28" s="830"/>
      <c r="SK28" s="830"/>
      <c r="SL28" s="830"/>
      <c r="SM28" s="830"/>
      <c r="SN28" s="830"/>
      <c r="SO28" s="830"/>
      <c r="SP28" s="830"/>
      <c r="SQ28" s="830"/>
      <c r="SR28" s="830"/>
      <c r="SS28" s="830"/>
      <c r="ST28" s="830"/>
      <c r="SU28" s="830"/>
      <c r="SV28" s="830"/>
      <c r="SW28" s="830"/>
      <c r="SX28" s="830"/>
      <c r="SY28" s="830"/>
      <c r="SZ28" s="830"/>
      <c r="TA28" s="830"/>
      <c r="TB28" s="830"/>
      <c r="TC28" s="830"/>
      <c r="TD28" s="830"/>
      <c r="TE28" s="830"/>
      <c r="TF28" s="830"/>
      <c r="TG28" s="830"/>
      <c r="TH28" s="830"/>
      <c r="TI28" s="830"/>
      <c r="TJ28" s="830"/>
      <c r="TK28" s="830"/>
      <c r="TL28" s="830"/>
      <c r="TM28" s="830"/>
      <c r="TN28" s="830"/>
      <c r="TO28" s="830"/>
      <c r="TP28" s="830"/>
      <c r="TQ28" s="830"/>
      <c r="TR28" s="830"/>
      <c r="TS28" s="830"/>
      <c r="TT28" s="830"/>
      <c r="TU28" s="830"/>
      <c r="TV28" s="830"/>
      <c r="TW28" s="830"/>
      <c r="TX28" s="830"/>
      <c r="TY28" s="830"/>
      <c r="TZ28" s="830"/>
      <c r="UA28" s="830"/>
      <c r="UB28" s="830"/>
      <c r="UC28" s="830"/>
      <c r="UD28" s="830"/>
      <c r="UE28" s="830"/>
      <c r="UF28" s="830"/>
      <c r="UG28" s="830"/>
      <c r="UH28" s="830"/>
      <c r="UI28" s="830"/>
      <c r="UJ28" s="830"/>
      <c r="UK28" s="830"/>
      <c r="UL28" s="830"/>
      <c r="UM28" s="830"/>
      <c r="UN28" s="830"/>
      <c r="UO28" s="830"/>
      <c r="UP28" s="830"/>
      <c r="UQ28" s="830"/>
      <c r="UR28" s="830"/>
      <c r="US28" s="830"/>
      <c r="UT28" s="830"/>
      <c r="UU28" s="830"/>
      <c r="UV28" s="830"/>
      <c r="UW28" s="830"/>
      <c r="UX28" s="830"/>
      <c r="UY28" s="830"/>
      <c r="UZ28" s="830"/>
      <c r="VA28" s="830"/>
      <c r="VB28" s="830"/>
      <c r="VC28" s="830"/>
      <c r="VD28" s="830"/>
      <c r="VE28" s="830"/>
      <c r="VF28" s="830"/>
      <c r="VG28" s="830"/>
      <c r="VH28" s="830"/>
      <c r="VI28" s="830"/>
      <c r="VJ28" s="830"/>
      <c r="VK28" s="830"/>
      <c r="VL28" s="830"/>
      <c r="VM28" s="830"/>
      <c r="VN28" s="830"/>
      <c r="VO28" s="830"/>
      <c r="VP28" s="830"/>
      <c r="VQ28" s="830"/>
      <c r="VR28" s="830"/>
      <c r="VS28" s="830"/>
      <c r="VT28" s="830"/>
      <c r="VU28" s="830"/>
      <c r="VV28" s="830"/>
      <c r="VW28" s="830"/>
      <c r="VX28" s="830"/>
      <c r="VY28" s="830"/>
      <c r="VZ28" s="830"/>
      <c r="WA28" s="830"/>
      <c r="WB28" s="830"/>
      <c r="WC28" s="830"/>
      <c r="WD28" s="830"/>
      <c r="WE28" s="830"/>
      <c r="WF28" s="830"/>
      <c r="WG28" s="830"/>
      <c r="WH28" s="830"/>
      <c r="WI28" s="830"/>
      <c r="WJ28" s="830"/>
      <c r="WK28" s="830"/>
      <c r="WL28" s="830"/>
      <c r="WM28" s="830"/>
      <c r="WN28" s="830"/>
      <c r="WO28" s="830"/>
      <c r="WP28" s="830"/>
      <c r="WQ28" s="830"/>
      <c r="WR28" s="830"/>
      <c r="WS28" s="830"/>
      <c r="WT28" s="830"/>
      <c r="WU28" s="830"/>
      <c r="WV28" s="830"/>
      <c r="WW28" s="830"/>
      <c r="WX28" s="830"/>
      <c r="WY28" s="830"/>
      <c r="WZ28" s="830"/>
      <c r="XA28" s="830"/>
      <c r="XB28" s="830"/>
      <c r="XC28" s="830"/>
      <c r="XD28" s="830"/>
      <c r="XE28" s="830"/>
      <c r="XF28" s="830"/>
      <c r="XG28" s="830"/>
      <c r="XH28" s="830"/>
      <c r="XI28" s="830"/>
      <c r="XJ28" s="830"/>
      <c r="XK28" s="830"/>
      <c r="XL28" s="830"/>
      <c r="XM28" s="830"/>
      <c r="XN28" s="830"/>
      <c r="XO28" s="830"/>
      <c r="XP28" s="830"/>
      <c r="XQ28" s="830"/>
      <c r="XR28" s="830"/>
      <c r="XS28" s="830"/>
      <c r="XT28" s="830"/>
      <c r="XU28" s="830"/>
      <c r="XV28" s="830"/>
      <c r="XW28" s="830"/>
      <c r="XX28" s="830"/>
      <c r="XY28" s="830"/>
      <c r="XZ28" s="830"/>
      <c r="YA28" s="830"/>
      <c r="YB28" s="830"/>
      <c r="YC28" s="830"/>
      <c r="YD28" s="830"/>
      <c r="YE28" s="830"/>
      <c r="YF28" s="830"/>
      <c r="YG28" s="830"/>
      <c r="YH28" s="830"/>
      <c r="YI28" s="830"/>
      <c r="YJ28" s="830"/>
      <c r="YK28" s="830"/>
      <c r="YL28" s="830"/>
      <c r="YM28" s="830"/>
      <c r="YN28" s="830"/>
      <c r="YO28" s="830"/>
      <c r="YP28" s="830"/>
      <c r="YQ28" s="830"/>
      <c r="YR28" s="830"/>
      <c r="YS28" s="830"/>
      <c r="YT28" s="830"/>
      <c r="YU28" s="830"/>
      <c r="YV28" s="830"/>
      <c r="YW28" s="830"/>
      <c r="YX28" s="830"/>
      <c r="YY28" s="830"/>
      <c r="YZ28" s="830"/>
      <c r="ZA28" s="830"/>
      <c r="ZB28" s="830"/>
      <c r="ZC28" s="830"/>
      <c r="ZD28" s="830"/>
      <c r="ZE28" s="830"/>
      <c r="ZF28" s="830"/>
      <c r="ZG28" s="830"/>
      <c r="ZH28" s="830"/>
      <c r="ZI28" s="830"/>
      <c r="ZJ28" s="830"/>
      <c r="ZK28" s="830"/>
      <c r="ZL28" s="830"/>
      <c r="ZM28" s="830"/>
      <c r="ZN28" s="830"/>
      <c r="ZO28" s="830"/>
      <c r="ZP28" s="830"/>
      <c r="ZQ28" s="830"/>
      <c r="ZR28" s="830"/>
      <c r="ZS28" s="830"/>
      <c r="ZT28" s="830"/>
      <c r="ZU28" s="830"/>
      <c r="ZV28" s="830"/>
      <c r="ZW28" s="830"/>
      <c r="ZX28" s="830"/>
      <c r="ZY28" s="830"/>
      <c r="ZZ28" s="830"/>
      <c r="AAA28" s="830"/>
      <c r="AAB28" s="830"/>
      <c r="AAC28" s="830"/>
      <c r="AAD28" s="830"/>
      <c r="AAE28" s="830"/>
      <c r="AAF28" s="830"/>
      <c r="AAG28" s="830"/>
      <c r="AAH28" s="830"/>
      <c r="AAI28" s="830"/>
      <c r="AAJ28" s="830"/>
      <c r="AAK28" s="830"/>
      <c r="AAL28" s="830"/>
      <c r="AAM28" s="830"/>
      <c r="AAN28" s="830"/>
      <c r="AAO28" s="830"/>
      <c r="AAP28" s="830"/>
      <c r="AAQ28" s="830"/>
      <c r="AAR28" s="830"/>
      <c r="AAS28" s="830"/>
      <c r="AAT28" s="830"/>
      <c r="AAU28" s="830"/>
      <c r="AAV28" s="830"/>
      <c r="AAW28" s="830"/>
      <c r="AAX28" s="830"/>
      <c r="AAY28" s="830"/>
      <c r="AAZ28" s="830"/>
      <c r="ABA28" s="830"/>
      <c r="ABB28" s="830"/>
      <c r="ABC28" s="830"/>
      <c r="ABD28" s="830"/>
      <c r="ABE28" s="830"/>
      <c r="ABF28" s="830"/>
      <c r="ABG28" s="830"/>
      <c r="ABH28" s="830"/>
      <c r="ABI28" s="830"/>
      <c r="ABJ28" s="830"/>
      <c r="ABK28" s="830"/>
      <c r="ABL28" s="830"/>
      <c r="ABM28" s="830"/>
      <c r="ABN28" s="830"/>
      <c r="ABO28" s="830"/>
      <c r="ABP28" s="830"/>
      <c r="ABQ28" s="830"/>
      <c r="ABR28" s="830"/>
      <c r="ABS28" s="830"/>
      <c r="ABT28" s="830"/>
      <c r="ABU28" s="830"/>
      <c r="ABV28" s="830"/>
      <c r="ABW28" s="830"/>
      <c r="ABX28" s="830"/>
      <c r="ABY28" s="830"/>
      <c r="ABZ28" s="830"/>
      <c r="ACA28" s="830"/>
      <c r="ACB28" s="830"/>
      <c r="ACC28" s="830"/>
      <c r="ACD28" s="830"/>
      <c r="ACE28" s="830"/>
      <c r="ACF28" s="830"/>
      <c r="ACG28" s="830"/>
      <c r="ACH28" s="830"/>
      <c r="ACI28" s="830"/>
      <c r="ACJ28" s="830"/>
      <c r="ACK28" s="830"/>
      <c r="ACL28" s="830"/>
      <c r="ACM28" s="830"/>
      <c r="ACN28" s="830"/>
      <c r="ACO28" s="830"/>
      <c r="ACP28" s="830"/>
      <c r="ACQ28" s="830"/>
      <c r="ACR28" s="830"/>
      <c r="ACS28" s="830"/>
      <c r="ACT28" s="830"/>
      <c r="ACU28" s="830"/>
      <c r="ACV28" s="830"/>
      <c r="ACW28" s="830"/>
      <c r="ACX28" s="830"/>
      <c r="ACY28" s="830"/>
      <c r="ACZ28" s="830"/>
      <c r="ADA28" s="830"/>
      <c r="ADB28" s="830"/>
      <c r="ADC28" s="830"/>
      <c r="ADD28" s="830"/>
      <c r="ADE28" s="830"/>
      <c r="ADF28" s="830"/>
      <c r="ADG28" s="830"/>
      <c r="ADH28" s="830"/>
      <c r="ADI28" s="830"/>
      <c r="ADJ28" s="830"/>
      <c r="ADK28" s="830"/>
      <c r="ADL28" s="830"/>
      <c r="ADM28" s="830"/>
      <c r="ADN28" s="830"/>
      <c r="ADO28" s="830"/>
      <c r="ADP28" s="830"/>
      <c r="ADQ28" s="830"/>
      <c r="ADR28" s="830"/>
      <c r="ADS28" s="830"/>
      <c r="ADT28" s="830"/>
      <c r="ADU28" s="830"/>
      <c r="ADV28" s="830"/>
      <c r="ADW28" s="830"/>
      <c r="ADX28" s="830"/>
      <c r="ADY28" s="830"/>
      <c r="ADZ28" s="830"/>
      <c r="AEA28" s="830"/>
      <c r="AEB28" s="830"/>
      <c r="AEC28" s="830"/>
      <c r="AED28" s="830"/>
      <c r="AEE28" s="830"/>
      <c r="AEF28" s="830"/>
      <c r="AEG28" s="830"/>
      <c r="AEH28" s="830"/>
      <c r="AEI28" s="830"/>
      <c r="AEJ28" s="830"/>
      <c r="AEK28" s="830"/>
      <c r="AEL28" s="830"/>
      <c r="AEM28" s="830"/>
      <c r="AEN28" s="830"/>
      <c r="AEO28" s="830"/>
      <c r="AEP28" s="830"/>
      <c r="AEQ28" s="830"/>
      <c r="AER28" s="830"/>
      <c r="AES28" s="830"/>
      <c r="AET28" s="830"/>
      <c r="AEU28" s="830"/>
      <c r="AEV28" s="830"/>
      <c r="AEW28" s="830"/>
      <c r="AEX28" s="830"/>
      <c r="AEY28" s="830"/>
      <c r="AEZ28" s="830"/>
      <c r="AFA28" s="830"/>
      <c r="AFB28" s="830"/>
      <c r="AFC28" s="830"/>
      <c r="AFD28" s="830"/>
      <c r="AFE28" s="830"/>
      <c r="AFF28" s="830"/>
      <c r="AFG28" s="830"/>
      <c r="AFH28" s="830"/>
      <c r="AFI28" s="830"/>
      <c r="AFJ28" s="830"/>
      <c r="AFK28" s="830"/>
      <c r="AFL28" s="830"/>
      <c r="AFM28" s="830"/>
      <c r="AFN28" s="830"/>
      <c r="AFO28" s="830"/>
      <c r="AFP28" s="830"/>
      <c r="AFQ28" s="830"/>
      <c r="AFR28" s="830"/>
      <c r="AFS28" s="830"/>
      <c r="AFT28" s="830"/>
      <c r="AFU28" s="830"/>
      <c r="AFV28" s="830"/>
      <c r="AFW28" s="830"/>
      <c r="AFX28" s="830"/>
      <c r="AFY28" s="830"/>
      <c r="AFZ28" s="830"/>
      <c r="AGA28" s="830"/>
      <c r="AGB28" s="830"/>
      <c r="AGC28" s="830"/>
      <c r="AGD28" s="830"/>
      <c r="AGE28" s="830"/>
      <c r="AGF28" s="830"/>
      <c r="AGG28" s="830"/>
      <c r="AGH28" s="830"/>
      <c r="AGI28" s="830"/>
      <c r="AGJ28" s="830"/>
      <c r="AGK28" s="830"/>
      <c r="AGL28" s="830"/>
      <c r="AGM28" s="830"/>
      <c r="AGN28" s="830"/>
      <c r="AGO28" s="830"/>
      <c r="AGP28" s="830"/>
      <c r="AGQ28" s="830"/>
      <c r="AGR28" s="830"/>
      <c r="AGS28" s="830"/>
      <c r="AGT28" s="830"/>
      <c r="AGU28" s="830"/>
      <c r="AGV28" s="830"/>
      <c r="AGW28" s="830"/>
      <c r="AGX28" s="830"/>
      <c r="AGY28" s="830"/>
      <c r="AGZ28" s="830"/>
      <c r="AHA28" s="830"/>
      <c r="AHB28" s="830"/>
      <c r="AHC28" s="830"/>
      <c r="AHD28" s="830"/>
      <c r="AHE28" s="830"/>
      <c r="AHF28" s="830"/>
      <c r="AHG28" s="830"/>
      <c r="AHH28" s="830"/>
      <c r="AHI28" s="830"/>
      <c r="AHJ28" s="830"/>
      <c r="AHK28" s="830"/>
      <c r="AHL28" s="830"/>
      <c r="AHM28" s="830"/>
      <c r="AHN28" s="830"/>
      <c r="AHO28" s="830"/>
      <c r="AHP28" s="830"/>
      <c r="AHQ28" s="830"/>
      <c r="AHR28" s="830"/>
      <c r="AHS28" s="830"/>
      <c r="AHT28" s="830"/>
      <c r="AHU28" s="830"/>
      <c r="AHV28" s="830"/>
      <c r="AHW28" s="830"/>
      <c r="AHX28" s="830"/>
      <c r="AHY28" s="830"/>
      <c r="AHZ28" s="830"/>
      <c r="AIA28" s="830"/>
      <c r="AIB28" s="830"/>
      <c r="AIC28" s="830"/>
      <c r="AID28" s="830"/>
      <c r="AIE28" s="830"/>
      <c r="AIF28" s="830"/>
      <c r="AIG28" s="830"/>
      <c r="AIH28" s="830"/>
      <c r="AII28" s="830"/>
      <c r="AIJ28" s="830"/>
      <c r="AIK28" s="830"/>
      <c r="AIL28" s="830"/>
      <c r="AIM28" s="830"/>
      <c r="AIN28" s="830"/>
      <c r="AIO28" s="830"/>
      <c r="AIP28" s="830"/>
      <c r="AIQ28" s="830"/>
      <c r="AIR28" s="830"/>
      <c r="AIS28" s="830"/>
      <c r="AIT28" s="830"/>
      <c r="AIU28" s="830"/>
      <c r="AIV28" s="830"/>
      <c r="AIW28" s="830"/>
      <c r="AIX28" s="830"/>
      <c r="AIY28" s="830"/>
      <c r="AIZ28" s="830"/>
      <c r="AJA28" s="830"/>
      <c r="AJB28" s="830"/>
      <c r="AJC28" s="830"/>
      <c r="AJD28" s="830"/>
      <c r="AJE28" s="830"/>
      <c r="AJF28" s="830"/>
      <c r="AJG28" s="830"/>
      <c r="AJH28" s="830"/>
      <c r="AJI28" s="830"/>
      <c r="AJJ28" s="830"/>
      <c r="AJK28" s="830"/>
      <c r="AJL28" s="830"/>
      <c r="AJM28" s="830"/>
      <c r="AJN28" s="830"/>
      <c r="AJO28" s="830"/>
      <c r="AJP28" s="830"/>
      <c r="AJQ28" s="830"/>
      <c r="AJR28" s="830"/>
      <c r="AJS28" s="830"/>
      <c r="AJT28" s="830"/>
      <c r="AJU28" s="830"/>
      <c r="AJV28" s="830"/>
      <c r="AJW28" s="830"/>
      <c r="AJX28" s="830"/>
      <c r="AJY28" s="830"/>
      <c r="AJZ28" s="830"/>
      <c r="AKA28" s="830"/>
      <c r="AKB28" s="830"/>
      <c r="AKC28" s="830"/>
      <c r="AKD28" s="830"/>
      <c r="AKE28" s="830"/>
      <c r="AKF28" s="830"/>
      <c r="AKG28" s="830"/>
      <c r="AKH28" s="830"/>
      <c r="AKI28" s="830"/>
      <c r="AKJ28" s="830"/>
      <c r="AKK28" s="830"/>
      <c r="AKL28" s="830"/>
      <c r="AKM28" s="830"/>
      <c r="AKN28" s="830"/>
      <c r="AKO28" s="830"/>
      <c r="AKP28" s="830"/>
      <c r="AKQ28" s="830"/>
      <c r="AKR28" s="830"/>
      <c r="AKS28" s="830"/>
      <c r="AKT28" s="830"/>
      <c r="AKU28" s="830"/>
      <c r="AKV28" s="830"/>
      <c r="AKW28" s="830"/>
      <c r="AKX28" s="830"/>
      <c r="AKY28" s="830"/>
      <c r="AKZ28" s="830"/>
      <c r="ALA28" s="830"/>
      <c r="ALB28" s="830"/>
      <c r="ALC28" s="830"/>
      <c r="ALD28" s="830"/>
      <c r="ALE28" s="830"/>
      <c r="ALF28" s="830"/>
      <c r="ALG28" s="830"/>
      <c r="ALH28" s="830"/>
      <c r="ALI28" s="830"/>
      <c r="ALJ28" s="830"/>
      <c r="ALK28" s="830"/>
      <c r="ALL28" s="830"/>
      <c r="ALM28" s="830"/>
      <c r="ALN28" s="830"/>
      <c r="ALO28" s="830"/>
      <c r="ALP28" s="830"/>
      <c r="ALQ28" s="830"/>
      <c r="ALR28" s="830"/>
      <c r="ALS28" s="830"/>
      <c r="ALT28" s="830"/>
      <c r="ALU28" s="830"/>
      <c r="ALV28" s="830"/>
      <c r="ALW28" s="830"/>
      <c r="ALX28" s="830"/>
      <c r="ALY28" s="830"/>
      <c r="ALZ28" s="830"/>
      <c r="AMA28" s="830"/>
      <c r="AMB28" s="830"/>
      <c r="AMC28" s="830"/>
      <c r="AMD28" s="830"/>
      <c r="AME28" s="830"/>
      <c r="AMF28" s="830"/>
      <c r="AMG28" s="830"/>
      <c r="AMH28" s="830"/>
      <c r="AMI28" s="830"/>
      <c r="AMJ28" s="830"/>
      <c r="AMK28" s="830"/>
      <c r="AML28" s="830"/>
      <c r="AMM28" s="830"/>
      <c r="AMN28" s="830"/>
      <c r="AMO28" s="830"/>
      <c r="AMP28" s="830"/>
      <c r="AMQ28" s="830"/>
      <c r="AMR28" s="830"/>
      <c r="AMS28" s="830"/>
      <c r="AMT28" s="830"/>
      <c r="AMU28" s="830"/>
      <c r="AMV28" s="830"/>
      <c r="AMW28" s="830"/>
      <c r="AMX28" s="830"/>
      <c r="AMY28" s="830"/>
      <c r="AMZ28" s="830"/>
      <c r="ANA28" s="830"/>
      <c r="ANB28" s="830"/>
      <c r="ANC28" s="830"/>
      <c r="AND28" s="830"/>
      <c r="ANE28" s="830"/>
      <c r="ANF28" s="830"/>
      <c r="ANG28" s="830"/>
      <c r="ANH28" s="830"/>
      <c r="ANI28" s="830"/>
      <c r="ANJ28" s="830"/>
      <c r="ANK28" s="830"/>
      <c r="ANL28" s="830"/>
      <c r="ANM28" s="830"/>
      <c r="ANN28" s="830"/>
      <c r="ANO28" s="830"/>
      <c r="ANP28" s="830"/>
      <c r="ANQ28" s="830"/>
      <c r="ANR28" s="830"/>
      <c r="ANS28" s="830"/>
      <c r="ANT28" s="830"/>
      <c r="ANU28" s="830"/>
      <c r="ANV28" s="830"/>
      <c r="ANW28" s="830"/>
      <c r="ANX28" s="830"/>
      <c r="ANY28" s="830"/>
      <c r="ANZ28" s="830"/>
      <c r="AOA28" s="830"/>
      <c r="AOB28" s="830"/>
      <c r="AOC28" s="830"/>
      <c r="AOD28" s="830"/>
      <c r="AOE28" s="830"/>
      <c r="AOF28" s="830"/>
      <c r="AOG28" s="830"/>
      <c r="AOH28" s="830"/>
      <c r="AOI28" s="830"/>
      <c r="AOJ28" s="830"/>
      <c r="AOK28" s="830"/>
      <c r="AOL28" s="830"/>
      <c r="AOM28" s="830"/>
      <c r="AON28" s="830"/>
      <c r="AOO28" s="830"/>
      <c r="AOP28" s="830"/>
      <c r="AOQ28" s="830"/>
      <c r="AOR28" s="830"/>
      <c r="AOS28" s="830"/>
      <c r="AOT28" s="830"/>
      <c r="AOU28" s="830"/>
      <c r="AOV28" s="830"/>
      <c r="AOW28" s="830"/>
      <c r="AOX28" s="830"/>
      <c r="AOY28" s="830"/>
      <c r="AOZ28" s="830"/>
      <c r="APA28" s="830"/>
      <c r="APB28" s="830"/>
      <c r="APC28" s="830"/>
      <c r="APD28" s="830"/>
      <c r="APE28" s="830"/>
      <c r="APF28" s="830"/>
      <c r="APG28" s="830"/>
      <c r="APH28" s="830"/>
      <c r="API28" s="830"/>
      <c r="APJ28" s="830"/>
      <c r="APK28" s="830"/>
      <c r="APL28" s="830"/>
      <c r="APM28" s="830"/>
      <c r="APN28" s="830"/>
      <c r="APO28" s="830"/>
      <c r="APP28" s="830"/>
      <c r="APQ28" s="830"/>
      <c r="APR28" s="830"/>
      <c r="APS28" s="830"/>
      <c r="APT28" s="830"/>
      <c r="APU28" s="830"/>
      <c r="APV28" s="830"/>
      <c r="APW28" s="830"/>
      <c r="APX28" s="830"/>
      <c r="APY28" s="830"/>
      <c r="APZ28" s="830"/>
      <c r="AQA28" s="830"/>
      <c r="AQB28" s="830"/>
      <c r="AQC28" s="830"/>
      <c r="AQD28" s="830"/>
      <c r="AQE28" s="830"/>
      <c r="AQF28" s="830"/>
      <c r="AQG28" s="830"/>
      <c r="AQH28" s="830"/>
      <c r="AQI28" s="830"/>
      <c r="AQJ28" s="830"/>
      <c r="AQK28" s="830"/>
      <c r="AQL28" s="830"/>
      <c r="AQM28" s="830"/>
      <c r="AQN28" s="830"/>
      <c r="AQO28" s="830"/>
      <c r="AQP28" s="830"/>
      <c r="AQQ28" s="830"/>
      <c r="AQR28" s="830"/>
      <c r="AQS28" s="830"/>
      <c r="AQT28" s="830"/>
      <c r="AQU28" s="830"/>
      <c r="AQV28" s="830"/>
      <c r="AQW28" s="830"/>
      <c r="AQX28" s="830"/>
      <c r="AQY28" s="830"/>
      <c r="AQZ28" s="830"/>
      <c r="ARA28" s="830"/>
      <c r="ARB28" s="830"/>
      <c r="ARC28" s="830"/>
      <c r="ARD28" s="830"/>
      <c r="ARE28" s="830"/>
      <c r="ARF28" s="830"/>
      <c r="ARG28" s="830"/>
      <c r="ARH28" s="830"/>
      <c r="ARI28" s="830"/>
      <c r="ARJ28" s="830"/>
      <c r="ARK28" s="830"/>
      <c r="ARL28" s="830"/>
      <c r="ARM28" s="830"/>
      <c r="ARN28" s="830"/>
      <c r="ARO28" s="830"/>
      <c r="ARP28" s="830"/>
      <c r="ARQ28" s="830"/>
      <c r="ARR28" s="830"/>
      <c r="ARS28" s="830"/>
      <c r="ART28" s="830"/>
      <c r="ARU28" s="830"/>
      <c r="ARV28" s="830"/>
      <c r="ARW28" s="830"/>
      <c r="ARX28" s="830"/>
      <c r="ARY28" s="830"/>
      <c r="ARZ28" s="830"/>
      <c r="ASA28" s="830"/>
      <c r="ASB28" s="830"/>
      <c r="ASC28" s="830"/>
      <c r="ASD28" s="830"/>
      <c r="ASE28" s="830"/>
      <c r="ASF28" s="830"/>
      <c r="ASG28" s="830"/>
      <c r="ASH28" s="830"/>
      <c r="ASI28" s="830"/>
      <c r="ASJ28" s="830"/>
      <c r="ASK28" s="830"/>
      <c r="ASL28" s="830"/>
      <c r="ASM28" s="830"/>
      <c r="ASN28" s="830"/>
      <c r="ASO28" s="830"/>
      <c r="ASP28" s="830"/>
      <c r="ASQ28" s="830"/>
      <c r="ASR28" s="830"/>
      <c r="ASS28" s="830"/>
      <c r="AST28" s="830"/>
      <c r="ASU28" s="830"/>
      <c r="ASV28" s="830"/>
      <c r="ASW28" s="830"/>
      <c r="ASX28" s="830"/>
      <c r="ASY28" s="830"/>
      <c r="ASZ28" s="830"/>
      <c r="ATA28" s="830"/>
      <c r="ATB28" s="830"/>
      <c r="ATC28" s="830"/>
      <c r="ATD28" s="830"/>
      <c r="ATE28" s="830"/>
      <c r="ATF28" s="830"/>
      <c r="ATG28" s="830"/>
      <c r="ATH28" s="830"/>
      <c r="ATI28" s="830"/>
      <c r="ATJ28" s="830"/>
      <c r="ATK28" s="830"/>
      <c r="ATL28" s="830"/>
      <c r="ATM28" s="830"/>
      <c r="ATN28" s="830"/>
      <c r="ATO28" s="830"/>
      <c r="ATP28" s="830"/>
      <c r="ATQ28" s="830"/>
      <c r="ATR28" s="830"/>
      <c r="ATS28" s="830"/>
      <c r="ATT28" s="830"/>
      <c r="ATU28" s="830"/>
      <c r="ATV28" s="830"/>
      <c r="ATW28" s="830"/>
      <c r="ATX28" s="830"/>
      <c r="ATY28" s="830"/>
      <c r="ATZ28" s="830"/>
      <c r="AUA28" s="830"/>
      <c r="AUB28" s="830"/>
      <c r="AUC28" s="830"/>
      <c r="AUD28" s="830"/>
      <c r="AUE28" s="830"/>
      <c r="AUF28" s="830"/>
      <c r="AUG28" s="830"/>
      <c r="AUH28" s="830"/>
      <c r="AUI28" s="830"/>
      <c r="AUJ28" s="830"/>
      <c r="AUK28" s="830"/>
      <c r="AUL28" s="830"/>
      <c r="AUM28" s="830"/>
      <c r="AUN28" s="830"/>
      <c r="AUO28" s="830"/>
      <c r="AUP28" s="830"/>
      <c r="AUQ28" s="830"/>
      <c r="AUR28" s="830"/>
      <c r="AUS28" s="830"/>
      <c r="AUT28" s="830"/>
      <c r="AUU28" s="830"/>
      <c r="AUV28" s="830"/>
      <c r="AUW28" s="830"/>
      <c r="AUX28" s="830"/>
      <c r="AUY28" s="830"/>
      <c r="AUZ28" s="830"/>
      <c r="AVA28" s="830"/>
      <c r="AVB28" s="830"/>
      <c r="AVC28" s="830"/>
      <c r="AVD28" s="830"/>
      <c r="AVE28" s="830"/>
      <c r="AVF28" s="830"/>
      <c r="AVG28" s="830"/>
      <c r="AVH28" s="830"/>
      <c r="AVI28" s="830"/>
      <c r="AVJ28" s="830"/>
      <c r="AVK28" s="830"/>
      <c r="AVL28" s="830"/>
      <c r="AVM28" s="830"/>
      <c r="AVN28" s="830"/>
      <c r="AVO28" s="830"/>
      <c r="AVP28" s="830"/>
      <c r="AVQ28" s="830"/>
      <c r="AVR28" s="830"/>
      <c r="AVS28" s="830"/>
      <c r="AVT28" s="830"/>
      <c r="AVU28" s="830"/>
      <c r="AVV28" s="830"/>
      <c r="AVW28" s="830"/>
      <c r="AVX28" s="830"/>
      <c r="AVY28" s="830"/>
      <c r="AVZ28" s="830"/>
      <c r="AWA28" s="830"/>
      <c r="AWB28" s="830"/>
      <c r="AWC28" s="830"/>
      <c r="AWD28" s="830"/>
      <c r="AWE28" s="830"/>
      <c r="AWF28" s="830"/>
      <c r="AWG28" s="830"/>
      <c r="AWH28" s="830"/>
      <c r="AWI28" s="830"/>
      <c r="AWJ28" s="830"/>
      <c r="AWK28" s="830"/>
      <c r="AWL28" s="830"/>
      <c r="AWM28" s="830"/>
      <c r="AWN28" s="830"/>
      <c r="AWO28" s="830"/>
      <c r="AWP28" s="830"/>
      <c r="AWQ28" s="830"/>
      <c r="AWR28" s="830"/>
      <c r="AWS28" s="830"/>
      <c r="AWT28" s="830"/>
      <c r="AWU28" s="830"/>
      <c r="AWV28" s="830"/>
      <c r="AWW28" s="830"/>
      <c r="AWX28" s="830"/>
      <c r="AWY28" s="830"/>
      <c r="AWZ28" s="830"/>
      <c r="AXA28" s="830"/>
      <c r="AXB28" s="830"/>
      <c r="AXC28" s="830"/>
      <c r="AXD28" s="830"/>
      <c r="AXE28" s="830"/>
      <c r="AXF28" s="830"/>
      <c r="AXG28" s="830"/>
      <c r="AXH28" s="830"/>
      <c r="AXI28" s="830"/>
      <c r="AXJ28" s="830"/>
      <c r="AXK28" s="830"/>
      <c r="AXL28" s="830"/>
      <c r="AXM28" s="830"/>
      <c r="AXN28" s="830"/>
      <c r="AXO28" s="830"/>
      <c r="AXP28" s="830"/>
      <c r="AXQ28" s="830"/>
      <c r="AXR28" s="830"/>
      <c r="AXS28" s="830"/>
      <c r="AXT28" s="830"/>
      <c r="AXU28" s="830"/>
      <c r="AXV28" s="830"/>
      <c r="AXW28" s="830"/>
      <c r="AXX28" s="830"/>
      <c r="AXY28" s="830"/>
      <c r="AXZ28" s="830"/>
      <c r="AYA28" s="830"/>
      <c r="AYB28" s="830"/>
      <c r="AYC28" s="830"/>
      <c r="AYD28" s="830"/>
      <c r="AYE28" s="830"/>
      <c r="AYF28" s="830"/>
      <c r="AYG28" s="830"/>
      <c r="AYH28" s="830"/>
      <c r="AYI28" s="830"/>
      <c r="AYJ28" s="830"/>
      <c r="AYK28" s="830"/>
      <c r="AYL28" s="830"/>
      <c r="AYM28" s="830"/>
      <c r="AYN28" s="830"/>
      <c r="AYO28" s="830"/>
      <c r="AYP28" s="830"/>
      <c r="AYQ28" s="830"/>
      <c r="AYR28" s="830"/>
      <c r="AYS28" s="830"/>
      <c r="AYT28" s="830"/>
      <c r="AYU28" s="830"/>
      <c r="AYV28" s="830"/>
      <c r="AYW28" s="830"/>
      <c r="AYX28" s="830"/>
      <c r="AYY28" s="830"/>
      <c r="AYZ28" s="830"/>
      <c r="AZA28" s="830"/>
      <c r="AZB28" s="830"/>
      <c r="AZC28" s="830"/>
      <c r="AZD28" s="830"/>
      <c r="AZE28" s="830"/>
      <c r="AZF28" s="830"/>
      <c r="AZG28" s="830"/>
      <c r="AZH28" s="830"/>
      <c r="AZI28" s="830"/>
      <c r="AZJ28" s="830"/>
      <c r="AZK28" s="830"/>
      <c r="AZL28" s="830"/>
      <c r="AZM28" s="830"/>
      <c r="AZN28" s="830"/>
      <c r="AZO28" s="830"/>
      <c r="AZP28" s="830"/>
      <c r="AZQ28" s="830"/>
      <c r="AZR28" s="830"/>
      <c r="AZS28" s="830"/>
      <c r="AZT28" s="830"/>
      <c r="AZU28" s="830"/>
      <c r="AZV28" s="830"/>
      <c r="AZW28" s="830"/>
      <c r="AZX28" s="830"/>
      <c r="AZY28" s="830"/>
      <c r="AZZ28" s="830"/>
      <c r="BAA28" s="830"/>
      <c r="BAB28" s="830"/>
      <c r="BAC28" s="830"/>
      <c r="BAD28" s="830"/>
      <c r="BAE28" s="830"/>
      <c r="BAF28" s="830"/>
      <c r="BAG28" s="830"/>
      <c r="BAH28" s="830"/>
      <c r="BAI28" s="830"/>
      <c r="BAJ28" s="830"/>
      <c r="BAK28" s="830"/>
      <c r="BAL28" s="830"/>
      <c r="BAM28" s="830"/>
      <c r="BAN28" s="830"/>
      <c r="BAO28" s="830"/>
      <c r="BAP28" s="830"/>
      <c r="BAQ28" s="830"/>
      <c r="BAR28" s="830"/>
      <c r="BAS28" s="830"/>
      <c r="BAT28" s="830"/>
      <c r="BAU28" s="830"/>
      <c r="BAV28" s="830"/>
      <c r="BAW28" s="830"/>
      <c r="BAX28" s="830"/>
      <c r="BAY28" s="830"/>
      <c r="BAZ28" s="830"/>
      <c r="BBA28" s="830"/>
      <c r="BBB28" s="830"/>
      <c r="BBC28" s="830"/>
      <c r="BBD28" s="830"/>
      <c r="BBE28" s="830"/>
      <c r="BBF28" s="830"/>
      <c r="BBG28" s="830"/>
      <c r="BBH28" s="830"/>
      <c r="BBI28" s="830"/>
      <c r="BBJ28" s="830"/>
      <c r="BBK28" s="830"/>
      <c r="BBL28" s="830"/>
      <c r="BBM28" s="830"/>
      <c r="BBN28" s="830"/>
      <c r="BBO28" s="830"/>
      <c r="BBP28" s="830"/>
      <c r="BBQ28" s="830"/>
      <c r="BBR28" s="830"/>
      <c r="BBS28" s="830"/>
      <c r="BBT28" s="830"/>
      <c r="BBU28" s="830"/>
      <c r="BBV28" s="830"/>
      <c r="BBW28" s="830"/>
      <c r="BBX28" s="830"/>
      <c r="BBY28" s="830"/>
      <c r="BBZ28" s="830"/>
      <c r="BCA28" s="830"/>
      <c r="BCB28" s="830"/>
      <c r="BCC28" s="830"/>
      <c r="BCD28" s="830"/>
      <c r="BCE28" s="830"/>
      <c r="BCF28" s="830"/>
      <c r="BCG28" s="830"/>
      <c r="BCH28" s="830"/>
      <c r="BCI28" s="830"/>
      <c r="BCJ28" s="830"/>
      <c r="BCK28" s="830"/>
      <c r="BCL28" s="830"/>
      <c r="BCM28" s="830"/>
      <c r="BCN28" s="830"/>
      <c r="BCO28" s="830"/>
      <c r="BCP28" s="830"/>
      <c r="BCQ28" s="830"/>
      <c r="BCR28" s="830"/>
      <c r="BCS28" s="830"/>
      <c r="BCT28" s="830"/>
      <c r="BCU28" s="830"/>
      <c r="BCV28" s="830"/>
      <c r="BCW28" s="830"/>
      <c r="BCX28" s="830"/>
      <c r="BCY28" s="830"/>
      <c r="BCZ28" s="830"/>
      <c r="BDA28" s="830"/>
      <c r="BDB28" s="830"/>
      <c r="BDC28" s="830"/>
      <c r="BDD28" s="830"/>
      <c r="BDE28" s="830"/>
      <c r="BDF28" s="830"/>
      <c r="BDG28" s="830"/>
      <c r="BDH28" s="830"/>
      <c r="BDI28" s="830"/>
      <c r="BDJ28" s="830"/>
      <c r="BDK28" s="830"/>
      <c r="BDL28" s="830"/>
      <c r="BDM28" s="830"/>
      <c r="BDN28" s="830"/>
      <c r="BDO28" s="830"/>
      <c r="BDP28" s="830"/>
      <c r="BDQ28" s="830"/>
      <c r="BDR28" s="830"/>
      <c r="BDS28" s="830"/>
      <c r="BDT28" s="830"/>
      <c r="BDU28" s="830"/>
      <c r="BDV28" s="830"/>
      <c r="BDW28" s="830"/>
      <c r="BDX28" s="830"/>
      <c r="BDY28" s="830"/>
      <c r="BDZ28" s="830"/>
      <c r="BEA28" s="830"/>
      <c r="BEB28" s="830"/>
      <c r="BEC28" s="830"/>
      <c r="BED28" s="830"/>
      <c r="BEE28" s="830"/>
      <c r="BEF28" s="830"/>
      <c r="BEG28" s="830"/>
      <c r="BEH28" s="830"/>
      <c r="BEI28" s="830"/>
      <c r="BEJ28" s="830"/>
      <c r="BEK28" s="830"/>
      <c r="BEL28" s="830"/>
      <c r="BEM28" s="830"/>
      <c r="BEN28" s="830"/>
      <c r="BEO28" s="830"/>
      <c r="BEP28" s="830"/>
      <c r="BEQ28" s="830"/>
      <c r="BER28" s="830"/>
      <c r="BES28" s="830"/>
      <c r="BET28" s="830"/>
      <c r="BEU28" s="830"/>
      <c r="BEV28" s="830"/>
      <c r="BEW28" s="830"/>
      <c r="BEX28" s="830"/>
      <c r="BEY28" s="830"/>
      <c r="BEZ28" s="830"/>
      <c r="BFA28" s="830"/>
      <c r="BFB28" s="830"/>
      <c r="BFC28" s="830"/>
      <c r="BFD28" s="830"/>
      <c r="BFE28" s="830"/>
      <c r="BFF28" s="830"/>
      <c r="BFG28" s="830"/>
      <c r="BFH28" s="830"/>
      <c r="BFI28" s="830"/>
      <c r="BFJ28" s="830"/>
      <c r="BFK28" s="830"/>
      <c r="BFL28" s="830"/>
      <c r="BFM28" s="830"/>
      <c r="BFN28" s="830"/>
      <c r="BFO28" s="830"/>
      <c r="BFP28" s="830"/>
      <c r="BFQ28" s="830"/>
      <c r="BFR28" s="830"/>
      <c r="BFS28" s="830"/>
      <c r="BFT28" s="830"/>
      <c r="BFU28" s="830"/>
      <c r="BFV28" s="830"/>
      <c r="BFW28" s="830"/>
      <c r="BFX28" s="830"/>
      <c r="BFY28" s="830"/>
      <c r="BFZ28" s="830"/>
      <c r="BGA28" s="830"/>
      <c r="BGB28" s="830"/>
      <c r="BGC28" s="830"/>
      <c r="BGD28" s="830"/>
      <c r="BGE28" s="830"/>
      <c r="BGF28" s="830"/>
      <c r="BGG28" s="830"/>
      <c r="BGH28" s="830"/>
      <c r="BGI28" s="830"/>
      <c r="BGJ28" s="830"/>
      <c r="BGK28" s="830"/>
      <c r="BGL28" s="830"/>
      <c r="BGM28" s="830"/>
      <c r="BGN28" s="830"/>
      <c r="BGO28" s="830"/>
      <c r="BGP28" s="830"/>
      <c r="BGQ28" s="830"/>
      <c r="BGR28" s="830"/>
      <c r="BGS28" s="830"/>
      <c r="BGT28" s="830"/>
      <c r="BGU28" s="830"/>
      <c r="BGV28" s="830"/>
      <c r="BGW28" s="830"/>
      <c r="BGX28" s="830"/>
      <c r="BGY28" s="830"/>
      <c r="BGZ28" s="830"/>
      <c r="BHA28" s="830"/>
      <c r="BHB28" s="830"/>
      <c r="BHC28" s="830"/>
      <c r="BHD28" s="830"/>
      <c r="BHE28" s="830"/>
      <c r="BHF28" s="830"/>
      <c r="BHG28" s="830"/>
      <c r="BHH28" s="830"/>
      <c r="BHI28" s="830"/>
      <c r="BHJ28" s="830"/>
      <c r="BHK28" s="830"/>
      <c r="BHL28" s="830"/>
      <c r="BHM28" s="830"/>
      <c r="BHN28" s="830"/>
      <c r="BHO28" s="830"/>
      <c r="BHP28" s="830"/>
      <c r="BHQ28" s="830"/>
      <c r="BHR28" s="830"/>
      <c r="BHS28" s="830"/>
      <c r="BHT28" s="830"/>
      <c r="BHU28" s="830"/>
      <c r="BHV28" s="830"/>
      <c r="BHW28" s="830"/>
      <c r="BHX28" s="830"/>
      <c r="BHY28" s="830"/>
      <c r="BHZ28" s="830"/>
      <c r="BIA28" s="830"/>
      <c r="BIB28" s="830"/>
      <c r="BIC28" s="830"/>
      <c r="BID28" s="830"/>
      <c r="BIE28" s="830"/>
      <c r="BIF28" s="830"/>
      <c r="BIG28" s="830"/>
      <c r="BIH28" s="830"/>
      <c r="BII28" s="830"/>
      <c r="BIJ28" s="830"/>
      <c r="BIK28" s="830"/>
      <c r="BIL28" s="830"/>
      <c r="BIM28" s="830"/>
      <c r="BIN28" s="830"/>
      <c r="BIO28" s="830"/>
      <c r="BIP28" s="830"/>
      <c r="BIQ28" s="830"/>
      <c r="BIR28" s="830"/>
      <c r="BIS28" s="830"/>
      <c r="BIT28" s="830"/>
      <c r="BIU28" s="830"/>
      <c r="BIV28" s="830"/>
      <c r="BIW28" s="830"/>
      <c r="BIX28" s="830"/>
      <c r="BIY28" s="830"/>
      <c r="BIZ28" s="830"/>
      <c r="BJA28" s="830"/>
      <c r="BJB28" s="830"/>
      <c r="BJC28" s="830"/>
      <c r="BJD28" s="830"/>
      <c r="BJE28" s="830"/>
      <c r="BJF28" s="830"/>
      <c r="BJG28" s="830"/>
      <c r="BJH28" s="830"/>
      <c r="BJI28" s="830"/>
      <c r="BJJ28" s="830"/>
      <c r="BJK28" s="830"/>
      <c r="BJL28" s="830"/>
      <c r="BJM28" s="830"/>
      <c r="BJN28" s="830"/>
      <c r="BJO28" s="830"/>
      <c r="BJP28" s="830"/>
      <c r="BJQ28" s="830"/>
      <c r="BJR28" s="830"/>
      <c r="BJS28" s="830"/>
      <c r="BJT28" s="830"/>
      <c r="BJU28" s="830"/>
      <c r="BJV28" s="830"/>
      <c r="BJW28" s="830"/>
      <c r="BJX28" s="830"/>
      <c r="BJY28" s="830"/>
      <c r="BJZ28" s="830"/>
      <c r="BKA28" s="830"/>
      <c r="BKB28" s="830"/>
      <c r="BKC28" s="830"/>
      <c r="BKD28" s="830"/>
      <c r="BKE28" s="830"/>
      <c r="BKF28" s="830"/>
      <c r="BKG28" s="830"/>
      <c r="BKH28" s="830"/>
      <c r="BKI28" s="830"/>
      <c r="BKJ28" s="830"/>
      <c r="BKK28" s="830"/>
      <c r="BKL28" s="830"/>
      <c r="BKM28" s="830"/>
      <c r="BKN28" s="830"/>
      <c r="BKO28" s="830"/>
      <c r="BKP28" s="830"/>
      <c r="BKQ28" s="830"/>
      <c r="BKR28" s="830"/>
      <c r="BKS28" s="830"/>
      <c r="BKT28" s="830"/>
      <c r="BKU28" s="830"/>
      <c r="BKV28" s="830"/>
      <c r="BKW28" s="830"/>
      <c r="BKX28" s="830"/>
      <c r="BKY28" s="830"/>
      <c r="BKZ28" s="830"/>
      <c r="BLA28" s="830"/>
      <c r="BLB28" s="830"/>
      <c r="BLC28" s="830"/>
      <c r="BLD28" s="830"/>
      <c r="BLE28" s="830"/>
      <c r="BLF28" s="830"/>
      <c r="BLG28" s="830"/>
      <c r="BLH28" s="830"/>
      <c r="BLI28" s="830"/>
      <c r="BLJ28" s="830"/>
      <c r="BLK28" s="830"/>
      <c r="BLL28" s="830"/>
      <c r="BLM28" s="830"/>
      <c r="BLN28" s="830"/>
      <c r="BLO28" s="830"/>
      <c r="BLP28" s="830"/>
      <c r="BLQ28" s="830"/>
      <c r="BLR28" s="830"/>
      <c r="BLS28" s="830"/>
      <c r="BLT28" s="830"/>
      <c r="BLU28" s="830"/>
      <c r="BLV28" s="830"/>
      <c r="BLW28" s="830"/>
      <c r="BLX28" s="830"/>
      <c r="BLY28" s="830"/>
      <c r="BLZ28" s="830"/>
      <c r="BMA28" s="830"/>
      <c r="BMB28" s="830"/>
      <c r="BMC28" s="830"/>
      <c r="BMD28" s="830"/>
      <c r="BME28" s="830"/>
      <c r="BMF28" s="830"/>
      <c r="BMG28" s="830"/>
      <c r="BMH28" s="830"/>
      <c r="BMI28" s="830"/>
      <c r="BMJ28" s="830"/>
      <c r="BMK28" s="830"/>
      <c r="BML28" s="830"/>
      <c r="BMM28" s="830"/>
      <c r="BMN28" s="830"/>
      <c r="BMO28" s="830"/>
      <c r="BMP28" s="830"/>
      <c r="BMQ28" s="830"/>
      <c r="BMR28" s="830"/>
      <c r="BMS28" s="830"/>
      <c r="BMT28" s="830"/>
      <c r="BMU28" s="830"/>
      <c r="BMV28" s="830"/>
      <c r="BMW28" s="830"/>
      <c r="BMX28" s="830"/>
      <c r="BMY28" s="830"/>
      <c r="BMZ28" s="830"/>
      <c r="BNA28" s="830"/>
      <c r="BNB28" s="830"/>
      <c r="BNC28" s="830"/>
      <c r="BND28" s="830"/>
      <c r="BNE28" s="830"/>
      <c r="BNF28" s="830"/>
      <c r="BNG28" s="830"/>
      <c r="BNH28" s="830"/>
      <c r="BNI28" s="830"/>
      <c r="BNJ28" s="830"/>
      <c r="BNK28" s="830"/>
      <c r="BNL28" s="830"/>
      <c r="BNM28" s="830"/>
      <c r="BNN28" s="830"/>
      <c r="BNO28" s="830"/>
      <c r="BNP28" s="830"/>
      <c r="BNQ28" s="830"/>
      <c r="BNR28" s="830"/>
      <c r="BNS28" s="830"/>
      <c r="BNT28" s="830"/>
      <c r="BNU28" s="830"/>
      <c r="BNV28" s="830"/>
      <c r="BNW28" s="830"/>
      <c r="BNX28" s="830"/>
      <c r="BNY28" s="830"/>
      <c r="BNZ28" s="830"/>
      <c r="BOA28" s="830"/>
      <c r="BOB28" s="830"/>
      <c r="BOC28" s="830"/>
      <c r="BOD28" s="830"/>
      <c r="BOE28" s="830"/>
      <c r="BOF28" s="830"/>
      <c r="BOG28" s="830"/>
      <c r="BOH28" s="830"/>
      <c r="BOI28" s="830"/>
      <c r="BOJ28" s="830"/>
      <c r="BOK28" s="830"/>
      <c r="BOL28" s="830"/>
      <c r="BOM28" s="830"/>
      <c r="BON28" s="830"/>
      <c r="BOO28" s="830"/>
      <c r="BOP28" s="830"/>
      <c r="BOQ28" s="830"/>
      <c r="BOR28" s="830"/>
      <c r="BOS28" s="830"/>
      <c r="BOT28" s="830"/>
      <c r="BOU28" s="830"/>
      <c r="BOV28" s="830"/>
      <c r="BOW28" s="830"/>
      <c r="BOX28" s="830"/>
      <c r="BOY28" s="830"/>
      <c r="BOZ28" s="830"/>
      <c r="BPA28" s="830"/>
      <c r="BPB28" s="830"/>
      <c r="BPC28" s="830"/>
      <c r="BPD28" s="830"/>
      <c r="BPE28" s="830"/>
      <c r="BPF28" s="830"/>
      <c r="BPG28" s="830"/>
      <c r="BPH28" s="830"/>
      <c r="BPI28" s="830"/>
      <c r="BPJ28" s="830"/>
      <c r="BPK28" s="830"/>
      <c r="BPL28" s="830"/>
      <c r="BPM28" s="830"/>
      <c r="BPN28" s="830"/>
      <c r="BPO28" s="830"/>
      <c r="BPP28" s="830"/>
      <c r="BPQ28" s="830"/>
      <c r="BPR28" s="830"/>
      <c r="BPS28" s="830"/>
      <c r="BPT28" s="830"/>
      <c r="BPU28" s="830"/>
      <c r="BPV28" s="830"/>
      <c r="BPW28" s="830"/>
      <c r="BPX28" s="830"/>
      <c r="BPY28" s="830"/>
      <c r="BPZ28" s="830"/>
      <c r="BQA28" s="830"/>
      <c r="BQB28" s="830"/>
      <c r="BQC28" s="830"/>
      <c r="BQD28" s="830"/>
      <c r="BQE28" s="830"/>
      <c r="BQF28" s="830"/>
      <c r="BQG28" s="830"/>
      <c r="BQH28" s="830"/>
      <c r="BQI28" s="830"/>
      <c r="BQJ28" s="830"/>
      <c r="BQK28" s="830"/>
      <c r="BQL28" s="830"/>
      <c r="BQM28" s="830"/>
      <c r="BQN28" s="830"/>
      <c r="BQO28" s="830"/>
      <c r="BQP28" s="830"/>
      <c r="BQQ28" s="830"/>
      <c r="BQR28" s="830"/>
      <c r="BQS28" s="830"/>
      <c r="BQT28" s="830"/>
      <c r="BQU28" s="830"/>
      <c r="BQV28" s="830"/>
      <c r="BQW28" s="830"/>
      <c r="BQX28" s="830"/>
      <c r="BQY28" s="830"/>
      <c r="BQZ28" s="830"/>
      <c r="BRA28" s="830"/>
      <c r="BRB28" s="830"/>
      <c r="BRC28" s="830"/>
      <c r="BRD28" s="830"/>
      <c r="BRE28" s="830"/>
      <c r="BRF28" s="830"/>
      <c r="BRG28" s="830"/>
      <c r="BRH28" s="830"/>
      <c r="BRI28" s="830"/>
      <c r="BRJ28" s="830"/>
      <c r="BRK28" s="830"/>
      <c r="BRL28" s="830"/>
      <c r="BRM28" s="830"/>
      <c r="BRN28" s="830"/>
      <c r="BRO28" s="830"/>
      <c r="BRP28" s="830"/>
      <c r="BRQ28" s="830"/>
      <c r="BRR28" s="830"/>
      <c r="BRS28" s="830"/>
      <c r="BRT28" s="830"/>
      <c r="BRU28" s="830"/>
      <c r="BRV28" s="830"/>
      <c r="BRW28" s="830"/>
      <c r="BRX28" s="830"/>
      <c r="BRY28" s="830"/>
      <c r="BRZ28" s="830"/>
      <c r="BSA28" s="830"/>
      <c r="BSB28" s="830"/>
      <c r="BSC28" s="830"/>
      <c r="BSD28" s="830"/>
      <c r="BSE28" s="830"/>
      <c r="BSF28" s="830"/>
      <c r="BSG28" s="830"/>
      <c r="BSH28" s="830"/>
      <c r="BSI28" s="830"/>
      <c r="BSJ28" s="830"/>
      <c r="BSK28" s="830"/>
      <c r="BSL28" s="830"/>
      <c r="BSM28" s="830"/>
      <c r="BSN28" s="830"/>
      <c r="BSO28" s="830"/>
      <c r="BSP28" s="830"/>
      <c r="BSQ28" s="830"/>
      <c r="BSR28" s="830"/>
      <c r="BSS28" s="830"/>
      <c r="BST28" s="830"/>
    </row>
    <row r="29" spans="1:1866" s="829" customFormat="1" ht="20.100000000000001" customHeight="1" x14ac:dyDescent="0.25">
      <c r="A29" s="830"/>
      <c r="B29" s="3183"/>
      <c r="C29" s="1502" t="s">
        <v>282</v>
      </c>
      <c r="D29" s="1503">
        <f>SUMIF(Bfr!$B$53:$B$56,"="&amp;C29,Bfr!$D$53:$D$56)</f>
        <v>0</v>
      </c>
      <c r="E29" s="1473"/>
      <c r="F29" s="1473"/>
      <c r="G29" s="1500">
        <f>E24*$D$29</f>
        <v>0</v>
      </c>
      <c r="H29" s="1500">
        <f t="shared" ref="H29:V29" si="34">F24*$D$29</f>
        <v>0</v>
      </c>
      <c r="I29" s="1500">
        <f t="shared" si="34"/>
        <v>0</v>
      </c>
      <c r="J29" s="1500">
        <f t="shared" si="34"/>
        <v>0</v>
      </c>
      <c r="K29" s="1500">
        <f t="shared" si="34"/>
        <v>0</v>
      </c>
      <c r="L29" s="1500">
        <f t="shared" si="34"/>
        <v>0</v>
      </c>
      <c r="M29" s="1500">
        <f t="shared" si="34"/>
        <v>0</v>
      </c>
      <c r="N29" s="1500">
        <f t="shared" si="34"/>
        <v>0</v>
      </c>
      <c r="O29" s="1500">
        <f t="shared" si="34"/>
        <v>0</v>
      </c>
      <c r="P29" s="1500">
        <f t="shared" si="34"/>
        <v>0</v>
      </c>
      <c r="Q29" s="1500">
        <f t="shared" si="34"/>
        <v>0</v>
      </c>
      <c r="R29" s="1500">
        <f t="shared" si="34"/>
        <v>0</v>
      </c>
      <c r="S29" s="1500">
        <f t="shared" si="34"/>
        <v>0</v>
      </c>
      <c r="T29" s="1500">
        <f t="shared" si="34"/>
        <v>0</v>
      </c>
      <c r="U29" s="1500">
        <f t="shared" si="34"/>
        <v>0</v>
      </c>
      <c r="V29" s="1501">
        <f t="shared" si="34"/>
        <v>0</v>
      </c>
      <c r="W29" s="830"/>
      <c r="X29" s="1459">
        <f t="shared" si="30"/>
        <v>0</v>
      </c>
      <c r="Y29" s="1459">
        <f>U24*D29</f>
        <v>0</v>
      </c>
      <c r="Z29" s="1459">
        <f>V24*D29</f>
        <v>0</v>
      </c>
      <c r="AA29" s="1461"/>
      <c r="AB29" s="826"/>
      <c r="AC29" s="826"/>
      <c r="AD29" s="830"/>
      <c r="AE29" s="830"/>
      <c r="AF29" s="830"/>
      <c r="AG29" s="830"/>
      <c r="AH29" s="830"/>
      <c r="AI29" s="830"/>
      <c r="AJ29" s="830"/>
      <c r="AK29" s="830"/>
      <c r="AL29" s="830"/>
      <c r="AM29" s="830"/>
      <c r="AN29" s="830"/>
      <c r="AO29" s="830"/>
      <c r="AP29" s="830"/>
      <c r="AQ29" s="830"/>
      <c r="AR29" s="830"/>
      <c r="AS29" s="830"/>
      <c r="AT29" s="830"/>
      <c r="AU29" s="830"/>
      <c r="AV29" s="830"/>
      <c r="AW29" s="830"/>
      <c r="AX29" s="830"/>
      <c r="AY29" s="830"/>
      <c r="AZ29" s="830"/>
      <c r="BA29" s="830"/>
      <c r="BB29" s="830"/>
      <c r="BC29" s="830"/>
      <c r="BD29" s="830"/>
      <c r="BE29" s="830"/>
      <c r="BF29" s="830"/>
      <c r="BG29" s="830"/>
      <c r="BH29" s="830"/>
      <c r="BI29" s="830"/>
      <c r="BJ29" s="830"/>
      <c r="BK29" s="830"/>
      <c r="BL29" s="830"/>
      <c r="BM29" s="830"/>
      <c r="BN29" s="830"/>
      <c r="BO29" s="830"/>
      <c r="BP29" s="830"/>
      <c r="BQ29" s="830"/>
      <c r="BR29" s="830"/>
      <c r="BS29" s="830"/>
      <c r="BT29" s="830"/>
      <c r="BU29" s="830"/>
      <c r="BV29" s="830"/>
      <c r="BW29" s="830"/>
      <c r="BX29" s="830"/>
      <c r="BY29" s="830"/>
      <c r="BZ29" s="830"/>
      <c r="CA29" s="830"/>
      <c r="CB29" s="830"/>
      <c r="CC29" s="830"/>
      <c r="CD29" s="830"/>
      <c r="CE29" s="830"/>
      <c r="CF29" s="830"/>
      <c r="CG29" s="830"/>
      <c r="CH29" s="830"/>
      <c r="CI29" s="830"/>
      <c r="CJ29" s="830"/>
      <c r="CK29" s="830"/>
      <c r="CL29" s="830"/>
      <c r="CM29" s="830"/>
      <c r="CN29" s="830"/>
      <c r="CO29" s="830"/>
      <c r="CP29" s="830"/>
      <c r="CQ29" s="830"/>
      <c r="CR29" s="830"/>
      <c r="CS29" s="830"/>
      <c r="CT29" s="830"/>
      <c r="CU29" s="830"/>
      <c r="CV29" s="830"/>
      <c r="CW29" s="830"/>
      <c r="CX29" s="830"/>
      <c r="CY29" s="830"/>
      <c r="CZ29" s="830"/>
      <c r="DA29" s="830"/>
      <c r="DB29" s="830"/>
      <c r="DC29" s="830"/>
      <c r="DD29" s="830"/>
      <c r="DE29" s="830"/>
      <c r="DF29" s="830"/>
      <c r="DG29" s="830"/>
      <c r="DH29" s="830"/>
      <c r="DI29" s="830"/>
      <c r="DJ29" s="830"/>
      <c r="DK29" s="830"/>
      <c r="DL29" s="830"/>
      <c r="DM29" s="830"/>
      <c r="DN29" s="830"/>
      <c r="DO29" s="830"/>
      <c r="DP29" s="830"/>
      <c r="DQ29" s="830"/>
      <c r="DR29" s="830"/>
      <c r="DS29" s="830"/>
      <c r="DT29" s="830"/>
      <c r="DU29" s="830"/>
      <c r="DV29" s="830"/>
      <c r="DW29" s="830"/>
      <c r="DX29" s="830"/>
      <c r="DY29" s="830"/>
      <c r="DZ29" s="830"/>
      <c r="EA29" s="830"/>
      <c r="EB29" s="830"/>
      <c r="EC29" s="830"/>
      <c r="ED29" s="830"/>
      <c r="EE29" s="830"/>
      <c r="EF29" s="830"/>
      <c r="EG29" s="830"/>
      <c r="EH29" s="830"/>
      <c r="EI29" s="830"/>
      <c r="EJ29" s="830"/>
      <c r="EK29" s="830"/>
      <c r="EL29" s="830"/>
      <c r="EM29" s="830"/>
      <c r="EN29" s="830"/>
      <c r="EO29" s="830"/>
      <c r="EP29" s="830"/>
      <c r="EQ29" s="830"/>
      <c r="ER29" s="830"/>
      <c r="ES29" s="830"/>
      <c r="ET29" s="830"/>
      <c r="EU29" s="830"/>
      <c r="EV29" s="830"/>
      <c r="EW29" s="830"/>
      <c r="EX29" s="830"/>
      <c r="EY29" s="830"/>
      <c r="EZ29" s="830"/>
      <c r="FA29" s="830"/>
      <c r="FB29" s="830"/>
      <c r="FC29" s="830"/>
      <c r="FD29" s="830"/>
      <c r="FE29" s="830"/>
      <c r="FF29" s="830"/>
      <c r="FG29" s="830"/>
      <c r="FH29" s="830"/>
      <c r="FI29" s="830"/>
      <c r="FJ29" s="830"/>
      <c r="FK29" s="830"/>
      <c r="FL29" s="830"/>
      <c r="FM29" s="830"/>
      <c r="FN29" s="830"/>
      <c r="FO29" s="830"/>
      <c r="FP29" s="830"/>
      <c r="FQ29" s="830"/>
      <c r="FR29" s="830"/>
      <c r="FS29" s="830"/>
      <c r="FT29" s="830"/>
      <c r="FU29" s="830"/>
      <c r="FV29" s="830"/>
      <c r="FW29" s="830"/>
      <c r="FX29" s="830"/>
      <c r="FY29" s="830"/>
      <c r="FZ29" s="830"/>
      <c r="GA29" s="830"/>
      <c r="GB29" s="830"/>
      <c r="GC29" s="830"/>
      <c r="GD29" s="830"/>
      <c r="GE29" s="830"/>
      <c r="GF29" s="830"/>
      <c r="GG29" s="830"/>
      <c r="GH29" s="830"/>
      <c r="GI29" s="830"/>
      <c r="GJ29" s="830"/>
      <c r="GK29" s="830"/>
      <c r="GL29" s="830"/>
      <c r="GM29" s="830"/>
      <c r="GN29" s="830"/>
      <c r="GO29" s="830"/>
      <c r="GP29" s="830"/>
      <c r="GQ29" s="830"/>
      <c r="GR29" s="830"/>
      <c r="GS29" s="830"/>
      <c r="GT29" s="830"/>
      <c r="GU29" s="830"/>
      <c r="GV29" s="830"/>
      <c r="GW29" s="830"/>
      <c r="GX29" s="830"/>
      <c r="GY29" s="830"/>
      <c r="GZ29" s="830"/>
      <c r="HA29" s="830"/>
      <c r="HB29" s="830"/>
      <c r="HC29" s="830"/>
      <c r="HD29" s="830"/>
      <c r="HE29" s="830"/>
      <c r="HF29" s="830"/>
      <c r="HG29" s="830"/>
      <c r="HH29" s="830"/>
      <c r="HI29" s="830"/>
      <c r="HJ29" s="830"/>
      <c r="HK29" s="830"/>
      <c r="HL29" s="830"/>
      <c r="HM29" s="830"/>
      <c r="HN29" s="830"/>
      <c r="HO29" s="830"/>
      <c r="HP29" s="830"/>
      <c r="HQ29" s="830"/>
      <c r="HR29" s="830"/>
      <c r="HS29" s="830"/>
      <c r="HT29" s="830"/>
      <c r="HU29" s="830"/>
      <c r="HV29" s="830"/>
      <c r="HW29" s="830"/>
      <c r="HX29" s="830"/>
      <c r="HY29" s="830"/>
      <c r="HZ29" s="830"/>
      <c r="IA29" s="830"/>
      <c r="IB29" s="830"/>
      <c r="IC29" s="830"/>
      <c r="ID29" s="830"/>
      <c r="IE29" s="830"/>
      <c r="IF29" s="830"/>
      <c r="IG29" s="830"/>
      <c r="IH29" s="830"/>
      <c r="II29" s="830"/>
      <c r="IJ29" s="830"/>
      <c r="IK29" s="830"/>
      <c r="IL29" s="830"/>
      <c r="IM29" s="830"/>
      <c r="IN29" s="830"/>
      <c r="IO29" s="830"/>
      <c r="IP29" s="830"/>
      <c r="IQ29" s="830"/>
      <c r="IR29" s="830"/>
      <c r="IS29" s="830"/>
      <c r="IT29" s="830"/>
      <c r="IU29" s="830"/>
      <c r="IV29" s="830"/>
      <c r="IW29" s="830"/>
      <c r="IX29" s="830"/>
      <c r="IY29" s="830"/>
      <c r="IZ29" s="830"/>
      <c r="JA29" s="830"/>
      <c r="JB29" s="830"/>
      <c r="JC29" s="830"/>
      <c r="JD29" s="830"/>
      <c r="JE29" s="830"/>
      <c r="JF29" s="830"/>
      <c r="JG29" s="830"/>
      <c r="JH29" s="830"/>
      <c r="JI29" s="830"/>
      <c r="JJ29" s="830"/>
      <c r="JK29" s="830"/>
      <c r="JL29" s="830"/>
      <c r="JM29" s="830"/>
      <c r="JN29" s="830"/>
      <c r="JO29" s="830"/>
      <c r="JP29" s="830"/>
      <c r="JQ29" s="830"/>
      <c r="JR29" s="830"/>
      <c r="JS29" s="830"/>
      <c r="JT29" s="830"/>
      <c r="JU29" s="830"/>
      <c r="JV29" s="830"/>
      <c r="JW29" s="830"/>
      <c r="JX29" s="830"/>
      <c r="JY29" s="830"/>
      <c r="JZ29" s="830"/>
      <c r="KA29" s="830"/>
      <c r="KB29" s="830"/>
      <c r="KC29" s="830"/>
      <c r="KD29" s="830"/>
      <c r="KE29" s="830"/>
      <c r="KF29" s="830"/>
      <c r="KG29" s="830"/>
      <c r="KH29" s="830"/>
      <c r="KI29" s="830"/>
      <c r="KJ29" s="830"/>
      <c r="KK29" s="830"/>
      <c r="KL29" s="830"/>
      <c r="KM29" s="830"/>
      <c r="KN29" s="830"/>
      <c r="KO29" s="830"/>
      <c r="KP29" s="830"/>
      <c r="KQ29" s="830"/>
      <c r="KR29" s="830"/>
      <c r="KS29" s="830"/>
      <c r="KT29" s="830"/>
      <c r="KU29" s="830"/>
      <c r="KV29" s="830"/>
      <c r="KW29" s="830"/>
      <c r="KX29" s="830"/>
      <c r="KY29" s="830"/>
      <c r="KZ29" s="830"/>
      <c r="LA29" s="830"/>
      <c r="LB29" s="830"/>
      <c r="LC29" s="830"/>
      <c r="LD29" s="830"/>
      <c r="LE29" s="830"/>
      <c r="LF29" s="830"/>
      <c r="LG29" s="830"/>
      <c r="LH29" s="830"/>
      <c r="LI29" s="830"/>
      <c r="LJ29" s="830"/>
      <c r="LK29" s="830"/>
      <c r="LL29" s="830"/>
      <c r="LM29" s="830"/>
      <c r="LN29" s="830"/>
      <c r="LO29" s="830"/>
      <c r="LP29" s="830"/>
      <c r="LQ29" s="830"/>
      <c r="LR29" s="830"/>
      <c r="LS29" s="830"/>
      <c r="LT29" s="830"/>
      <c r="LU29" s="830"/>
      <c r="LV29" s="830"/>
      <c r="LW29" s="830"/>
      <c r="LX29" s="830"/>
      <c r="LY29" s="830"/>
      <c r="LZ29" s="830"/>
      <c r="MA29" s="830"/>
      <c r="MB29" s="830"/>
      <c r="MC29" s="830"/>
      <c r="MD29" s="830"/>
      <c r="ME29" s="830"/>
      <c r="MF29" s="830"/>
      <c r="MG29" s="830"/>
      <c r="MH29" s="830"/>
      <c r="MI29" s="830"/>
      <c r="MJ29" s="830"/>
      <c r="MK29" s="830"/>
      <c r="ML29" s="830"/>
      <c r="MM29" s="830"/>
      <c r="MN29" s="830"/>
      <c r="MO29" s="830"/>
      <c r="MP29" s="830"/>
      <c r="MQ29" s="830"/>
      <c r="MR29" s="830"/>
      <c r="MS29" s="830"/>
      <c r="MT29" s="830"/>
      <c r="MU29" s="830"/>
      <c r="MV29" s="830"/>
      <c r="MW29" s="830"/>
      <c r="MX29" s="830"/>
      <c r="MY29" s="830"/>
      <c r="MZ29" s="830"/>
      <c r="NA29" s="830"/>
      <c r="NB29" s="830"/>
      <c r="NC29" s="830"/>
      <c r="ND29" s="830"/>
      <c r="NE29" s="830"/>
      <c r="NF29" s="830"/>
      <c r="NG29" s="830"/>
      <c r="NH29" s="830"/>
      <c r="NI29" s="830"/>
      <c r="NJ29" s="830"/>
      <c r="NK29" s="830"/>
      <c r="NL29" s="830"/>
      <c r="NM29" s="830"/>
      <c r="NN29" s="830"/>
      <c r="NO29" s="830"/>
      <c r="NP29" s="830"/>
      <c r="NQ29" s="830"/>
      <c r="NR29" s="830"/>
      <c r="NS29" s="830"/>
      <c r="NT29" s="830"/>
      <c r="NU29" s="830"/>
      <c r="NV29" s="830"/>
      <c r="NW29" s="830"/>
      <c r="NX29" s="830"/>
      <c r="NY29" s="830"/>
      <c r="NZ29" s="830"/>
      <c r="OA29" s="830"/>
      <c r="OB29" s="830"/>
      <c r="OC29" s="830"/>
      <c r="OD29" s="830"/>
      <c r="OE29" s="830"/>
      <c r="OF29" s="830"/>
      <c r="OG29" s="830"/>
      <c r="OH29" s="830"/>
      <c r="OI29" s="830"/>
      <c r="OJ29" s="830"/>
      <c r="OK29" s="830"/>
      <c r="OL29" s="830"/>
      <c r="OM29" s="830"/>
      <c r="ON29" s="830"/>
      <c r="OO29" s="830"/>
      <c r="OP29" s="830"/>
      <c r="OQ29" s="830"/>
      <c r="OR29" s="830"/>
      <c r="OS29" s="830"/>
      <c r="OT29" s="830"/>
      <c r="OU29" s="830"/>
      <c r="OV29" s="830"/>
      <c r="OW29" s="830"/>
      <c r="OX29" s="830"/>
      <c r="OY29" s="830"/>
      <c r="OZ29" s="830"/>
      <c r="PA29" s="830"/>
      <c r="PB29" s="830"/>
      <c r="PC29" s="830"/>
      <c r="PD29" s="830"/>
      <c r="PE29" s="830"/>
      <c r="PF29" s="830"/>
      <c r="PG29" s="830"/>
      <c r="PH29" s="830"/>
      <c r="PI29" s="830"/>
      <c r="PJ29" s="830"/>
      <c r="PK29" s="830"/>
      <c r="PL29" s="830"/>
      <c r="PM29" s="830"/>
      <c r="PN29" s="830"/>
      <c r="PO29" s="830"/>
      <c r="PP29" s="830"/>
      <c r="PQ29" s="830"/>
      <c r="PR29" s="830"/>
      <c r="PS29" s="830"/>
      <c r="PT29" s="830"/>
      <c r="PU29" s="830"/>
      <c r="PV29" s="830"/>
      <c r="PW29" s="830"/>
      <c r="PX29" s="830"/>
      <c r="PY29" s="830"/>
      <c r="PZ29" s="830"/>
      <c r="QA29" s="830"/>
      <c r="QB29" s="830"/>
      <c r="QC29" s="830"/>
      <c r="QD29" s="830"/>
      <c r="QE29" s="830"/>
      <c r="QF29" s="830"/>
      <c r="QG29" s="830"/>
      <c r="QH29" s="830"/>
      <c r="QI29" s="830"/>
      <c r="QJ29" s="830"/>
      <c r="QK29" s="830"/>
      <c r="QL29" s="830"/>
      <c r="QM29" s="830"/>
      <c r="QN29" s="830"/>
      <c r="QO29" s="830"/>
      <c r="QP29" s="830"/>
      <c r="QQ29" s="830"/>
      <c r="QR29" s="830"/>
      <c r="QS29" s="830"/>
      <c r="QT29" s="830"/>
      <c r="QU29" s="830"/>
      <c r="QV29" s="830"/>
      <c r="QW29" s="830"/>
      <c r="QX29" s="830"/>
      <c r="QY29" s="830"/>
      <c r="QZ29" s="830"/>
      <c r="RA29" s="830"/>
      <c r="RB29" s="830"/>
      <c r="RC29" s="830"/>
      <c r="RD29" s="830"/>
      <c r="RE29" s="830"/>
      <c r="RF29" s="830"/>
      <c r="RG29" s="830"/>
      <c r="RH29" s="830"/>
      <c r="RI29" s="830"/>
      <c r="RJ29" s="830"/>
      <c r="RK29" s="830"/>
      <c r="RL29" s="830"/>
      <c r="RM29" s="830"/>
      <c r="RN29" s="830"/>
      <c r="RO29" s="830"/>
      <c r="RP29" s="830"/>
      <c r="RQ29" s="830"/>
      <c r="RR29" s="830"/>
      <c r="RS29" s="830"/>
      <c r="RT29" s="830"/>
      <c r="RU29" s="830"/>
      <c r="RV29" s="830"/>
      <c r="RW29" s="830"/>
      <c r="RX29" s="830"/>
      <c r="RY29" s="830"/>
      <c r="RZ29" s="830"/>
      <c r="SA29" s="830"/>
      <c r="SB29" s="830"/>
      <c r="SC29" s="830"/>
      <c r="SD29" s="830"/>
      <c r="SE29" s="830"/>
      <c r="SF29" s="830"/>
      <c r="SG29" s="830"/>
      <c r="SH29" s="830"/>
      <c r="SI29" s="830"/>
      <c r="SJ29" s="830"/>
      <c r="SK29" s="830"/>
      <c r="SL29" s="830"/>
      <c r="SM29" s="830"/>
      <c r="SN29" s="830"/>
      <c r="SO29" s="830"/>
      <c r="SP29" s="830"/>
      <c r="SQ29" s="830"/>
      <c r="SR29" s="830"/>
      <c r="SS29" s="830"/>
      <c r="ST29" s="830"/>
      <c r="SU29" s="830"/>
      <c r="SV29" s="830"/>
      <c r="SW29" s="830"/>
      <c r="SX29" s="830"/>
      <c r="SY29" s="830"/>
      <c r="SZ29" s="830"/>
      <c r="TA29" s="830"/>
      <c r="TB29" s="830"/>
      <c r="TC29" s="830"/>
      <c r="TD29" s="830"/>
      <c r="TE29" s="830"/>
      <c r="TF29" s="830"/>
      <c r="TG29" s="830"/>
      <c r="TH29" s="830"/>
      <c r="TI29" s="830"/>
      <c r="TJ29" s="830"/>
      <c r="TK29" s="830"/>
      <c r="TL29" s="830"/>
      <c r="TM29" s="830"/>
      <c r="TN29" s="830"/>
      <c r="TO29" s="830"/>
      <c r="TP29" s="830"/>
      <c r="TQ29" s="830"/>
      <c r="TR29" s="830"/>
      <c r="TS29" s="830"/>
      <c r="TT29" s="830"/>
      <c r="TU29" s="830"/>
      <c r="TV29" s="830"/>
      <c r="TW29" s="830"/>
      <c r="TX29" s="830"/>
      <c r="TY29" s="830"/>
      <c r="TZ29" s="830"/>
      <c r="UA29" s="830"/>
      <c r="UB29" s="830"/>
      <c r="UC29" s="830"/>
      <c r="UD29" s="830"/>
      <c r="UE29" s="830"/>
      <c r="UF29" s="830"/>
      <c r="UG29" s="830"/>
      <c r="UH29" s="830"/>
      <c r="UI29" s="830"/>
      <c r="UJ29" s="830"/>
      <c r="UK29" s="830"/>
      <c r="UL29" s="830"/>
      <c r="UM29" s="830"/>
      <c r="UN29" s="830"/>
      <c r="UO29" s="830"/>
      <c r="UP29" s="830"/>
      <c r="UQ29" s="830"/>
      <c r="UR29" s="830"/>
      <c r="US29" s="830"/>
      <c r="UT29" s="830"/>
      <c r="UU29" s="830"/>
      <c r="UV29" s="830"/>
      <c r="UW29" s="830"/>
      <c r="UX29" s="830"/>
      <c r="UY29" s="830"/>
      <c r="UZ29" s="830"/>
      <c r="VA29" s="830"/>
      <c r="VB29" s="830"/>
      <c r="VC29" s="830"/>
      <c r="VD29" s="830"/>
      <c r="VE29" s="830"/>
      <c r="VF29" s="830"/>
      <c r="VG29" s="830"/>
      <c r="VH29" s="830"/>
      <c r="VI29" s="830"/>
      <c r="VJ29" s="830"/>
      <c r="VK29" s="830"/>
      <c r="VL29" s="830"/>
      <c r="VM29" s="830"/>
      <c r="VN29" s="830"/>
      <c r="VO29" s="830"/>
      <c r="VP29" s="830"/>
      <c r="VQ29" s="830"/>
      <c r="VR29" s="830"/>
      <c r="VS29" s="830"/>
      <c r="VT29" s="830"/>
      <c r="VU29" s="830"/>
      <c r="VV29" s="830"/>
      <c r="VW29" s="830"/>
      <c r="VX29" s="830"/>
      <c r="VY29" s="830"/>
      <c r="VZ29" s="830"/>
      <c r="WA29" s="830"/>
      <c r="WB29" s="830"/>
      <c r="WC29" s="830"/>
      <c r="WD29" s="830"/>
      <c r="WE29" s="830"/>
      <c r="WF29" s="830"/>
      <c r="WG29" s="830"/>
      <c r="WH29" s="830"/>
      <c r="WI29" s="830"/>
      <c r="WJ29" s="830"/>
      <c r="WK29" s="830"/>
      <c r="WL29" s="830"/>
      <c r="WM29" s="830"/>
      <c r="WN29" s="830"/>
      <c r="WO29" s="830"/>
      <c r="WP29" s="830"/>
      <c r="WQ29" s="830"/>
      <c r="WR29" s="830"/>
      <c r="WS29" s="830"/>
      <c r="WT29" s="830"/>
      <c r="WU29" s="830"/>
      <c r="WV29" s="830"/>
      <c r="WW29" s="830"/>
      <c r="WX29" s="830"/>
      <c r="WY29" s="830"/>
      <c r="WZ29" s="830"/>
      <c r="XA29" s="830"/>
      <c r="XB29" s="830"/>
      <c r="XC29" s="830"/>
      <c r="XD29" s="830"/>
      <c r="XE29" s="830"/>
      <c r="XF29" s="830"/>
      <c r="XG29" s="830"/>
      <c r="XH29" s="830"/>
      <c r="XI29" s="830"/>
      <c r="XJ29" s="830"/>
      <c r="XK29" s="830"/>
      <c r="XL29" s="830"/>
      <c r="XM29" s="830"/>
      <c r="XN29" s="830"/>
      <c r="XO29" s="830"/>
      <c r="XP29" s="830"/>
      <c r="XQ29" s="830"/>
      <c r="XR29" s="830"/>
      <c r="XS29" s="830"/>
      <c r="XT29" s="830"/>
      <c r="XU29" s="830"/>
      <c r="XV29" s="830"/>
      <c r="XW29" s="830"/>
      <c r="XX29" s="830"/>
      <c r="XY29" s="830"/>
      <c r="XZ29" s="830"/>
      <c r="YA29" s="830"/>
      <c r="YB29" s="830"/>
      <c r="YC29" s="830"/>
      <c r="YD29" s="830"/>
      <c r="YE29" s="830"/>
      <c r="YF29" s="830"/>
      <c r="YG29" s="830"/>
      <c r="YH29" s="830"/>
      <c r="YI29" s="830"/>
      <c r="YJ29" s="830"/>
      <c r="YK29" s="830"/>
      <c r="YL29" s="830"/>
      <c r="YM29" s="830"/>
      <c r="YN29" s="830"/>
      <c r="YO29" s="830"/>
      <c r="YP29" s="830"/>
      <c r="YQ29" s="830"/>
      <c r="YR29" s="830"/>
      <c r="YS29" s="830"/>
      <c r="YT29" s="830"/>
      <c r="YU29" s="830"/>
      <c r="YV29" s="830"/>
      <c r="YW29" s="830"/>
      <c r="YX29" s="830"/>
      <c r="YY29" s="830"/>
      <c r="YZ29" s="830"/>
      <c r="ZA29" s="830"/>
      <c r="ZB29" s="830"/>
      <c r="ZC29" s="830"/>
      <c r="ZD29" s="830"/>
      <c r="ZE29" s="830"/>
      <c r="ZF29" s="830"/>
      <c r="ZG29" s="830"/>
      <c r="ZH29" s="830"/>
      <c r="ZI29" s="830"/>
      <c r="ZJ29" s="830"/>
      <c r="ZK29" s="830"/>
      <c r="ZL29" s="830"/>
      <c r="ZM29" s="830"/>
      <c r="ZN29" s="830"/>
      <c r="ZO29" s="830"/>
      <c r="ZP29" s="830"/>
      <c r="ZQ29" s="830"/>
      <c r="ZR29" s="830"/>
      <c r="ZS29" s="830"/>
      <c r="ZT29" s="830"/>
      <c r="ZU29" s="830"/>
      <c r="ZV29" s="830"/>
      <c r="ZW29" s="830"/>
      <c r="ZX29" s="830"/>
      <c r="ZY29" s="830"/>
      <c r="ZZ29" s="830"/>
      <c r="AAA29" s="830"/>
      <c r="AAB29" s="830"/>
      <c r="AAC29" s="830"/>
      <c r="AAD29" s="830"/>
      <c r="AAE29" s="830"/>
      <c r="AAF29" s="830"/>
      <c r="AAG29" s="830"/>
      <c r="AAH29" s="830"/>
      <c r="AAI29" s="830"/>
      <c r="AAJ29" s="830"/>
      <c r="AAK29" s="830"/>
      <c r="AAL29" s="830"/>
      <c r="AAM29" s="830"/>
      <c r="AAN29" s="830"/>
      <c r="AAO29" s="830"/>
      <c r="AAP29" s="830"/>
      <c r="AAQ29" s="830"/>
      <c r="AAR29" s="830"/>
      <c r="AAS29" s="830"/>
      <c r="AAT29" s="830"/>
      <c r="AAU29" s="830"/>
      <c r="AAV29" s="830"/>
      <c r="AAW29" s="830"/>
      <c r="AAX29" s="830"/>
      <c r="AAY29" s="830"/>
      <c r="AAZ29" s="830"/>
      <c r="ABA29" s="830"/>
      <c r="ABB29" s="830"/>
      <c r="ABC29" s="830"/>
      <c r="ABD29" s="830"/>
      <c r="ABE29" s="830"/>
      <c r="ABF29" s="830"/>
      <c r="ABG29" s="830"/>
      <c r="ABH29" s="830"/>
      <c r="ABI29" s="830"/>
      <c r="ABJ29" s="830"/>
      <c r="ABK29" s="830"/>
      <c r="ABL29" s="830"/>
      <c r="ABM29" s="830"/>
      <c r="ABN29" s="830"/>
      <c r="ABO29" s="830"/>
      <c r="ABP29" s="830"/>
      <c r="ABQ29" s="830"/>
      <c r="ABR29" s="830"/>
      <c r="ABS29" s="830"/>
      <c r="ABT29" s="830"/>
      <c r="ABU29" s="830"/>
      <c r="ABV29" s="830"/>
      <c r="ABW29" s="830"/>
      <c r="ABX29" s="830"/>
      <c r="ABY29" s="830"/>
      <c r="ABZ29" s="830"/>
      <c r="ACA29" s="830"/>
      <c r="ACB29" s="830"/>
      <c r="ACC29" s="830"/>
      <c r="ACD29" s="830"/>
      <c r="ACE29" s="830"/>
      <c r="ACF29" s="830"/>
      <c r="ACG29" s="830"/>
      <c r="ACH29" s="830"/>
      <c r="ACI29" s="830"/>
      <c r="ACJ29" s="830"/>
      <c r="ACK29" s="830"/>
      <c r="ACL29" s="830"/>
      <c r="ACM29" s="830"/>
      <c r="ACN29" s="830"/>
      <c r="ACO29" s="830"/>
      <c r="ACP29" s="830"/>
      <c r="ACQ29" s="830"/>
      <c r="ACR29" s="830"/>
      <c r="ACS29" s="830"/>
      <c r="ACT29" s="830"/>
      <c r="ACU29" s="830"/>
      <c r="ACV29" s="830"/>
      <c r="ACW29" s="830"/>
      <c r="ACX29" s="830"/>
      <c r="ACY29" s="830"/>
      <c r="ACZ29" s="830"/>
      <c r="ADA29" s="830"/>
      <c r="ADB29" s="830"/>
      <c r="ADC29" s="830"/>
      <c r="ADD29" s="830"/>
      <c r="ADE29" s="830"/>
      <c r="ADF29" s="830"/>
      <c r="ADG29" s="830"/>
      <c r="ADH29" s="830"/>
      <c r="ADI29" s="830"/>
      <c r="ADJ29" s="830"/>
      <c r="ADK29" s="830"/>
      <c r="ADL29" s="830"/>
      <c r="ADM29" s="830"/>
      <c r="ADN29" s="830"/>
      <c r="ADO29" s="830"/>
      <c r="ADP29" s="830"/>
      <c r="ADQ29" s="830"/>
      <c r="ADR29" s="830"/>
      <c r="ADS29" s="830"/>
      <c r="ADT29" s="830"/>
      <c r="ADU29" s="830"/>
      <c r="ADV29" s="830"/>
      <c r="ADW29" s="830"/>
      <c r="ADX29" s="830"/>
      <c r="ADY29" s="830"/>
      <c r="ADZ29" s="830"/>
      <c r="AEA29" s="830"/>
      <c r="AEB29" s="830"/>
      <c r="AEC29" s="830"/>
      <c r="AED29" s="830"/>
      <c r="AEE29" s="830"/>
      <c r="AEF29" s="830"/>
      <c r="AEG29" s="830"/>
      <c r="AEH29" s="830"/>
      <c r="AEI29" s="830"/>
      <c r="AEJ29" s="830"/>
      <c r="AEK29" s="830"/>
      <c r="AEL29" s="830"/>
      <c r="AEM29" s="830"/>
      <c r="AEN29" s="830"/>
      <c r="AEO29" s="830"/>
      <c r="AEP29" s="830"/>
      <c r="AEQ29" s="830"/>
      <c r="AER29" s="830"/>
      <c r="AES29" s="830"/>
      <c r="AET29" s="830"/>
      <c r="AEU29" s="830"/>
      <c r="AEV29" s="830"/>
      <c r="AEW29" s="830"/>
      <c r="AEX29" s="830"/>
      <c r="AEY29" s="830"/>
      <c r="AEZ29" s="830"/>
      <c r="AFA29" s="830"/>
      <c r="AFB29" s="830"/>
      <c r="AFC29" s="830"/>
      <c r="AFD29" s="830"/>
      <c r="AFE29" s="830"/>
      <c r="AFF29" s="830"/>
      <c r="AFG29" s="830"/>
      <c r="AFH29" s="830"/>
      <c r="AFI29" s="830"/>
      <c r="AFJ29" s="830"/>
      <c r="AFK29" s="830"/>
      <c r="AFL29" s="830"/>
      <c r="AFM29" s="830"/>
      <c r="AFN29" s="830"/>
      <c r="AFO29" s="830"/>
      <c r="AFP29" s="830"/>
      <c r="AFQ29" s="830"/>
      <c r="AFR29" s="830"/>
      <c r="AFS29" s="830"/>
      <c r="AFT29" s="830"/>
      <c r="AFU29" s="830"/>
      <c r="AFV29" s="830"/>
      <c r="AFW29" s="830"/>
      <c r="AFX29" s="830"/>
      <c r="AFY29" s="830"/>
      <c r="AFZ29" s="830"/>
      <c r="AGA29" s="830"/>
      <c r="AGB29" s="830"/>
      <c r="AGC29" s="830"/>
      <c r="AGD29" s="830"/>
      <c r="AGE29" s="830"/>
      <c r="AGF29" s="830"/>
      <c r="AGG29" s="830"/>
      <c r="AGH29" s="830"/>
      <c r="AGI29" s="830"/>
      <c r="AGJ29" s="830"/>
      <c r="AGK29" s="830"/>
      <c r="AGL29" s="830"/>
      <c r="AGM29" s="830"/>
      <c r="AGN29" s="830"/>
      <c r="AGO29" s="830"/>
      <c r="AGP29" s="830"/>
      <c r="AGQ29" s="830"/>
      <c r="AGR29" s="830"/>
      <c r="AGS29" s="830"/>
      <c r="AGT29" s="830"/>
      <c r="AGU29" s="830"/>
      <c r="AGV29" s="830"/>
      <c r="AGW29" s="830"/>
      <c r="AGX29" s="830"/>
      <c r="AGY29" s="830"/>
      <c r="AGZ29" s="830"/>
      <c r="AHA29" s="830"/>
      <c r="AHB29" s="830"/>
      <c r="AHC29" s="830"/>
      <c r="AHD29" s="830"/>
      <c r="AHE29" s="830"/>
      <c r="AHF29" s="830"/>
      <c r="AHG29" s="830"/>
      <c r="AHH29" s="830"/>
      <c r="AHI29" s="830"/>
      <c r="AHJ29" s="830"/>
      <c r="AHK29" s="830"/>
      <c r="AHL29" s="830"/>
      <c r="AHM29" s="830"/>
      <c r="AHN29" s="830"/>
      <c r="AHO29" s="830"/>
      <c r="AHP29" s="830"/>
      <c r="AHQ29" s="830"/>
      <c r="AHR29" s="830"/>
      <c r="AHS29" s="830"/>
      <c r="AHT29" s="830"/>
      <c r="AHU29" s="830"/>
      <c r="AHV29" s="830"/>
      <c r="AHW29" s="830"/>
      <c r="AHX29" s="830"/>
      <c r="AHY29" s="830"/>
      <c r="AHZ29" s="830"/>
      <c r="AIA29" s="830"/>
      <c r="AIB29" s="830"/>
      <c r="AIC29" s="830"/>
      <c r="AID29" s="830"/>
      <c r="AIE29" s="830"/>
      <c r="AIF29" s="830"/>
      <c r="AIG29" s="830"/>
      <c r="AIH29" s="830"/>
      <c r="AII29" s="830"/>
      <c r="AIJ29" s="830"/>
      <c r="AIK29" s="830"/>
      <c r="AIL29" s="830"/>
      <c r="AIM29" s="830"/>
      <c r="AIN29" s="830"/>
      <c r="AIO29" s="830"/>
      <c r="AIP29" s="830"/>
      <c r="AIQ29" s="830"/>
      <c r="AIR29" s="830"/>
      <c r="AIS29" s="830"/>
      <c r="AIT29" s="830"/>
      <c r="AIU29" s="830"/>
      <c r="AIV29" s="830"/>
      <c r="AIW29" s="830"/>
      <c r="AIX29" s="830"/>
      <c r="AIY29" s="830"/>
      <c r="AIZ29" s="830"/>
      <c r="AJA29" s="830"/>
      <c r="AJB29" s="830"/>
      <c r="AJC29" s="830"/>
      <c r="AJD29" s="830"/>
      <c r="AJE29" s="830"/>
      <c r="AJF29" s="830"/>
      <c r="AJG29" s="830"/>
      <c r="AJH29" s="830"/>
      <c r="AJI29" s="830"/>
      <c r="AJJ29" s="830"/>
      <c r="AJK29" s="830"/>
      <c r="AJL29" s="830"/>
      <c r="AJM29" s="830"/>
      <c r="AJN29" s="830"/>
      <c r="AJO29" s="830"/>
      <c r="AJP29" s="830"/>
      <c r="AJQ29" s="830"/>
      <c r="AJR29" s="830"/>
      <c r="AJS29" s="830"/>
      <c r="AJT29" s="830"/>
      <c r="AJU29" s="830"/>
      <c r="AJV29" s="830"/>
      <c r="AJW29" s="830"/>
      <c r="AJX29" s="830"/>
      <c r="AJY29" s="830"/>
      <c r="AJZ29" s="830"/>
      <c r="AKA29" s="830"/>
      <c r="AKB29" s="830"/>
      <c r="AKC29" s="830"/>
      <c r="AKD29" s="830"/>
      <c r="AKE29" s="830"/>
      <c r="AKF29" s="830"/>
      <c r="AKG29" s="830"/>
      <c r="AKH29" s="830"/>
      <c r="AKI29" s="830"/>
      <c r="AKJ29" s="830"/>
      <c r="AKK29" s="830"/>
      <c r="AKL29" s="830"/>
      <c r="AKM29" s="830"/>
      <c r="AKN29" s="830"/>
      <c r="AKO29" s="830"/>
      <c r="AKP29" s="830"/>
      <c r="AKQ29" s="830"/>
      <c r="AKR29" s="830"/>
      <c r="AKS29" s="830"/>
      <c r="AKT29" s="830"/>
      <c r="AKU29" s="830"/>
      <c r="AKV29" s="830"/>
      <c r="AKW29" s="830"/>
      <c r="AKX29" s="830"/>
      <c r="AKY29" s="830"/>
      <c r="AKZ29" s="830"/>
      <c r="ALA29" s="830"/>
      <c r="ALB29" s="830"/>
      <c r="ALC29" s="830"/>
      <c r="ALD29" s="830"/>
      <c r="ALE29" s="830"/>
      <c r="ALF29" s="830"/>
      <c r="ALG29" s="830"/>
      <c r="ALH29" s="830"/>
      <c r="ALI29" s="830"/>
      <c r="ALJ29" s="830"/>
      <c r="ALK29" s="830"/>
      <c r="ALL29" s="830"/>
      <c r="ALM29" s="830"/>
      <c r="ALN29" s="830"/>
      <c r="ALO29" s="830"/>
      <c r="ALP29" s="830"/>
      <c r="ALQ29" s="830"/>
      <c r="ALR29" s="830"/>
      <c r="ALS29" s="830"/>
      <c r="ALT29" s="830"/>
      <c r="ALU29" s="830"/>
      <c r="ALV29" s="830"/>
      <c r="ALW29" s="830"/>
      <c r="ALX29" s="830"/>
      <c r="ALY29" s="830"/>
      <c r="ALZ29" s="830"/>
      <c r="AMA29" s="830"/>
      <c r="AMB29" s="830"/>
      <c r="AMC29" s="830"/>
      <c r="AMD29" s="830"/>
      <c r="AME29" s="830"/>
      <c r="AMF29" s="830"/>
      <c r="AMG29" s="830"/>
      <c r="AMH29" s="830"/>
      <c r="AMI29" s="830"/>
      <c r="AMJ29" s="830"/>
      <c r="AMK29" s="830"/>
      <c r="AML29" s="830"/>
      <c r="AMM29" s="830"/>
      <c r="AMN29" s="830"/>
      <c r="AMO29" s="830"/>
      <c r="AMP29" s="830"/>
      <c r="AMQ29" s="830"/>
      <c r="AMR29" s="830"/>
      <c r="AMS29" s="830"/>
      <c r="AMT29" s="830"/>
      <c r="AMU29" s="830"/>
      <c r="AMV29" s="830"/>
      <c r="AMW29" s="830"/>
      <c r="AMX29" s="830"/>
      <c r="AMY29" s="830"/>
      <c r="AMZ29" s="830"/>
      <c r="ANA29" s="830"/>
      <c r="ANB29" s="830"/>
      <c r="ANC29" s="830"/>
      <c r="AND29" s="830"/>
      <c r="ANE29" s="830"/>
      <c r="ANF29" s="830"/>
      <c r="ANG29" s="830"/>
      <c r="ANH29" s="830"/>
      <c r="ANI29" s="830"/>
      <c r="ANJ29" s="830"/>
      <c r="ANK29" s="830"/>
      <c r="ANL29" s="830"/>
      <c r="ANM29" s="830"/>
      <c r="ANN29" s="830"/>
      <c r="ANO29" s="830"/>
      <c r="ANP29" s="830"/>
      <c r="ANQ29" s="830"/>
      <c r="ANR29" s="830"/>
      <c r="ANS29" s="830"/>
      <c r="ANT29" s="830"/>
      <c r="ANU29" s="830"/>
      <c r="ANV29" s="830"/>
      <c r="ANW29" s="830"/>
      <c r="ANX29" s="830"/>
      <c r="ANY29" s="830"/>
      <c r="ANZ29" s="830"/>
      <c r="AOA29" s="830"/>
      <c r="AOB29" s="830"/>
      <c r="AOC29" s="830"/>
      <c r="AOD29" s="830"/>
      <c r="AOE29" s="830"/>
      <c r="AOF29" s="830"/>
      <c r="AOG29" s="830"/>
      <c r="AOH29" s="830"/>
      <c r="AOI29" s="830"/>
      <c r="AOJ29" s="830"/>
      <c r="AOK29" s="830"/>
      <c r="AOL29" s="830"/>
      <c r="AOM29" s="830"/>
      <c r="AON29" s="830"/>
      <c r="AOO29" s="830"/>
      <c r="AOP29" s="830"/>
      <c r="AOQ29" s="830"/>
      <c r="AOR29" s="830"/>
      <c r="AOS29" s="830"/>
      <c r="AOT29" s="830"/>
      <c r="AOU29" s="830"/>
      <c r="AOV29" s="830"/>
      <c r="AOW29" s="830"/>
      <c r="AOX29" s="830"/>
      <c r="AOY29" s="830"/>
      <c r="AOZ29" s="830"/>
      <c r="APA29" s="830"/>
      <c r="APB29" s="830"/>
      <c r="APC29" s="830"/>
      <c r="APD29" s="830"/>
      <c r="APE29" s="830"/>
      <c r="APF29" s="830"/>
      <c r="APG29" s="830"/>
      <c r="APH29" s="830"/>
      <c r="API29" s="830"/>
      <c r="APJ29" s="830"/>
      <c r="APK29" s="830"/>
      <c r="APL29" s="830"/>
      <c r="APM29" s="830"/>
      <c r="APN29" s="830"/>
      <c r="APO29" s="830"/>
      <c r="APP29" s="830"/>
      <c r="APQ29" s="830"/>
      <c r="APR29" s="830"/>
      <c r="APS29" s="830"/>
      <c r="APT29" s="830"/>
      <c r="APU29" s="830"/>
      <c r="APV29" s="830"/>
      <c r="APW29" s="830"/>
      <c r="APX29" s="830"/>
      <c r="APY29" s="830"/>
      <c r="APZ29" s="830"/>
      <c r="AQA29" s="830"/>
      <c r="AQB29" s="830"/>
      <c r="AQC29" s="830"/>
      <c r="AQD29" s="830"/>
      <c r="AQE29" s="830"/>
      <c r="AQF29" s="830"/>
      <c r="AQG29" s="830"/>
      <c r="AQH29" s="830"/>
      <c r="AQI29" s="830"/>
      <c r="AQJ29" s="830"/>
      <c r="AQK29" s="830"/>
      <c r="AQL29" s="830"/>
      <c r="AQM29" s="830"/>
      <c r="AQN29" s="830"/>
      <c r="AQO29" s="830"/>
      <c r="AQP29" s="830"/>
      <c r="AQQ29" s="830"/>
      <c r="AQR29" s="830"/>
      <c r="AQS29" s="830"/>
      <c r="AQT29" s="830"/>
      <c r="AQU29" s="830"/>
      <c r="AQV29" s="830"/>
      <c r="AQW29" s="830"/>
      <c r="AQX29" s="830"/>
      <c r="AQY29" s="830"/>
      <c r="AQZ29" s="830"/>
      <c r="ARA29" s="830"/>
      <c r="ARB29" s="830"/>
      <c r="ARC29" s="830"/>
      <c r="ARD29" s="830"/>
      <c r="ARE29" s="830"/>
      <c r="ARF29" s="830"/>
      <c r="ARG29" s="830"/>
      <c r="ARH29" s="830"/>
      <c r="ARI29" s="830"/>
      <c r="ARJ29" s="830"/>
      <c r="ARK29" s="830"/>
      <c r="ARL29" s="830"/>
      <c r="ARM29" s="830"/>
      <c r="ARN29" s="830"/>
      <c r="ARO29" s="830"/>
      <c r="ARP29" s="830"/>
      <c r="ARQ29" s="830"/>
      <c r="ARR29" s="830"/>
      <c r="ARS29" s="830"/>
      <c r="ART29" s="830"/>
      <c r="ARU29" s="830"/>
      <c r="ARV29" s="830"/>
      <c r="ARW29" s="830"/>
      <c r="ARX29" s="830"/>
      <c r="ARY29" s="830"/>
      <c r="ARZ29" s="830"/>
      <c r="ASA29" s="830"/>
      <c r="ASB29" s="830"/>
      <c r="ASC29" s="830"/>
      <c r="ASD29" s="830"/>
      <c r="ASE29" s="830"/>
      <c r="ASF29" s="830"/>
      <c r="ASG29" s="830"/>
      <c r="ASH29" s="830"/>
      <c r="ASI29" s="830"/>
      <c r="ASJ29" s="830"/>
      <c r="ASK29" s="830"/>
      <c r="ASL29" s="830"/>
      <c r="ASM29" s="830"/>
      <c r="ASN29" s="830"/>
      <c r="ASO29" s="830"/>
      <c r="ASP29" s="830"/>
      <c r="ASQ29" s="830"/>
      <c r="ASR29" s="830"/>
      <c r="ASS29" s="830"/>
      <c r="AST29" s="830"/>
      <c r="ASU29" s="830"/>
      <c r="ASV29" s="830"/>
      <c r="ASW29" s="830"/>
      <c r="ASX29" s="830"/>
      <c r="ASY29" s="830"/>
      <c r="ASZ29" s="830"/>
      <c r="ATA29" s="830"/>
      <c r="ATB29" s="830"/>
      <c r="ATC29" s="830"/>
      <c r="ATD29" s="830"/>
      <c r="ATE29" s="830"/>
      <c r="ATF29" s="830"/>
      <c r="ATG29" s="830"/>
      <c r="ATH29" s="830"/>
      <c r="ATI29" s="830"/>
      <c r="ATJ29" s="830"/>
      <c r="ATK29" s="830"/>
      <c r="ATL29" s="830"/>
      <c r="ATM29" s="830"/>
      <c r="ATN29" s="830"/>
      <c r="ATO29" s="830"/>
      <c r="ATP29" s="830"/>
      <c r="ATQ29" s="830"/>
      <c r="ATR29" s="830"/>
      <c r="ATS29" s="830"/>
      <c r="ATT29" s="830"/>
      <c r="ATU29" s="830"/>
      <c r="ATV29" s="830"/>
      <c r="ATW29" s="830"/>
      <c r="ATX29" s="830"/>
      <c r="ATY29" s="830"/>
      <c r="ATZ29" s="830"/>
      <c r="AUA29" s="830"/>
      <c r="AUB29" s="830"/>
      <c r="AUC29" s="830"/>
      <c r="AUD29" s="830"/>
      <c r="AUE29" s="830"/>
      <c r="AUF29" s="830"/>
      <c r="AUG29" s="830"/>
      <c r="AUH29" s="830"/>
      <c r="AUI29" s="830"/>
      <c r="AUJ29" s="830"/>
      <c r="AUK29" s="830"/>
      <c r="AUL29" s="830"/>
      <c r="AUM29" s="830"/>
      <c r="AUN29" s="830"/>
      <c r="AUO29" s="830"/>
      <c r="AUP29" s="830"/>
      <c r="AUQ29" s="830"/>
      <c r="AUR29" s="830"/>
      <c r="AUS29" s="830"/>
      <c r="AUT29" s="830"/>
      <c r="AUU29" s="830"/>
      <c r="AUV29" s="830"/>
      <c r="AUW29" s="830"/>
      <c r="AUX29" s="830"/>
      <c r="AUY29" s="830"/>
      <c r="AUZ29" s="830"/>
      <c r="AVA29" s="830"/>
      <c r="AVB29" s="830"/>
      <c r="AVC29" s="830"/>
      <c r="AVD29" s="830"/>
      <c r="AVE29" s="830"/>
      <c r="AVF29" s="830"/>
      <c r="AVG29" s="830"/>
      <c r="AVH29" s="830"/>
      <c r="AVI29" s="830"/>
      <c r="AVJ29" s="830"/>
      <c r="AVK29" s="830"/>
      <c r="AVL29" s="830"/>
      <c r="AVM29" s="830"/>
      <c r="AVN29" s="830"/>
      <c r="AVO29" s="830"/>
      <c r="AVP29" s="830"/>
      <c r="AVQ29" s="830"/>
      <c r="AVR29" s="830"/>
      <c r="AVS29" s="830"/>
      <c r="AVT29" s="830"/>
      <c r="AVU29" s="830"/>
      <c r="AVV29" s="830"/>
      <c r="AVW29" s="830"/>
      <c r="AVX29" s="830"/>
      <c r="AVY29" s="830"/>
      <c r="AVZ29" s="830"/>
      <c r="AWA29" s="830"/>
      <c r="AWB29" s="830"/>
      <c r="AWC29" s="830"/>
      <c r="AWD29" s="830"/>
      <c r="AWE29" s="830"/>
      <c r="AWF29" s="830"/>
      <c r="AWG29" s="830"/>
      <c r="AWH29" s="830"/>
      <c r="AWI29" s="830"/>
      <c r="AWJ29" s="830"/>
      <c r="AWK29" s="830"/>
      <c r="AWL29" s="830"/>
      <c r="AWM29" s="830"/>
      <c r="AWN29" s="830"/>
      <c r="AWO29" s="830"/>
      <c r="AWP29" s="830"/>
      <c r="AWQ29" s="830"/>
      <c r="AWR29" s="830"/>
      <c r="AWS29" s="830"/>
      <c r="AWT29" s="830"/>
      <c r="AWU29" s="830"/>
      <c r="AWV29" s="830"/>
      <c r="AWW29" s="830"/>
      <c r="AWX29" s="830"/>
      <c r="AWY29" s="830"/>
      <c r="AWZ29" s="830"/>
      <c r="AXA29" s="830"/>
      <c r="AXB29" s="830"/>
      <c r="AXC29" s="830"/>
      <c r="AXD29" s="830"/>
      <c r="AXE29" s="830"/>
      <c r="AXF29" s="830"/>
      <c r="AXG29" s="830"/>
      <c r="AXH29" s="830"/>
      <c r="AXI29" s="830"/>
      <c r="AXJ29" s="830"/>
      <c r="AXK29" s="830"/>
      <c r="AXL29" s="830"/>
      <c r="AXM29" s="830"/>
      <c r="AXN29" s="830"/>
      <c r="AXO29" s="830"/>
      <c r="AXP29" s="830"/>
      <c r="AXQ29" s="830"/>
      <c r="AXR29" s="830"/>
      <c r="AXS29" s="830"/>
      <c r="AXT29" s="830"/>
      <c r="AXU29" s="830"/>
      <c r="AXV29" s="830"/>
      <c r="AXW29" s="830"/>
      <c r="AXX29" s="830"/>
      <c r="AXY29" s="830"/>
      <c r="AXZ29" s="830"/>
      <c r="AYA29" s="830"/>
      <c r="AYB29" s="830"/>
      <c r="AYC29" s="830"/>
      <c r="AYD29" s="830"/>
      <c r="AYE29" s="830"/>
      <c r="AYF29" s="830"/>
      <c r="AYG29" s="830"/>
      <c r="AYH29" s="830"/>
      <c r="AYI29" s="830"/>
      <c r="AYJ29" s="830"/>
      <c r="AYK29" s="830"/>
      <c r="AYL29" s="830"/>
      <c r="AYM29" s="830"/>
      <c r="AYN29" s="830"/>
      <c r="AYO29" s="830"/>
      <c r="AYP29" s="830"/>
      <c r="AYQ29" s="830"/>
      <c r="AYR29" s="830"/>
      <c r="AYS29" s="830"/>
      <c r="AYT29" s="830"/>
      <c r="AYU29" s="830"/>
      <c r="AYV29" s="830"/>
      <c r="AYW29" s="830"/>
      <c r="AYX29" s="830"/>
      <c r="AYY29" s="830"/>
      <c r="AYZ29" s="830"/>
      <c r="AZA29" s="830"/>
      <c r="AZB29" s="830"/>
      <c r="AZC29" s="830"/>
      <c r="AZD29" s="830"/>
      <c r="AZE29" s="830"/>
      <c r="AZF29" s="830"/>
      <c r="AZG29" s="830"/>
      <c r="AZH29" s="830"/>
      <c r="AZI29" s="830"/>
      <c r="AZJ29" s="830"/>
      <c r="AZK29" s="830"/>
      <c r="AZL29" s="830"/>
      <c r="AZM29" s="830"/>
      <c r="AZN29" s="830"/>
      <c r="AZO29" s="830"/>
      <c r="AZP29" s="830"/>
      <c r="AZQ29" s="830"/>
      <c r="AZR29" s="830"/>
      <c r="AZS29" s="830"/>
      <c r="AZT29" s="830"/>
      <c r="AZU29" s="830"/>
      <c r="AZV29" s="830"/>
      <c r="AZW29" s="830"/>
      <c r="AZX29" s="830"/>
      <c r="AZY29" s="830"/>
      <c r="AZZ29" s="830"/>
      <c r="BAA29" s="830"/>
      <c r="BAB29" s="830"/>
      <c r="BAC29" s="830"/>
      <c r="BAD29" s="830"/>
      <c r="BAE29" s="830"/>
      <c r="BAF29" s="830"/>
      <c r="BAG29" s="830"/>
      <c r="BAH29" s="830"/>
      <c r="BAI29" s="830"/>
      <c r="BAJ29" s="830"/>
      <c r="BAK29" s="830"/>
      <c r="BAL29" s="830"/>
      <c r="BAM29" s="830"/>
      <c r="BAN29" s="830"/>
      <c r="BAO29" s="830"/>
      <c r="BAP29" s="830"/>
      <c r="BAQ29" s="830"/>
      <c r="BAR29" s="830"/>
      <c r="BAS29" s="830"/>
      <c r="BAT29" s="830"/>
      <c r="BAU29" s="830"/>
      <c r="BAV29" s="830"/>
      <c r="BAW29" s="830"/>
      <c r="BAX29" s="830"/>
      <c r="BAY29" s="830"/>
      <c r="BAZ29" s="830"/>
      <c r="BBA29" s="830"/>
      <c r="BBB29" s="830"/>
      <c r="BBC29" s="830"/>
      <c r="BBD29" s="830"/>
      <c r="BBE29" s="830"/>
      <c r="BBF29" s="830"/>
      <c r="BBG29" s="830"/>
      <c r="BBH29" s="830"/>
      <c r="BBI29" s="830"/>
      <c r="BBJ29" s="830"/>
      <c r="BBK29" s="830"/>
      <c r="BBL29" s="830"/>
      <c r="BBM29" s="830"/>
      <c r="BBN29" s="830"/>
      <c r="BBO29" s="830"/>
      <c r="BBP29" s="830"/>
      <c r="BBQ29" s="830"/>
      <c r="BBR29" s="830"/>
      <c r="BBS29" s="830"/>
      <c r="BBT29" s="830"/>
      <c r="BBU29" s="830"/>
      <c r="BBV29" s="830"/>
      <c r="BBW29" s="830"/>
      <c r="BBX29" s="830"/>
      <c r="BBY29" s="830"/>
      <c r="BBZ29" s="830"/>
      <c r="BCA29" s="830"/>
      <c r="BCB29" s="830"/>
      <c r="BCC29" s="830"/>
      <c r="BCD29" s="830"/>
      <c r="BCE29" s="830"/>
      <c r="BCF29" s="830"/>
      <c r="BCG29" s="830"/>
      <c r="BCH29" s="830"/>
      <c r="BCI29" s="830"/>
      <c r="BCJ29" s="830"/>
      <c r="BCK29" s="830"/>
      <c r="BCL29" s="830"/>
      <c r="BCM29" s="830"/>
      <c r="BCN29" s="830"/>
      <c r="BCO29" s="830"/>
      <c r="BCP29" s="830"/>
      <c r="BCQ29" s="830"/>
      <c r="BCR29" s="830"/>
      <c r="BCS29" s="830"/>
      <c r="BCT29" s="830"/>
      <c r="BCU29" s="830"/>
      <c r="BCV29" s="830"/>
      <c r="BCW29" s="830"/>
      <c r="BCX29" s="830"/>
      <c r="BCY29" s="830"/>
      <c r="BCZ29" s="830"/>
      <c r="BDA29" s="830"/>
      <c r="BDB29" s="830"/>
      <c r="BDC29" s="830"/>
      <c r="BDD29" s="830"/>
      <c r="BDE29" s="830"/>
      <c r="BDF29" s="830"/>
      <c r="BDG29" s="830"/>
      <c r="BDH29" s="830"/>
      <c r="BDI29" s="830"/>
      <c r="BDJ29" s="830"/>
      <c r="BDK29" s="830"/>
      <c r="BDL29" s="830"/>
      <c r="BDM29" s="830"/>
      <c r="BDN29" s="830"/>
      <c r="BDO29" s="830"/>
      <c r="BDP29" s="830"/>
      <c r="BDQ29" s="830"/>
      <c r="BDR29" s="830"/>
      <c r="BDS29" s="830"/>
      <c r="BDT29" s="830"/>
      <c r="BDU29" s="830"/>
      <c r="BDV29" s="830"/>
      <c r="BDW29" s="830"/>
      <c r="BDX29" s="830"/>
      <c r="BDY29" s="830"/>
      <c r="BDZ29" s="830"/>
      <c r="BEA29" s="830"/>
      <c r="BEB29" s="830"/>
      <c r="BEC29" s="830"/>
      <c r="BED29" s="830"/>
      <c r="BEE29" s="830"/>
      <c r="BEF29" s="830"/>
      <c r="BEG29" s="830"/>
      <c r="BEH29" s="830"/>
      <c r="BEI29" s="830"/>
      <c r="BEJ29" s="830"/>
      <c r="BEK29" s="830"/>
      <c r="BEL29" s="830"/>
      <c r="BEM29" s="830"/>
      <c r="BEN29" s="830"/>
      <c r="BEO29" s="830"/>
      <c r="BEP29" s="830"/>
      <c r="BEQ29" s="830"/>
      <c r="BER29" s="830"/>
      <c r="BES29" s="830"/>
      <c r="BET29" s="830"/>
      <c r="BEU29" s="830"/>
      <c r="BEV29" s="830"/>
      <c r="BEW29" s="830"/>
      <c r="BEX29" s="830"/>
      <c r="BEY29" s="830"/>
      <c r="BEZ29" s="830"/>
      <c r="BFA29" s="830"/>
      <c r="BFB29" s="830"/>
      <c r="BFC29" s="830"/>
      <c r="BFD29" s="830"/>
      <c r="BFE29" s="830"/>
      <c r="BFF29" s="830"/>
      <c r="BFG29" s="830"/>
      <c r="BFH29" s="830"/>
      <c r="BFI29" s="830"/>
      <c r="BFJ29" s="830"/>
      <c r="BFK29" s="830"/>
      <c r="BFL29" s="830"/>
      <c r="BFM29" s="830"/>
      <c r="BFN29" s="830"/>
      <c r="BFO29" s="830"/>
      <c r="BFP29" s="830"/>
      <c r="BFQ29" s="830"/>
      <c r="BFR29" s="830"/>
      <c r="BFS29" s="830"/>
      <c r="BFT29" s="830"/>
      <c r="BFU29" s="830"/>
      <c r="BFV29" s="830"/>
      <c r="BFW29" s="830"/>
      <c r="BFX29" s="830"/>
      <c r="BFY29" s="830"/>
      <c r="BFZ29" s="830"/>
      <c r="BGA29" s="830"/>
      <c r="BGB29" s="830"/>
      <c r="BGC29" s="830"/>
      <c r="BGD29" s="830"/>
      <c r="BGE29" s="830"/>
      <c r="BGF29" s="830"/>
      <c r="BGG29" s="830"/>
      <c r="BGH29" s="830"/>
      <c r="BGI29" s="830"/>
      <c r="BGJ29" s="830"/>
      <c r="BGK29" s="830"/>
      <c r="BGL29" s="830"/>
      <c r="BGM29" s="830"/>
      <c r="BGN29" s="830"/>
      <c r="BGO29" s="830"/>
      <c r="BGP29" s="830"/>
      <c r="BGQ29" s="830"/>
      <c r="BGR29" s="830"/>
      <c r="BGS29" s="830"/>
      <c r="BGT29" s="830"/>
      <c r="BGU29" s="830"/>
      <c r="BGV29" s="830"/>
      <c r="BGW29" s="830"/>
      <c r="BGX29" s="830"/>
      <c r="BGY29" s="830"/>
      <c r="BGZ29" s="830"/>
      <c r="BHA29" s="830"/>
      <c r="BHB29" s="830"/>
      <c r="BHC29" s="830"/>
      <c r="BHD29" s="830"/>
      <c r="BHE29" s="830"/>
      <c r="BHF29" s="830"/>
      <c r="BHG29" s="830"/>
      <c r="BHH29" s="830"/>
      <c r="BHI29" s="830"/>
      <c r="BHJ29" s="830"/>
      <c r="BHK29" s="830"/>
      <c r="BHL29" s="830"/>
      <c r="BHM29" s="830"/>
      <c r="BHN29" s="830"/>
      <c r="BHO29" s="830"/>
      <c r="BHP29" s="830"/>
      <c r="BHQ29" s="830"/>
      <c r="BHR29" s="830"/>
      <c r="BHS29" s="830"/>
      <c r="BHT29" s="830"/>
      <c r="BHU29" s="830"/>
      <c r="BHV29" s="830"/>
      <c r="BHW29" s="830"/>
      <c r="BHX29" s="830"/>
      <c r="BHY29" s="830"/>
      <c r="BHZ29" s="830"/>
      <c r="BIA29" s="830"/>
      <c r="BIB29" s="830"/>
      <c r="BIC29" s="830"/>
      <c r="BID29" s="830"/>
      <c r="BIE29" s="830"/>
      <c r="BIF29" s="830"/>
      <c r="BIG29" s="830"/>
      <c r="BIH29" s="830"/>
      <c r="BII29" s="830"/>
      <c r="BIJ29" s="830"/>
      <c r="BIK29" s="830"/>
      <c r="BIL29" s="830"/>
      <c r="BIM29" s="830"/>
      <c r="BIN29" s="830"/>
      <c r="BIO29" s="830"/>
      <c r="BIP29" s="830"/>
      <c r="BIQ29" s="830"/>
      <c r="BIR29" s="830"/>
      <c r="BIS29" s="830"/>
      <c r="BIT29" s="830"/>
      <c r="BIU29" s="830"/>
      <c r="BIV29" s="830"/>
      <c r="BIW29" s="830"/>
      <c r="BIX29" s="830"/>
      <c r="BIY29" s="830"/>
      <c r="BIZ29" s="830"/>
      <c r="BJA29" s="830"/>
      <c r="BJB29" s="830"/>
      <c r="BJC29" s="830"/>
      <c r="BJD29" s="830"/>
      <c r="BJE29" s="830"/>
      <c r="BJF29" s="830"/>
      <c r="BJG29" s="830"/>
      <c r="BJH29" s="830"/>
      <c r="BJI29" s="830"/>
      <c r="BJJ29" s="830"/>
      <c r="BJK29" s="830"/>
      <c r="BJL29" s="830"/>
      <c r="BJM29" s="830"/>
      <c r="BJN29" s="830"/>
      <c r="BJO29" s="830"/>
      <c r="BJP29" s="830"/>
      <c r="BJQ29" s="830"/>
      <c r="BJR29" s="830"/>
      <c r="BJS29" s="830"/>
      <c r="BJT29" s="830"/>
      <c r="BJU29" s="830"/>
      <c r="BJV29" s="830"/>
      <c r="BJW29" s="830"/>
      <c r="BJX29" s="830"/>
      <c r="BJY29" s="830"/>
      <c r="BJZ29" s="830"/>
      <c r="BKA29" s="830"/>
      <c r="BKB29" s="830"/>
      <c r="BKC29" s="830"/>
      <c r="BKD29" s="830"/>
      <c r="BKE29" s="830"/>
      <c r="BKF29" s="830"/>
      <c r="BKG29" s="830"/>
      <c r="BKH29" s="830"/>
      <c r="BKI29" s="830"/>
      <c r="BKJ29" s="830"/>
      <c r="BKK29" s="830"/>
      <c r="BKL29" s="830"/>
      <c r="BKM29" s="830"/>
      <c r="BKN29" s="830"/>
      <c r="BKO29" s="830"/>
      <c r="BKP29" s="830"/>
      <c r="BKQ29" s="830"/>
      <c r="BKR29" s="830"/>
      <c r="BKS29" s="830"/>
      <c r="BKT29" s="830"/>
      <c r="BKU29" s="830"/>
      <c r="BKV29" s="830"/>
      <c r="BKW29" s="830"/>
      <c r="BKX29" s="830"/>
      <c r="BKY29" s="830"/>
      <c r="BKZ29" s="830"/>
      <c r="BLA29" s="830"/>
      <c r="BLB29" s="830"/>
      <c r="BLC29" s="830"/>
      <c r="BLD29" s="830"/>
      <c r="BLE29" s="830"/>
      <c r="BLF29" s="830"/>
      <c r="BLG29" s="830"/>
      <c r="BLH29" s="830"/>
      <c r="BLI29" s="830"/>
      <c r="BLJ29" s="830"/>
      <c r="BLK29" s="830"/>
      <c r="BLL29" s="830"/>
      <c r="BLM29" s="830"/>
      <c r="BLN29" s="830"/>
      <c r="BLO29" s="830"/>
      <c r="BLP29" s="830"/>
      <c r="BLQ29" s="830"/>
      <c r="BLR29" s="830"/>
      <c r="BLS29" s="830"/>
      <c r="BLT29" s="830"/>
      <c r="BLU29" s="830"/>
      <c r="BLV29" s="830"/>
      <c r="BLW29" s="830"/>
      <c r="BLX29" s="830"/>
      <c r="BLY29" s="830"/>
      <c r="BLZ29" s="830"/>
      <c r="BMA29" s="830"/>
      <c r="BMB29" s="830"/>
      <c r="BMC29" s="830"/>
      <c r="BMD29" s="830"/>
      <c r="BME29" s="830"/>
      <c r="BMF29" s="830"/>
      <c r="BMG29" s="830"/>
      <c r="BMH29" s="830"/>
      <c r="BMI29" s="830"/>
      <c r="BMJ29" s="830"/>
      <c r="BMK29" s="830"/>
      <c r="BML29" s="830"/>
      <c r="BMM29" s="830"/>
      <c r="BMN29" s="830"/>
      <c r="BMO29" s="830"/>
      <c r="BMP29" s="830"/>
      <c r="BMQ29" s="830"/>
      <c r="BMR29" s="830"/>
      <c r="BMS29" s="830"/>
      <c r="BMT29" s="830"/>
      <c r="BMU29" s="830"/>
      <c r="BMV29" s="830"/>
      <c r="BMW29" s="830"/>
      <c r="BMX29" s="830"/>
      <c r="BMY29" s="830"/>
      <c r="BMZ29" s="830"/>
      <c r="BNA29" s="830"/>
      <c r="BNB29" s="830"/>
      <c r="BNC29" s="830"/>
      <c r="BND29" s="830"/>
      <c r="BNE29" s="830"/>
      <c r="BNF29" s="830"/>
      <c r="BNG29" s="830"/>
      <c r="BNH29" s="830"/>
      <c r="BNI29" s="830"/>
      <c r="BNJ29" s="830"/>
      <c r="BNK29" s="830"/>
      <c r="BNL29" s="830"/>
      <c r="BNM29" s="830"/>
      <c r="BNN29" s="830"/>
      <c r="BNO29" s="830"/>
      <c r="BNP29" s="830"/>
      <c r="BNQ29" s="830"/>
      <c r="BNR29" s="830"/>
      <c r="BNS29" s="830"/>
      <c r="BNT29" s="830"/>
      <c r="BNU29" s="830"/>
      <c r="BNV29" s="830"/>
      <c r="BNW29" s="830"/>
      <c r="BNX29" s="830"/>
      <c r="BNY29" s="830"/>
      <c r="BNZ29" s="830"/>
      <c r="BOA29" s="830"/>
      <c r="BOB29" s="830"/>
      <c r="BOC29" s="830"/>
      <c r="BOD29" s="830"/>
      <c r="BOE29" s="830"/>
      <c r="BOF29" s="830"/>
      <c r="BOG29" s="830"/>
      <c r="BOH29" s="830"/>
      <c r="BOI29" s="830"/>
      <c r="BOJ29" s="830"/>
      <c r="BOK29" s="830"/>
      <c r="BOL29" s="830"/>
      <c r="BOM29" s="830"/>
      <c r="BON29" s="830"/>
      <c r="BOO29" s="830"/>
      <c r="BOP29" s="830"/>
      <c r="BOQ29" s="830"/>
      <c r="BOR29" s="830"/>
      <c r="BOS29" s="830"/>
      <c r="BOT29" s="830"/>
      <c r="BOU29" s="830"/>
      <c r="BOV29" s="830"/>
      <c r="BOW29" s="830"/>
      <c r="BOX29" s="830"/>
      <c r="BOY29" s="830"/>
      <c r="BOZ29" s="830"/>
      <c r="BPA29" s="830"/>
      <c r="BPB29" s="830"/>
      <c r="BPC29" s="830"/>
      <c r="BPD29" s="830"/>
      <c r="BPE29" s="830"/>
      <c r="BPF29" s="830"/>
      <c r="BPG29" s="830"/>
      <c r="BPH29" s="830"/>
      <c r="BPI29" s="830"/>
      <c r="BPJ29" s="830"/>
      <c r="BPK29" s="830"/>
      <c r="BPL29" s="830"/>
      <c r="BPM29" s="830"/>
      <c r="BPN29" s="830"/>
      <c r="BPO29" s="830"/>
      <c r="BPP29" s="830"/>
      <c r="BPQ29" s="830"/>
      <c r="BPR29" s="830"/>
      <c r="BPS29" s="830"/>
      <c r="BPT29" s="830"/>
      <c r="BPU29" s="830"/>
      <c r="BPV29" s="830"/>
      <c r="BPW29" s="830"/>
      <c r="BPX29" s="830"/>
      <c r="BPY29" s="830"/>
      <c r="BPZ29" s="830"/>
      <c r="BQA29" s="830"/>
      <c r="BQB29" s="830"/>
      <c r="BQC29" s="830"/>
      <c r="BQD29" s="830"/>
      <c r="BQE29" s="830"/>
      <c r="BQF29" s="830"/>
      <c r="BQG29" s="830"/>
      <c r="BQH29" s="830"/>
      <c r="BQI29" s="830"/>
      <c r="BQJ29" s="830"/>
      <c r="BQK29" s="830"/>
      <c r="BQL29" s="830"/>
      <c r="BQM29" s="830"/>
      <c r="BQN29" s="830"/>
      <c r="BQO29" s="830"/>
      <c r="BQP29" s="830"/>
      <c r="BQQ29" s="830"/>
      <c r="BQR29" s="830"/>
      <c r="BQS29" s="830"/>
      <c r="BQT29" s="830"/>
      <c r="BQU29" s="830"/>
      <c r="BQV29" s="830"/>
      <c r="BQW29" s="830"/>
      <c r="BQX29" s="830"/>
      <c r="BQY29" s="830"/>
      <c r="BQZ29" s="830"/>
      <c r="BRA29" s="830"/>
      <c r="BRB29" s="830"/>
      <c r="BRC29" s="830"/>
      <c r="BRD29" s="830"/>
      <c r="BRE29" s="830"/>
      <c r="BRF29" s="830"/>
      <c r="BRG29" s="830"/>
      <c r="BRH29" s="830"/>
      <c r="BRI29" s="830"/>
      <c r="BRJ29" s="830"/>
      <c r="BRK29" s="830"/>
      <c r="BRL29" s="830"/>
      <c r="BRM29" s="830"/>
      <c r="BRN29" s="830"/>
      <c r="BRO29" s="830"/>
      <c r="BRP29" s="830"/>
      <c r="BRQ29" s="830"/>
      <c r="BRR29" s="830"/>
      <c r="BRS29" s="830"/>
      <c r="BRT29" s="830"/>
      <c r="BRU29" s="830"/>
      <c r="BRV29" s="830"/>
      <c r="BRW29" s="830"/>
      <c r="BRX29" s="830"/>
      <c r="BRY29" s="830"/>
      <c r="BRZ29" s="830"/>
      <c r="BSA29" s="830"/>
      <c r="BSB29" s="830"/>
      <c r="BSC29" s="830"/>
      <c r="BSD29" s="830"/>
      <c r="BSE29" s="830"/>
      <c r="BSF29" s="830"/>
      <c r="BSG29" s="830"/>
      <c r="BSH29" s="830"/>
      <c r="BSI29" s="830"/>
      <c r="BSJ29" s="830"/>
      <c r="BSK29" s="830"/>
      <c r="BSL29" s="830"/>
      <c r="BSM29" s="830"/>
      <c r="BSN29" s="830"/>
      <c r="BSO29" s="830"/>
      <c r="BSP29" s="830"/>
      <c r="BSQ29" s="830"/>
      <c r="BSR29" s="830"/>
      <c r="BSS29" s="830"/>
      <c r="BST29" s="830"/>
    </row>
    <row r="30" spans="1:1866" s="829" customFormat="1" ht="20.100000000000001" customHeight="1" x14ac:dyDescent="0.25">
      <c r="A30" s="830"/>
      <c r="B30" s="3183"/>
      <c r="C30" s="1502" t="s">
        <v>283</v>
      </c>
      <c r="D30" s="1503">
        <f>SUMIF(Bfr!$B$53:$B$56,"="&amp;C30,Bfr!$D$53:$D$56)</f>
        <v>0</v>
      </c>
      <c r="E30" s="1473"/>
      <c r="F30" s="1473"/>
      <c r="G30" s="1500">
        <f>E24*$D$30</f>
        <v>0</v>
      </c>
      <c r="H30" s="1500">
        <f t="shared" ref="H30:V30" si="35">F24*$D$30</f>
        <v>0</v>
      </c>
      <c r="I30" s="1500">
        <f t="shared" si="35"/>
        <v>0</v>
      </c>
      <c r="J30" s="1500">
        <f t="shared" si="35"/>
        <v>0</v>
      </c>
      <c r="K30" s="1500">
        <f t="shared" si="35"/>
        <v>0</v>
      </c>
      <c r="L30" s="1500">
        <f t="shared" si="35"/>
        <v>0</v>
      </c>
      <c r="M30" s="1500">
        <f t="shared" si="35"/>
        <v>0</v>
      </c>
      <c r="N30" s="1500">
        <f t="shared" si="35"/>
        <v>0</v>
      </c>
      <c r="O30" s="1500">
        <f t="shared" si="35"/>
        <v>0</v>
      </c>
      <c r="P30" s="1500">
        <f t="shared" si="35"/>
        <v>0</v>
      </c>
      <c r="Q30" s="1500">
        <f t="shared" si="35"/>
        <v>0</v>
      </c>
      <c r="R30" s="1500">
        <f t="shared" si="35"/>
        <v>0</v>
      </c>
      <c r="S30" s="1500">
        <f t="shared" si="35"/>
        <v>0</v>
      </c>
      <c r="T30" s="1500">
        <f t="shared" si="35"/>
        <v>0</v>
      </c>
      <c r="U30" s="1500">
        <f t="shared" si="35"/>
        <v>0</v>
      </c>
      <c r="V30" s="1501">
        <f t="shared" si="35"/>
        <v>0</v>
      </c>
      <c r="W30" s="830"/>
      <c r="X30" s="1459">
        <f t="shared" si="30"/>
        <v>0</v>
      </c>
      <c r="Y30" s="1459">
        <f>U24*D30</f>
        <v>0</v>
      </c>
      <c r="Z30" s="1459">
        <f>V24*D30</f>
        <v>0</v>
      </c>
      <c r="AA30" s="1461"/>
      <c r="AB30" s="826"/>
      <c r="AC30" s="826"/>
      <c r="AD30" s="830"/>
      <c r="AE30" s="830"/>
      <c r="AF30" s="830"/>
      <c r="AG30" s="830"/>
      <c r="AH30" s="830"/>
      <c r="AI30" s="830"/>
      <c r="AJ30" s="830"/>
      <c r="AK30" s="830"/>
      <c r="AL30" s="830"/>
      <c r="AM30" s="830"/>
      <c r="AN30" s="830"/>
      <c r="AO30" s="830"/>
      <c r="AP30" s="830"/>
      <c r="AQ30" s="830"/>
      <c r="AR30" s="830"/>
      <c r="AS30" s="830"/>
      <c r="AT30" s="830"/>
      <c r="AU30" s="830"/>
      <c r="AV30" s="830"/>
      <c r="AW30" s="830"/>
      <c r="AX30" s="830"/>
      <c r="AY30" s="830"/>
      <c r="AZ30" s="830"/>
      <c r="BA30" s="830"/>
      <c r="BB30" s="830"/>
      <c r="BC30" s="830"/>
      <c r="BD30" s="830"/>
      <c r="BE30" s="830"/>
      <c r="BF30" s="830"/>
      <c r="BG30" s="830"/>
      <c r="BH30" s="830"/>
      <c r="BI30" s="830"/>
      <c r="BJ30" s="830"/>
      <c r="BK30" s="830"/>
      <c r="BL30" s="830"/>
      <c r="BM30" s="830"/>
      <c r="BN30" s="830"/>
      <c r="BO30" s="830"/>
      <c r="BP30" s="830"/>
      <c r="BQ30" s="830"/>
      <c r="BR30" s="830"/>
      <c r="BS30" s="830"/>
      <c r="BT30" s="830"/>
      <c r="BU30" s="830"/>
      <c r="BV30" s="830"/>
      <c r="BW30" s="830"/>
      <c r="BX30" s="830"/>
      <c r="BY30" s="830"/>
      <c r="BZ30" s="830"/>
      <c r="CA30" s="830"/>
      <c r="CB30" s="830"/>
      <c r="CC30" s="830"/>
      <c r="CD30" s="830"/>
      <c r="CE30" s="830"/>
      <c r="CF30" s="830"/>
      <c r="CG30" s="830"/>
      <c r="CH30" s="830"/>
      <c r="CI30" s="830"/>
      <c r="CJ30" s="830"/>
      <c r="CK30" s="830"/>
      <c r="CL30" s="830"/>
      <c r="CM30" s="830"/>
      <c r="CN30" s="830"/>
      <c r="CO30" s="830"/>
      <c r="CP30" s="830"/>
      <c r="CQ30" s="830"/>
      <c r="CR30" s="830"/>
      <c r="CS30" s="830"/>
      <c r="CT30" s="830"/>
      <c r="CU30" s="830"/>
      <c r="CV30" s="830"/>
      <c r="CW30" s="830"/>
      <c r="CX30" s="830"/>
      <c r="CY30" s="830"/>
      <c r="CZ30" s="830"/>
      <c r="DA30" s="830"/>
      <c r="DB30" s="830"/>
      <c r="DC30" s="830"/>
      <c r="DD30" s="830"/>
      <c r="DE30" s="830"/>
      <c r="DF30" s="830"/>
      <c r="DG30" s="830"/>
      <c r="DH30" s="830"/>
      <c r="DI30" s="830"/>
      <c r="DJ30" s="830"/>
      <c r="DK30" s="830"/>
      <c r="DL30" s="830"/>
      <c r="DM30" s="830"/>
      <c r="DN30" s="830"/>
      <c r="DO30" s="830"/>
      <c r="DP30" s="830"/>
      <c r="DQ30" s="830"/>
      <c r="DR30" s="830"/>
      <c r="DS30" s="830"/>
      <c r="DT30" s="830"/>
      <c r="DU30" s="830"/>
      <c r="DV30" s="830"/>
      <c r="DW30" s="830"/>
      <c r="DX30" s="830"/>
      <c r="DY30" s="830"/>
      <c r="DZ30" s="830"/>
      <c r="EA30" s="830"/>
      <c r="EB30" s="830"/>
      <c r="EC30" s="830"/>
      <c r="ED30" s="830"/>
      <c r="EE30" s="830"/>
      <c r="EF30" s="830"/>
      <c r="EG30" s="830"/>
      <c r="EH30" s="830"/>
      <c r="EI30" s="830"/>
      <c r="EJ30" s="830"/>
      <c r="EK30" s="830"/>
      <c r="EL30" s="830"/>
      <c r="EM30" s="830"/>
      <c r="EN30" s="830"/>
      <c r="EO30" s="830"/>
      <c r="EP30" s="830"/>
      <c r="EQ30" s="830"/>
      <c r="ER30" s="830"/>
      <c r="ES30" s="830"/>
      <c r="ET30" s="830"/>
      <c r="EU30" s="830"/>
      <c r="EV30" s="830"/>
      <c r="EW30" s="830"/>
      <c r="EX30" s="830"/>
      <c r="EY30" s="830"/>
      <c r="EZ30" s="830"/>
      <c r="FA30" s="830"/>
      <c r="FB30" s="830"/>
      <c r="FC30" s="830"/>
      <c r="FD30" s="830"/>
      <c r="FE30" s="830"/>
      <c r="FF30" s="830"/>
      <c r="FG30" s="830"/>
      <c r="FH30" s="830"/>
      <c r="FI30" s="830"/>
      <c r="FJ30" s="830"/>
      <c r="FK30" s="830"/>
      <c r="FL30" s="830"/>
      <c r="FM30" s="830"/>
      <c r="FN30" s="830"/>
      <c r="FO30" s="830"/>
      <c r="FP30" s="830"/>
      <c r="FQ30" s="830"/>
      <c r="FR30" s="830"/>
      <c r="FS30" s="830"/>
      <c r="FT30" s="830"/>
      <c r="FU30" s="830"/>
      <c r="FV30" s="830"/>
      <c r="FW30" s="830"/>
      <c r="FX30" s="830"/>
      <c r="FY30" s="830"/>
      <c r="FZ30" s="830"/>
      <c r="GA30" s="830"/>
      <c r="GB30" s="830"/>
      <c r="GC30" s="830"/>
      <c r="GD30" s="830"/>
      <c r="GE30" s="830"/>
      <c r="GF30" s="830"/>
      <c r="GG30" s="830"/>
      <c r="GH30" s="830"/>
      <c r="GI30" s="830"/>
      <c r="GJ30" s="830"/>
      <c r="GK30" s="830"/>
      <c r="GL30" s="830"/>
      <c r="GM30" s="830"/>
      <c r="GN30" s="830"/>
      <c r="GO30" s="830"/>
      <c r="GP30" s="830"/>
      <c r="GQ30" s="830"/>
      <c r="GR30" s="830"/>
      <c r="GS30" s="830"/>
      <c r="GT30" s="830"/>
      <c r="GU30" s="830"/>
      <c r="GV30" s="830"/>
      <c r="GW30" s="830"/>
      <c r="GX30" s="830"/>
      <c r="GY30" s="830"/>
      <c r="GZ30" s="830"/>
      <c r="HA30" s="830"/>
      <c r="HB30" s="830"/>
      <c r="HC30" s="830"/>
      <c r="HD30" s="830"/>
      <c r="HE30" s="830"/>
      <c r="HF30" s="830"/>
      <c r="HG30" s="830"/>
      <c r="HH30" s="830"/>
      <c r="HI30" s="830"/>
      <c r="HJ30" s="830"/>
      <c r="HK30" s="830"/>
      <c r="HL30" s="830"/>
      <c r="HM30" s="830"/>
      <c r="HN30" s="830"/>
      <c r="HO30" s="830"/>
      <c r="HP30" s="830"/>
      <c r="HQ30" s="830"/>
      <c r="HR30" s="830"/>
      <c r="HS30" s="830"/>
      <c r="HT30" s="830"/>
      <c r="HU30" s="830"/>
      <c r="HV30" s="830"/>
      <c r="HW30" s="830"/>
      <c r="HX30" s="830"/>
      <c r="HY30" s="830"/>
      <c r="HZ30" s="830"/>
      <c r="IA30" s="830"/>
      <c r="IB30" s="830"/>
      <c r="IC30" s="830"/>
      <c r="ID30" s="830"/>
      <c r="IE30" s="830"/>
      <c r="IF30" s="830"/>
      <c r="IG30" s="830"/>
      <c r="IH30" s="830"/>
      <c r="II30" s="830"/>
      <c r="IJ30" s="830"/>
      <c r="IK30" s="830"/>
      <c r="IL30" s="830"/>
      <c r="IM30" s="830"/>
      <c r="IN30" s="830"/>
      <c r="IO30" s="830"/>
      <c r="IP30" s="830"/>
      <c r="IQ30" s="830"/>
      <c r="IR30" s="830"/>
      <c r="IS30" s="830"/>
      <c r="IT30" s="830"/>
      <c r="IU30" s="830"/>
      <c r="IV30" s="830"/>
      <c r="IW30" s="830"/>
      <c r="IX30" s="830"/>
      <c r="IY30" s="830"/>
      <c r="IZ30" s="830"/>
      <c r="JA30" s="830"/>
      <c r="JB30" s="830"/>
      <c r="JC30" s="830"/>
      <c r="JD30" s="830"/>
      <c r="JE30" s="830"/>
      <c r="JF30" s="830"/>
      <c r="JG30" s="830"/>
      <c r="JH30" s="830"/>
      <c r="JI30" s="830"/>
      <c r="JJ30" s="830"/>
      <c r="JK30" s="830"/>
      <c r="JL30" s="830"/>
      <c r="JM30" s="830"/>
      <c r="JN30" s="830"/>
      <c r="JO30" s="830"/>
      <c r="JP30" s="830"/>
      <c r="JQ30" s="830"/>
      <c r="JR30" s="830"/>
      <c r="JS30" s="830"/>
      <c r="JT30" s="830"/>
      <c r="JU30" s="830"/>
      <c r="JV30" s="830"/>
      <c r="JW30" s="830"/>
      <c r="JX30" s="830"/>
      <c r="JY30" s="830"/>
      <c r="JZ30" s="830"/>
      <c r="KA30" s="830"/>
      <c r="KB30" s="830"/>
      <c r="KC30" s="830"/>
      <c r="KD30" s="830"/>
      <c r="KE30" s="830"/>
      <c r="KF30" s="830"/>
      <c r="KG30" s="830"/>
      <c r="KH30" s="830"/>
      <c r="KI30" s="830"/>
      <c r="KJ30" s="830"/>
      <c r="KK30" s="830"/>
      <c r="KL30" s="830"/>
      <c r="KM30" s="830"/>
      <c r="KN30" s="830"/>
      <c r="KO30" s="830"/>
      <c r="KP30" s="830"/>
      <c r="KQ30" s="830"/>
      <c r="KR30" s="830"/>
      <c r="KS30" s="830"/>
      <c r="KT30" s="830"/>
      <c r="KU30" s="830"/>
      <c r="KV30" s="830"/>
      <c r="KW30" s="830"/>
      <c r="KX30" s="830"/>
      <c r="KY30" s="830"/>
      <c r="KZ30" s="830"/>
      <c r="LA30" s="830"/>
      <c r="LB30" s="830"/>
      <c r="LC30" s="830"/>
      <c r="LD30" s="830"/>
      <c r="LE30" s="830"/>
      <c r="LF30" s="830"/>
      <c r="LG30" s="830"/>
      <c r="LH30" s="830"/>
      <c r="LI30" s="830"/>
      <c r="LJ30" s="830"/>
      <c r="LK30" s="830"/>
      <c r="LL30" s="830"/>
      <c r="LM30" s="830"/>
      <c r="LN30" s="830"/>
      <c r="LO30" s="830"/>
      <c r="LP30" s="830"/>
      <c r="LQ30" s="830"/>
      <c r="LR30" s="830"/>
      <c r="LS30" s="830"/>
      <c r="LT30" s="830"/>
      <c r="LU30" s="830"/>
      <c r="LV30" s="830"/>
      <c r="LW30" s="830"/>
      <c r="LX30" s="830"/>
      <c r="LY30" s="830"/>
      <c r="LZ30" s="830"/>
      <c r="MA30" s="830"/>
      <c r="MB30" s="830"/>
      <c r="MC30" s="830"/>
      <c r="MD30" s="830"/>
      <c r="ME30" s="830"/>
      <c r="MF30" s="830"/>
      <c r="MG30" s="830"/>
      <c r="MH30" s="830"/>
      <c r="MI30" s="830"/>
      <c r="MJ30" s="830"/>
      <c r="MK30" s="830"/>
      <c r="ML30" s="830"/>
      <c r="MM30" s="830"/>
      <c r="MN30" s="830"/>
      <c r="MO30" s="830"/>
      <c r="MP30" s="830"/>
      <c r="MQ30" s="830"/>
      <c r="MR30" s="830"/>
      <c r="MS30" s="830"/>
      <c r="MT30" s="830"/>
      <c r="MU30" s="830"/>
      <c r="MV30" s="830"/>
      <c r="MW30" s="830"/>
      <c r="MX30" s="830"/>
      <c r="MY30" s="830"/>
      <c r="MZ30" s="830"/>
      <c r="NA30" s="830"/>
      <c r="NB30" s="830"/>
      <c r="NC30" s="830"/>
      <c r="ND30" s="830"/>
      <c r="NE30" s="830"/>
      <c r="NF30" s="830"/>
      <c r="NG30" s="830"/>
      <c r="NH30" s="830"/>
      <c r="NI30" s="830"/>
      <c r="NJ30" s="830"/>
      <c r="NK30" s="830"/>
      <c r="NL30" s="830"/>
      <c r="NM30" s="830"/>
      <c r="NN30" s="830"/>
      <c r="NO30" s="830"/>
      <c r="NP30" s="830"/>
      <c r="NQ30" s="830"/>
      <c r="NR30" s="830"/>
      <c r="NS30" s="830"/>
      <c r="NT30" s="830"/>
      <c r="NU30" s="830"/>
      <c r="NV30" s="830"/>
      <c r="NW30" s="830"/>
      <c r="NX30" s="830"/>
      <c r="NY30" s="830"/>
      <c r="NZ30" s="830"/>
      <c r="OA30" s="830"/>
      <c r="OB30" s="830"/>
      <c r="OC30" s="830"/>
      <c r="OD30" s="830"/>
      <c r="OE30" s="830"/>
      <c r="OF30" s="830"/>
      <c r="OG30" s="830"/>
      <c r="OH30" s="830"/>
      <c r="OI30" s="830"/>
      <c r="OJ30" s="830"/>
      <c r="OK30" s="830"/>
      <c r="OL30" s="830"/>
      <c r="OM30" s="830"/>
      <c r="ON30" s="830"/>
      <c r="OO30" s="830"/>
      <c r="OP30" s="830"/>
      <c r="OQ30" s="830"/>
      <c r="OR30" s="830"/>
      <c r="OS30" s="830"/>
      <c r="OT30" s="830"/>
      <c r="OU30" s="830"/>
      <c r="OV30" s="830"/>
      <c r="OW30" s="830"/>
      <c r="OX30" s="830"/>
      <c r="OY30" s="830"/>
      <c r="OZ30" s="830"/>
      <c r="PA30" s="830"/>
      <c r="PB30" s="830"/>
      <c r="PC30" s="830"/>
      <c r="PD30" s="830"/>
      <c r="PE30" s="830"/>
      <c r="PF30" s="830"/>
      <c r="PG30" s="830"/>
      <c r="PH30" s="830"/>
      <c r="PI30" s="830"/>
      <c r="PJ30" s="830"/>
      <c r="PK30" s="830"/>
      <c r="PL30" s="830"/>
      <c r="PM30" s="830"/>
      <c r="PN30" s="830"/>
      <c r="PO30" s="830"/>
      <c r="PP30" s="830"/>
      <c r="PQ30" s="830"/>
      <c r="PR30" s="830"/>
      <c r="PS30" s="830"/>
      <c r="PT30" s="830"/>
      <c r="PU30" s="830"/>
      <c r="PV30" s="830"/>
      <c r="PW30" s="830"/>
      <c r="PX30" s="830"/>
      <c r="PY30" s="830"/>
      <c r="PZ30" s="830"/>
      <c r="QA30" s="830"/>
      <c r="QB30" s="830"/>
      <c r="QC30" s="830"/>
      <c r="QD30" s="830"/>
      <c r="QE30" s="830"/>
      <c r="QF30" s="830"/>
      <c r="QG30" s="830"/>
      <c r="QH30" s="830"/>
      <c r="QI30" s="830"/>
      <c r="QJ30" s="830"/>
      <c r="QK30" s="830"/>
      <c r="QL30" s="830"/>
      <c r="QM30" s="830"/>
      <c r="QN30" s="830"/>
      <c r="QO30" s="830"/>
      <c r="QP30" s="830"/>
      <c r="QQ30" s="830"/>
      <c r="QR30" s="830"/>
      <c r="QS30" s="830"/>
      <c r="QT30" s="830"/>
      <c r="QU30" s="830"/>
      <c r="QV30" s="830"/>
      <c r="QW30" s="830"/>
      <c r="QX30" s="830"/>
      <c r="QY30" s="830"/>
      <c r="QZ30" s="830"/>
      <c r="RA30" s="830"/>
      <c r="RB30" s="830"/>
      <c r="RC30" s="830"/>
      <c r="RD30" s="830"/>
      <c r="RE30" s="830"/>
      <c r="RF30" s="830"/>
      <c r="RG30" s="830"/>
      <c r="RH30" s="830"/>
      <c r="RI30" s="830"/>
      <c r="RJ30" s="830"/>
      <c r="RK30" s="830"/>
      <c r="RL30" s="830"/>
      <c r="RM30" s="830"/>
      <c r="RN30" s="830"/>
      <c r="RO30" s="830"/>
      <c r="RP30" s="830"/>
      <c r="RQ30" s="830"/>
      <c r="RR30" s="830"/>
      <c r="RS30" s="830"/>
      <c r="RT30" s="830"/>
      <c r="RU30" s="830"/>
      <c r="RV30" s="830"/>
      <c r="RW30" s="830"/>
      <c r="RX30" s="830"/>
      <c r="RY30" s="830"/>
      <c r="RZ30" s="830"/>
      <c r="SA30" s="830"/>
      <c r="SB30" s="830"/>
      <c r="SC30" s="830"/>
      <c r="SD30" s="830"/>
      <c r="SE30" s="830"/>
      <c r="SF30" s="830"/>
      <c r="SG30" s="830"/>
      <c r="SH30" s="830"/>
      <c r="SI30" s="830"/>
      <c r="SJ30" s="830"/>
      <c r="SK30" s="830"/>
      <c r="SL30" s="830"/>
      <c r="SM30" s="830"/>
      <c r="SN30" s="830"/>
      <c r="SO30" s="830"/>
      <c r="SP30" s="830"/>
      <c r="SQ30" s="830"/>
      <c r="SR30" s="830"/>
      <c r="SS30" s="830"/>
      <c r="ST30" s="830"/>
      <c r="SU30" s="830"/>
      <c r="SV30" s="830"/>
      <c r="SW30" s="830"/>
      <c r="SX30" s="830"/>
      <c r="SY30" s="830"/>
      <c r="SZ30" s="830"/>
      <c r="TA30" s="830"/>
      <c r="TB30" s="830"/>
      <c r="TC30" s="830"/>
      <c r="TD30" s="830"/>
      <c r="TE30" s="830"/>
      <c r="TF30" s="830"/>
      <c r="TG30" s="830"/>
      <c r="TH30" s="830"/>
      <c r="TI30" s="830"/>
      <c r="TJ30" s="830"/>
      <c r="TK30" s="830"/>
      <c r="TL30" s="830"/>
      <c r="TM30" s="830"/>
      <c r="TN30" s="830"/>
      <c r="TO30" s="830"/>
      <c r="TP30" s="830"/>
      <c r="TQ30" s="830"/>
      <c r="TR30" s="830"/>
      <c r="TS30" s="830"/>
      <c r="TT30" s="830"/>
      <c r="TU30" s="830"/>
      <c r="TV30" s="830"/>
      <c r="TW30" s="830"/>
      <c r="TX30" s="830"/>
      <c r="TY30" s="830"/>
      <c r="TZ30" s="830"/>
      <c r="UA30" s="830"/>
      <c r="UB30" s="830"/>
      <c r="UC30" s="830"/>
      <c r="UD30" s="830"/>
      <c r="UE30" s="830"/>
      <c r="UF30" s="830"/>
      <c r="UG30" s="830"/>
      <c r="UH30" s="830"/>
      <c r="UI30" s="830"/>
      <c r="UJ30" s="830"/>
      <c r="UK30" s="830"/>
      <c r="UL30" s="830"/>
      <c r="UM30" s="830"/>
      <c r="UN30" s="830"/>
      <c r="UO30" s="830"/>
      <c r="UP30" s="830"/>
      <c r="UQ30" s="830"/>
      <c r="UR30" s="830"/>
      <c r="US30" s="830"/>
      <c r="UT30" s="830"/>
      <c r="UU30" s="830"/>
      <c r="UV30" s="830"/>
      <c r="UW30" s="830"/>
      <c r="UX30" s="830"/>
      <c r="UY30" s="830"/>
      <c r="UZ30" s="830"/>
      <c r="VA30" s="830"/>
      <c r="VB30" s="830"/>
      <c r="VC30" s="830"/>
      <c r="VD30" s="830"/>
      <c r="VE30" s="830"/>
      <c r="VF30" s="830"/>
      <c r="VG30" s="830"/>
      <c r="VH30" s="830"/>
      <c r="VI30" s="830"/>
      <c r="VJ30" s="830"/>
      <c r="VK30" s="830"/>
      <c r="VL30" s="830"/>
      <c r="VM30" s="830"/>
      <c r="VN30" s="830"/>
      <c r="VO30" s="830"/>
      <c r="VP30" s="830"/>
      <c r="VQ30" s="830"/>
      <c r="VR30" s="830"/>
      <c r="VS30" s="830"/>
      <c r="VT30" s="830"/>
      <c r="VU30" s="830"/>
      <c r="VV30" s="830"/>
      <c r="VW30" s="830"/>
      <c r="VX30" s="830"/>
      <c r="VY30" s="830"/>
      <c r="VZ30" s="830"/>
      <c r="WA30" s="830"/>
      <c r="WB30" s="830"/>
      <c r="WC30" s="830"/>
      <c r="WD30" s="830"/>
      <c r="WE30" s="830"/>
      <c r="WF30" s="830"/>
      <c r="WG30" s="830"/>
      <c r="WH30" s="830"/>
      <c r="WI30" s="830"/>
      <c r="WJ30" s="830"/>
      <c r="WK30" s="830"/>
      <c r="WL30" s="830"/>
      <c r="WM30" s="830"/>
      <c r="WN30" s="830"/>
      <c r="WO30" s="830"/>
      <c r="WP30" s="830"/>
      <c r="WQ30" s="830"/>
      <c r="WR30" s="830"/>
      <c r="WS30" s="830"/>
      <c r="WT30" s="830"/>
      <c r="WU30" s="830"/>
      <c r="WV30" s="830"/>
      <c r="WW30" s="830"/>
      <c r="WX30" s="830"/>
      <c r="WY30" s="830"/>
      <c r="WZ30" s="830"/>
      <c r="XA30" s="830"/>
      <c r="XB30" s="830"/>
      <c r="XC30" s="830"/>
      <c r="XD30" s="830"/>
      <c r="XE30" s="830"/>
      <c r="XF30" s="830"/>
      <c r="XG30" s="830"/>
      <c r="XH30" s="830"/>
      <c r="XI30" s="830"/>
      <c r="XJ30" s="830"/>
      <c r="XK30" s="830"/>
      <c r="XL30" s="830"/>
      <c r="XM30" s="830"/>
      <c r="XN30" s="830"/>
      <c r="XO30" s="830"/>
      <c r="XP30" s="830"/>
      <c r="XQ30" s="830"/>
      <c r="XR30" s="830"/>
      <c r="XS30" s="830"/>
      <c r="XT30" s="830"/>
      <c r="XU30" s="830"/>
      <c r="XV30" s="830"/>
      <c r="XW30" s="830"/>
      <c r="XX30" s="830"/>
      <c r="XY30" s="830"/>
      <c r="XZ30" s="830"/>
      <c r="YA30" s="830"/>
      <c r="YB30" s="830"/>
      <c r="YC30" s="830"/>
      <c r="YD30" s="830"/>
      <c r="YE30" s="830"/>
      <c r="YF30" s="830"/>
      <c r="YG30" s="830"/>
      <c r="YH30" s="830"/>
      <c r="YI30" s="830"/>
      <c r="YJ30" s="830"/>
      <c r="YK30" s="830"/>
      <c r="YL30" s="830"/>
      <c r="YM30" s="830"/>
      <c r="YN30" s="830"/>
      <c r="YO30" s="830"/>
      <c r="YP30" s="830"/>
      <c r="YQ30" s="830"/>
      <c r="YR30" s="830"/>
      <c r="YS30" s="830"/>
      <c r="YT30" s="830"/>
      <c r="YU30" s="830"/>
      <c r="YV30" s="830"/>
      <c r="YW30" s="830"/>
      <c r="YX30" s="830"/>
      <c r="YY30" s="830"/>
      <c r="YZ30" s="830"/>
      <c r="ZA30" s="830"/>
      <c r="ZB30" s="830"/>
      <c r="ZC30" s="830"/>
      <c r="ZD30" s="830"/>
      <c r="ZE30" s="830"/>
      <c r="ZF30" s="830"/>
      <c r="ZG30" s="830"/>
      <c r="ZH30" s="830"/>
      <c r="ZI30" s="830"/>
      <c r="ZJ30" s="830"/>
      <c r="ZK30" s="830"/>
      <c r="ZL30" s="830"/>
      <c r="ZM30" s="830"/>
      <c r="ZN30" s="830"/>
      <c r="ZO30" s="830"/>
      <c r="ZP30" s="830"/>
      <c r="ZQ30" s="830"/>
      <c r="ZR30" s="830"/>
      <c r="ZS30" s="830"/>
      <c r="ZT30" s="830"/>
      <c r="ZU30" s="830"/>
      <c r="ZV30" s="830"/>
      <c r="ZW30" s="830"/>
      <c r="ZX30" s="830"/>
      <c r="ZY30" s="830"/>
      <c r="ZZ30" s="830"/>
      <c r="AAA30" s="830"/>
      <c r="AAB30" s="830"/>
      <c r="AAC30" s="830"/>
      <c r="AAD30" s="830"/>
      <c r="AAE30" s="830"/>
      <c r="AAF30" s="830"/>
      <c r="AAG30" s="830"/>
      <c r="AAH30" s="830"/>
      <c r="AAI30" s="830"/>
      <c r="AAJ30" s="830"/>
      <c r="AAK30" s="830"/>
      <c r="AAL30" s="830"/>
      <c r="AAM30" s="830"/>
      <c r="AAN30" s="830"/>
      <c r="AAO30" s="830"/>
      <c r="AAP30" s="830"/>
      <c r="AAQ30" s="830"/>
      <c r="AAR30" s="830"/>
      <c r="AAS30" s="830"/>
      <c r="AAT30" s="830"/>
      <c r="AAU30" s="830"/>
      <c r="AAV30" s="830"/>
      <c r="AAW30" s="830"/>
      <c r="AAX30" s="830"/>
      <c r="AAY30" s="830"/>
      <c r="AAZ30" s="830"/>
      <c r="ABA30" s="830"/>
      <c r="ABB30" s="830"/>
      <c r="ABC30" s="830"/>
      <c r="ABD30" s="830"/>
      <c r="ABE30" s="830"/>
      <c r="ABF30" s="830"/>
      <c r="ABG30" s="830"/>
      <c r="ABH30" s="830"/>
      <c r="ABI30" s="830"/>
      <c r="ABJ30" s="830"/>
      <c r="ABK30" s="830"/>
      <c r="ABL30" s="830"/>
      <c r="ABM30" s="830"/>
      <c r="ABN30" s="830"/>
      <c r="ABO30" s="830"/>
      <c r="ABP30" s="830"/>
      <c r="ABQ30" s="830"/>
      <c r="ABR30" s="830"/>
      <c r="ABS30" s="830"/>
      <c r="ABT30" s="830"/>
      <c r="ABU30" s="830"/>
      <c r="ABV30" s="830"/>
      <c r="ABW30" s="830"/>
      <c r="ABX30" s="830"/>
      <c r="ABY30" s="830"/>
      <c r="ABZ30" s="830"/>
      <c r="ACA30" s="830"/>
      <c r="ACB30" s="830"/>
      <c r="ACC30" s="830"/>
      <c r="ACD30" s="830"/>
      <c r="ACE30" s="830"/>
      <c r="ACF30" s="830"/>
      <c r="ACG30" s="830"/>
      <c r="ACH30" s="830"/>
      <c r="ACI30" s="830"/>
      <c r="ACJ30" s="830"/>
      <c r="ACK30" s="830"/>
      <c r="ACL30" s="830"/>
      <c r="ACM30" s="830"/>
      <c r="ACN30" s="830"/>
      <c r="ACO30" s="830"/>
      <c r="ACP30" s="830"/>
      <c r="ACQ30" s="830"/>
      <c r="ACR30" s="830"/>
      <c r="ACS30" s="830"/>
      <c r="ACT30" s="830"/>
      <c r="ACU30" s="830"/>
      <c r="ACV30" s="830"/>
      <c r="ACW30" s="830"/>
      <c r="ACX30" s="830"/>
      <c r="ACY30" s="830"/>
      <c r="ACZ30" s="830"/>
      <c r="ADA30" s="830"/>
      <c r="ADB30" s="830"/>
      <c r="ADC30" s="830"/>
      <c r="ADD30" s="830"/>
      <c r="ADE30" s="830"/>
      <c r="ADF30" s="830"/>
      <c r="ADG30" s="830"/>
      <c r="ADH30" s="830"/>
      <c r="ADI30" s="830"/>
      <c r="ADJ30" s="830"/>
      <c r="ADK30" s="830"/>
      <c r="ADL30" s="830"/>
      <c r="ADM30" s="830"/>
      <c r="ADN30" s="830"/>
      <c r="ADO30" s="830"/>
      <c r="ADP30" s="830"/>
      <c r="ADQ30" s="830"/>
      <c r="ADR30" s="830"/>
      <c r="ADS30" s="830"/>
      <c r="ADT30" s="830"/>
      <c r="ADU30" s="830"/>
      <c r="ADV30" s="830"/>
      <c r="ADW30" s="830"/>
      <c r="ADX30" s="830"/>
      <c r="ADY30" s="830"/>
      <c r="ADZ30" s="830"/>
      <c r="AEA30" s="830"/>
      <c r="AEB30" s="830"/>
      <c r="AEC30" s="830"/>
      <c r="AED30" s="830"/>
      <c r="AEE30" s="830"/>
      <c r="AEF30" s="830"/>
      <c r="AEG30" s="830"/>
      <c r="AEH30" s="830"/>
      <c r="AEI30" s="830"/>
      <c r="AEJ30" s="830"/>
      <c r="AEK30" s="830"/>
      <c r="AEL30" s="830"/>
      <c r="AEM30" s="830"/>
      <c r="AEN30" s="830"/>
      <c r="AEO30" s="830"/>
      <c r="AEP30" s="830"/>
      <c r="AEQ30" s="830"/>
      <c r="AER30" s="830"/>
      <c r="AES30" s="830"/>
      <c r="AET30" s="830"/>
      <c r="AEU30" s="830"/>
      <c r="AEV30" s="830"/>
      <c r="AEW30" s="830"/>
      <c r="AEX30" s="830"/>
      <c r="AEY30" s="830"/>
      <c r="AEZ30" s="830"/>
      <c r="AFA30" s="830"/>
      <c r="AFB30" s="830"/>
      <c r="AFC30" s="830"/>
      <c r="AFD30" s="830"/>
      <c r="AFE30" s="830"/>
      <c r="AFF30" s="830"/>
      <c r="AFG30" s="830"/>
      <c r="AFH30" s="830"/>
      <c r="AFI30" s="830"/>
      <c r="AFJ30" s="830"/>
      <c r="AFK30" s="830"/>
      <c r="AFL30" s="830"/>
      <c r="AFM30" s="830"/>
      <c r="AFN30" s="830"/>
      <c r="AFO30" s="830"/>
      <c r="AFP30" s="830"/>
      <c r="AFQ30" s="830"/>
      <c r="AFR30" s="830"/>
      <c r="AFS30" s="830"/>
      <c r="AFT30" s="830"/>
      <c r="AFU30" s="830"/>
      <c r="AFV30" s="830"/>
      <c r="AFW30" s="830"/>
      <c r="AFX30" s="830"/>
      <c r="AFY30" s="830"/>
      <c r="AFZ30" s="830"/>
      <c r="AGA30" s="830"/>
      <c r="AGB30" s="830"/>
      <c r="AGC30" s="830"/>
      <c r="AGD30" s="830"/>
      <c r="AGE30" s="830"/>
      <c r="AGF30" s="830"/>
      <c r="AGG30" s="830"/>
      <c r="AGH30" s="830"/>
      <c r="AGI30" s="830"/>
      <c r="AGJ30" s="830"/>
      <c r="AGK30" s="830"/>
      <c r="AGL30" s="830"/>
      <c r="AGM30" s="830"/>
      <c r="AGN30" s="830"/>
      <c r="AGO30" s="830"/>
      <c r="AGP30" s="830"/>
      <c r="AGQ30" s="830"/>
      <c r="AGR30" s="830"/>
      <c r="AGS30" s="830"/>
      <c r="AGT30" s="830"/>
      <c r="AGU30" s="830"/>
      <c r="AGV30" s="830"/>
      <c r="AGW30" s="830"/>
      <c r="AGX30" s="830"/>
      <c r="AGY30" s="830"/>
      <c r="AGZ30" s="830"/>
      <c r="AHA30" s="830"/>
      <c r="AHB30" s="830"/>
      <c r="AHC30" s="830"/>
      <c r="AHD30" s="830"/>
      <c r="AHE30" s="830"/>
      <c r="AHF30" s="830"/>
      <c r="AHG30" s="830"/>
      <c r="AHH30" s="830"/>
      <c r="AHI30" s="830"/>
      <c r="AHJ30" s="830"/>
      <c r="AHK30" s="830"/>
      <c r="AHL30" s="830"/>
      <c r="AHM30" s="830"/>
      <c r="AHN30" s="830"/>
      <c r="AHO30" s="830"/>
      <c r="AHP30" s="830"/>
      <c r="AHQ30" s="830"/>
      <c r="AHR30" s="830"/>
      <c r="AHS30" s="830"/>
      <c r="AHT30" s="830"/>
      <c r="AHU30" s="830"/>
      <c r="AHV30" s="830"/>
      <c r="AHW30" s="830"/>
      <c r="AHX30" s="830"/>
      <c r="AHY30" s="830"/>
      <c r="AHZ30" s="830"/>
      <c r="AIA30" s="830"/>
      <c r="AIB30" s="830"/>
      <c r="AIC30" s="830"/>
      <c r="AID30" s="830"/>
      <c r="AIE30" s="830"/>
      <c r="AIF30" s="830"/>
      <c r="AIG30" s="830"/>
      <c r="AIH30" s="830"/>
      <c r="AII30" s="830"/>
      <c r="AIJ30" s="830"/>
      <c r="AIK30" s="830"/>
      <c r="AIL30" s="830"/>
      <c r="AIM30" s="830"/>
      <c r="AIN30" s="830"/>
      <c r="AIO30" s="830"/>
      <c r="AIP30" s="830"/>
      <c r="AIQ30" s="830"/>
      <c r="AIR30" s="830"/>
      <c r="AIS30" s="830"/>
      <c r="AIT30" s="830"/>
      <c r="AIU30" s="830"/>
      <c r="AIV30" s="830"/>
      <c r="AIW30" s="830"/>
      <c r="AIX30" s="830"/>
      <c r="AIY30" s="830"/>
      <c r="AIZ30" s="830"/>
      <c r="AJA30" s="830"/>
      <c r="AJB30" s="830"/>
      <c r="AJC30" s="830"/>
      <c r="AJD30" s="830"/>
      <c r="AJE30" s="830"/>
      <c r="AJF30" s="830"/>
      <c r="AJG30" s="830"/>
      <c r="AJH30" s="830"/>
      <c r="AJI30" s="830"/>
      <c r="AJJ30" s="830"/>
      <c r="AJK30" s="830"/>
      <c r="AJL30" s="830"/>
      <c r="AJM30" s="830"/>
      <c r="AJN30" s="830"/>
      <c r="AJO30" s="830"/>
      <c r="AJP30" s="830"/>
      <c r="AJQ30" s="830"/>
      <c r="AJR30" s="830"/>
      <c r="AJS30" s="830"/>
      <c r="AJT30" s="830"/>
      <c r="AJU30" s="830"/>
      <c r="AJV30" s="830"/>
      <c r="AJW30" s="830"/>
      <c r="AJX30" s="830"/>
      <c r="AJY30" s="830"/>
      <c r="AJZ30" s="830"/>
      <c r="AKA30" s="830"/>
      <c r="AKB30" s="830"/>
      <c r="AKC30" s="830"/>
      <c r="AKD30" s="830"/>
      <c r="AKE30" s="830"/>
      <c r="AKF30" s="830"/>
      <c r="AKG30" s="830"/>
      <c r="AKH30" s="830"/>
      <c r="AKI30" s="830"/>
      <c r="AKJ30" s="830"/>
      <c r="AKK30" s="830"/>
      <c r="AKL30" s="830"/>
      <c r="AKM30" s="830"/>
      <c r="AKN30" s="830"/>
      <c r="AKO30" s="830"/>
      <c r="AKP30" s="830"/>
      <c r="AKQ30" s="830"/>
      <c r="AKR30" s="830"/>
      <c r="AKS30" s="830"/>
      <c r="AKT30" s="830"/>
      <c r="AKU30" s="830"/>
      <c r="AKV30" s="830"/>
      <c r="AKW30" s="830"/>
      <c r="AKX30" s="830"/>
      <c r="AKY30" s="830"/>
      <c r="AKZ30" s="830"/>
      <c r="ALA30" s="830"/>
      <c r="ALB30" s="830"/>
      <c r="ALC30" s="830"/>
      <c r="ALD30" s="830"/>
      <c r="ALE30" s="830"/>
      <c r="ALF30" s="830"/>
      <c r="ALG30" s="830"/>
      <c r="ALH30" s="830"/>
      <c r="ALI30" s="830"/>
      <c r="ALJ30" s="830"/>
      <c r="ALK30" s="830"/>
      <c r="ALL30" s="830"/>
      <c r="ALM30" s="830"/>
      <c r="ALN30" s="830"/>
      <c r="ALO30" s="830"/>
      <c r="ALP30" s="830"/>
      <c r="ALQ30" s="830"/>
      <c r="ALR30" s="830"/>
      <c r="ALS30" s="830"/>
      <c r="ALT30" s="830"/>
      <c r="ALU30" s="830"/>
      <c r="ALV30" s="830"/>
      <c r="ALW30" s="830"/>
      <c r="ALX30" s="830"/>
      <c r="ALY30" s="830"/>
      <c r="ALZ30" s="830"/>
      <c r="AMA30" s="830"/>
      <c r="AMB30" s="830"/>
      <c r="AMC30" s="830"/>
      <c r="AMD30" s="830"/>
      <c r="AME30" s="830"/>
      <c r="AMF30" s="830"/>
      <c r="AMG30" s="830"/>
      <c r="AMH30" s="830"/>
      <c r="AMI30" s="830"/>
      <c r="AMJ30" s="830"/>
      <c r="AMK30" s="830"/>
      <c r="AML30" s="830"/>
      <c r="AMM30" s="830"/>
      <c r="AMN30" s="830"/>
      <c r="AMO30" s="830"/>
      <c r="AMP30" s="830"/>
      <c r="AMQ30" s="830"/>
      <c r="AMR30" s="830"/>
      <c r="AMS30" s="830"/>
      <c r="AMT30" s="830"/>
      <c r="AMU30" s="830"/>
      <c r="AMV30" s="830"/>
      <c r="AMW30" s="830"/>
      <c r="AMX30" s="830"/>
      <c r="AMY30" s="830"/>
      <c r="AMZ30" s="830"/>
      <c r="ANA30" s="830"/>
      <c r="ANB30" s="830"/>
      <c r="ANC30" s="830"/>
      <c r="AND30" s="830"/>
      <c r="ANE30" s="830"/>
      <c r="ANF30" s="830"/>
      <c r="ANG30" s="830"/>
      <c r="ANH30" s="830"/>
      <c r="ANI30" s="830"/>
      <c r="ANJ30" s="830"/>
      <c r="ANK30" s="830"/>
      <c r="ANL30" s="830"/>
      <c r="ANM30" s="830"/>
      <c r="ANN30" s="830"/>
      <c r="ANO30" s="830"/>
      <c r="ANP30" s="830"/>
      <c r="ANQ30" s="830"/>
      <c r="ANR30" s="830"/>
      <c r="ANS30" s="830"/>
      <c r="ANT30" s="830"/>
      <c r="ANU30" s="830"/>
      <c r="ANV30" s="830"/>
      <c r="ANW30" s="830"/>
      <c r="ANX30" s="830"/>
      <c r="ANY30" s="830"/>
      <c r="ANZ30" s="830"/>
      <c r="AOA30" s="830"/>
      <c r="AOB30" s="830"/>
      <c r="AOC30" s="830"/>
      <c r="AOD30" s="830"/>
      <c r="AOE30" s="830"/>
      <c r="AOF30" s="830"/>
      <c r="AOG30" s="830"/>
      <c r="AOH30" s="830"/>
      <c r="AOI30" s="830"/>
      <c r="AOJ30" s="830"/>
      <c r="AOK30" s="830"/>
      <c r="AOL30" s="830"/>
      <c r="AOM30" s="830"/>
      <c r="AON30" s="830"/>
      <c r="AOO30" s="830"/>
      <c r="AOP30" s="830"/>
      <c r="AOQ30" s="830"/>
      <c r="AOR30" s="830"/>
      <c r="AOS30" s="830"/>
      <c r="AOT30" s="830"/>
      <c r="AOU30" s="830"/>
      <c r="AOV30" s="830"/>
      <c r="AOW30" s="830"/>
      <c r="AOX30" s="830"/>
      <c r="AOY30" s="830"/>
      <c r="AOZ30" s="830"/>
      <c r="APA30" s="830"/>
      <c r="APB30" s="830"/>
      <c r="APC30" s="830"/>
      <c r="APD30" s="830"/>
      <c r="APE30" s="830"/>
      <c r="APF30" s="830"/>
      <c r="APG30" s="830"/>
      <c r="APH30" s="830"/>
      <c r="API30" s="830"/>
      <c r="APJ30" s="830"/>
      <c r="APK30" s="830"/>
      <c r="APL30" s="830"/>
      <c r="APM30" s="830"/>
      <c r="APN30" s="830"/>
      <c r="APO30" s="830"/>
      <c r="APP30" s="830"/>
      <c r="APQ30" s="830"/>
      <c r="APR30" s="830"/>
      <c r="APS30" s="830"/>
      <c r="APT30" s="830"/>
      <c r="APU30" s="830"/>
      <c r="APV30" s="830"/>
      <c r="APW30" s="830"/>
      <c r="APX30" s="830"/>
      <c r="APY30" s="830"/>
      <c r="APZ30" s="830"/>
      <c r="AQA30" s="830"/>
      <c r="AQB30" s="830"/>
      <c r="AQC30" s="830"/>
      <c r="AQD30" s="830"/>
      <c r="AQE30" s="830"/>
      <c r="AQF30" s="830"/>
      <c r="AQG30" s="830"/>
      <c r="AQH30" s="830"/>
      <c r="AQI30" s="830"/>
      <c r="AQJ30" s="830"/>
      <c r="AQK30" s="830"/>
      <c r="AQL30" s="830"/>
      <c r="AQM30" s="830"/>
      <c r="AQN30" s="830"/>
      <c r="AQO30" s="830"/>
      <c r="AQP30" s="830"/>
      <c r="AQQ30" s="830"/>
      <c r="AQR30" s="830"/>
      <c r="AQS30" s="830"/>
      <c r="AQT30" s="830"/>
      <c r="AQU30" s="830"/>
      <c r="AQV30" s="830"/>
      <c r="AQW30" s="830"/>
      <c r="AQX30" s="830"/>
      <c r="AQY30" s="830"/>
      <c r="AQZ30" s="830"/>
      <c r="ARA30" s="830"/>
      <c r="ARB30" s="830"/>
      <c r="ARC30" s="830"/>
      <c r="ARD30" s="830"/>
      <c r="ARE30" s="830"/>
      <c r="ARF30" s="830"/>
      <c r="ARG30" s="830"/>
      <c r="ARH30" s="830"/>
      <c r="ARI30" s="830"/>
      <c r="ARJ30" s="830"/>
      <c r="ARK30" s="830"/>
      <c r="ARL30" s="830"/>
      <c r="ARM30" s="830"/>
      <c r="ARN30" s="830"/>
      <c r="ARO30" s="830"/>
      <c r="ARP30" s="830"/>
      <c r="ARQ30" s="830"/>
      <c r="ARR30" s="830"/>
      <c r="ARS30" s="830"/>
      <c r="ART30" s="830"/>
      <c r="ARU30" s="830"/>
      <c r="ARV30" s="830"/>
      <c r="ARW30" s="830"/>
      <c r="ARX30" s="830"/>
      <c r="ARY30" s="830"/>
      <c r="ARZ30" s="830"/>
      <c r="ASA30" s="830"/>
      <c r="ASB30" s="830"/>
      <c r="ASC30" s="830"/>
      <c r="ASD30" s="830"/>
      <c r="ASE30" s="830"/>
      <c r="ASF30" s="830"/>
      <c r="ASG30" s="830"/>
      <c r="ASH30" s="830"/>
      <c r="ASI30" s="830"/>
      <c r="ASJ30" s="830"/>
      <c r="ASK30" s="830"/>
      <c r="ASL30" s="830"/>
      <c r="ASM30" s="830"/>
      <c r="ASN30" s="830"/>
      <c r="ASO30" s="830"/>
      <c r="ASP30" s="830"/>
      <c r="ASQ30" s="830"/>
      <c r="ASR30" s="830"/>
      <c r="ASS30" s="830"/>
      <c r="AST30" s="830"/>
      <c r="ASU30" s="830"/>
      <c r="ASV30" s="830"/>
      <c r="ASW30" s="830"/>
      <c r="ASX30" s="830"/>
      <c r="ASY30" s="830"/>
      <c r="ASZ30" s="830"/>
      <c r="ATA30" s="830"/>
      <c r="ATB30" s="830"/>
      <c r="ATC30" s="830"/>
      <c r="ATD30" s="830"/>
      <c r="ATE30" s="830"/>
      <c r="ATF30" s="830"/>
      <c r="ATG30" s="830"/>
      <c r="ATH30" s="830"/>
      <c r="ATI30" s="830"/>
      <c r="ATJ30" s="830"/>
      <c r="ATK30" s="830"/>
      <c r="ATL30" s="830"/>
      <c r="ATM30" s="830"/>
      <c r="ATN30" s="830"/>
      <c r="ATO30" s="830"/>
      <c r="ATP30" s="830"/>
      <c r="ATQ30" s="830"/>
      <c r="ATR30" s="830"/>
      <c r="ATS30" s="830"/>
      <c r="ATT30" s="830"/>
      <c r="ATU30" s="830"/>
      <c r="ATV30" s="830"/>
      <c r="ATW30" s="830"/>
      <c r="ATX30" s="830"/>
      <c r="ATY30" s="830"/>
      <c r="ATZ30" s="830"/>
      <c r="AUA30" s="830"/>
      <c r="AUB30" s="830"/>
      <c r="AUC30" s="830"/>
      <c r="AUD30" s="830"/>
      <c r="AUE30" s="830"/>
      <c r="AUF30" s="830"/>
      <c r="AUG30" s="830"/>
      <c r="AUH30" s="830"/>
      <c r="AUI30" s="830"/>
      <c r="AUJ30" s="830"/>
      <c r="AUK30" s="830"/>
      <c r="AUL30" s="830"/>
      <c r="AUM30" s="830"/>
      <c r="AUN30" s="830"/>
      <c r="AUO30" s="830"/>
      <c r="AUP30" s="830"/>
      <c r="AUQ30" s="830"/>
      <c r="AUR30" s="830"/>
      <c r="AUS30" s="830"/>
      <c r="AUT30" s="830"/>
      <c r="AUU30" s="830"/>
      <c r="AUV30" s="830"/>
      <c r="AUW30" s="830"/>
      <c r="AUX30" s="830"/>
      <c r="AUY30" s="830"/>
      <c r="AUZ30" s="830"/>
      <c r="AVA30" s="830"/>
      <c r="AVB30" s="830"/>
      <c r="AVC30" s="830"/>
      <c r="AVD30" s="830"/>
      <c r="AVE30" s="830"/>
      <c r="AVF30" s="830"/>
      <c r="AVG30" s="830"/>
      <c r="AVH30" s="830"/>
      <c r="AVI30" s="830"/>
      <c r="AVJ30" s="830"/>
      <c r="AVK30" s="830"/>
      <c r="AVL30" s="830"/>
      <c r="AVM30" s="830"/>
      <c r="AVN30" s="830"/>
      <c r="AVO30" s="830"/>
      <c r="AVP30" s="830"/>
      <c r="AVQ30" s="830"/>
      <c r="AVR30" s="830"/>
      <c r="AVS30" s="830"/>
      <c r="AVT30" s="830"/>
      <c r="AVU30" s="830"/>
      <c r="AVV30" s="830"/>
      <c r="AVW30" s="830"/>
      <c r="AVX30" s="830"/>
      <c r="AVY30" s="830"/>
      <c r="AVZ30" s="830"/>
      <c r="AWA30" s="830"/>
      <c r="AWB30" s="830"/>
      <c r="AWC30" s="830"/>
      <c r="AWD30" s="830"/>
      <c r="AWE30" s="830"/>
      <c r="AWF30" s="830"/>
      <c r="AWG30" s="830"/>
      <c r="AWH30" s="830"/>
      <c r="AWI30" s="830"/>
      <c r="AWJ30" s="830"/>
      <c r="AWK30" s="830"/>
      <c r="AWL30" s="830"/>
      <c r="AWM30" s="830"/>
      <c r="AWN30" s="830"/>
      <c r="AWO30" s="830"/>
      <c r="AWP30" s="830"/>
      <c r="AWQ30" s="830"/>
      <c r="AWR30" s="830"/>
      <c r="AWS30" s="830"/>
      <c r="AWT30" s="830"/>
      <c r="AWU30" s="830"/>
      <c r="AWV30" s="830"/>
      <c r="AWW30" s="830"/>
      <c r="AWX30" s="830"/>
      <c r="AWY30" s="830"/>
      <c r="AWZ30" s="830"/>
      <c r="AXA30" s="830"/>
      <c r="AXB30" s="830"/>
      <c r="AXC30" s="830"/>
      <c r="AXD30" s="830"/>
      <c r="AXE30" s="830"/>
      <c r="AXF30" s="830"/>
      <c r="AXG30" s="830"/>
      <c r="AXH30" s="830"/>
      <c r="AXI30" s="830"/>
      <c r="AXJ30" s="830"/>
      <c r="AXK30" s="830"/>
      <c r="AXL30" s="830"/>
      <c r="AXM30" s="830"/>
      <c r="AXN30" s="830"/>
      <c r="AXO30" s="830"/>
      <c r="AXP30" s="830"/>
      <c r="AXQ30" s="830"/>
      <c r="AXR30" s="830"/>
      <c r="AXS30" s="830"/>
      <c r="AXT30" s="830"/>
      <c r="AXU30" s="830"/>
      <c r="AXV30" s="830"/>
      <c r="AXW30" s="830"/>
      <c r="AXX30" s="830"/>
      <c r="AXY30" s="830"/>
      <c r="AXZ30" s="830"/>
      <c r="AYA30" s="830"/>
      <c r="AYB30" s="830"/>
      <c r="AYC30" s="830"/>
      <c r="AYD30" s="830"/>
      <c r="AYE30" s="830"/>
      <c r="AYF30" s="830"/>
      <c r="AYG30" s="830"/>
      <c r="AYH30" s="830"/>
      <c r="AYI30" s="830"/>
      <c r="AYJ30" s="830"/>
      <c r="AYK30" s="830"/>
      <c r="AYL30" s="830"/>
      <c r="AYM30" s="830"/>
      <c r="AYN30" s="830"/>
      <c r="AYO30" s="830"/>
      <c r="AYP30" s="830"/>
      <c r="AYQ30" s="830"/>
      <c r="AYR30" s="830"/>
      <c r="AYS30" s="830"/>
      <c r="AYT30" s="830"/>
      <c r="AYU30" s="830"/>
      <c r="AYV30" s="830"/>
      <c r="AYW30" s="830"/>
      <c r="AYX30" s="830"/>
      <c r="AYY30" s="830"/>
      <c r="AYZ30" s="830"/>
      <c r="AZA30" s="830"/>
      <c r="AZB30" s="830"/>
      <c r="AZC30" s="830"/>
      <c r="AZD30" s="830"/>
      <c r="AZE30" s="830"/>
      <c r="AZF30" s="830"/>
      <c r="AZG30" s="830"/>
      <c r="AZH30" s="830"/>
      <c r="AZI30" s="830"/>
      <c r="AZJ30" s="830"/>
      <c r="AZK30" s="830"/>
      <c r="AZL30" s="830"/>
      <c r="AZM30" s="830"/>
      <c r="AZN30" s="830"/>
      <c r="AZO30" s="830"/>
      <c r="AZP30" s="830"/>
      <c r="AZQ30" s="830"/>
      <c r="AZR30" s="830"/>
      <c r="AZS30" s="830"/>
      <c r="AZT30" s="830"/>
      <c r="AZU30" s="830"/>
      <c r="AZV30" s="830"/>
      <c r="AZW30" s="830"/>
      <c r="AZX30" s="830"/>
      <c r="AZY30" s="830"/>
      <c r="AZZ30" s="830"/>
      <c r="BAA30" s="830"/>
      <c r="BAB30" s="830"/>
      <c r="BAC30" s="830"/>
      <c r="BAD30" s="830"/>
      <c r="BAE30" s="830"/>
      <c r="BAF30" s="830"/>
      <c r="BAG30" s="830"/>
      <c r="BAH30" s="830"/>
      <c r="BAI30" s="830"/>
      <c r="BAJ30" s="830"/>
      <c r="BAK30" s="830"/>
      <c r="BAL30" s="830"/>
      <c r="BAM30" s="830"/>
      <c r="BAN30" s="830"/>
      <c r="BAO30" s="830"/>
      <c r="BAP30" s="830"/>
      <c r="BAQ30" s="830"/>
      <c r="BAR30" s="830"/>
      <c r="BAS30" s="830"/>
      <c r="BAT30" s="830"/>
      <c r="BAU30" s="830"/>
      <c r="BAV30" s="830"/>
      <c r="BAW30" s="830"/>
      <c r="BAX30" s="830"/>
      <c r="BAY30" s="830"/>
      <c r="BAZ30" s="830"/>
      <c r="BBA30" s="830"/>
      <c r="BBB30" s="830"/>
      <c r="BBC30" s="830"/>
      <c r="BBD30" s="830"/>
      <c r="BBE30" s="830"/>
      <c r="BBF30" s="830"/>
      <c r="BBG30" s="830"/>
      <c r="BBH30" s="830"/>
      <c r="BBI30" s="830"/>
      <c r="BBJ30" s="830"/>
      <c r="BBK30" s="830"/>
      <c r="BBL30" s="830"/>
      <c r="BBM30" s="830"/>
      <c r="BBN30" s="830"/>
      <c r="BBO30" s="830"/>
      <c r="BBP30" s="830"/>
      <c r="BBQ30" s="830"/>
      <c r="BBR30" s="830"/>
      <c r="BBS30" s="830"/>
      <c r="BBT30" s="830"/>
      <c r="BBU30" s="830"/>
      <c r="BBV30" s="830"/>
      <c r="BBW30" s="830"/>
      <c r="BBX30" s="830"/>
      <c r="BBY30" s="830"/>
      <c r="BBZ30" s="830"/>
      <c r="BCA30" s="830"/>
      <c r="BCB30" s="830"/>
      <c r="BCC30" s="830"/>
      <c r="BCD30" s="830"/>
      <c r="BCE30" s="830"/>
      <c r="BCF30" s="830"/>
      <c r="BCG30" s="830"/>
      <c r="BCH30" s="830"/>
      <c r="BCI30" s="830"/>
      <c r="BCJ30" s="830"/>
      <c r="BCK30" s="830"/>
      <c r="BCL30" s="830"/>
      <c r="BCM30" s="830"/>
      <c r="BCN30" s="830"/>
      <c r="BCO30" s="830"/>
      <c r="BCP30" s="830"/>
      <c r="BCQ30" s="830"/>
      <c r="BCR30" s="830"/>
      <c r="BCS30" s="830"/>
      <c r="BCT30" s="830"/>
      <c r="BCU30" s="830"/>
      <c r="BCV30" s="830"/>
      <c r="BCW30" s="830"/>
      <c r="BCX30" s="830"/>
      <c r="BCY30" s="830"/>
      <c r="BCZ30" s="830"/>
      <c r="BDA30" s="830"/>
      <c r="BDB30" s="830"/>
      <c r="BDC30" s="830"/>
      <c r="BDD30" s="830"/>
      <c r="BDE30" s="830"/>
      <c r="BDF30" s="830"/>
      <c r="BDG30" s="830"/>
      <c r="BDH30" s="830"/>
      <c r="BDI30" s="830"/>
      <c r="BDJ30" s="830"/>
      <c r="BDK30" s="830"/>
      <c r="BDL30" s="830"/>
      <c r="BDM30" s="830"/>
      <c r="BDN30" s="830"/>
      <c r="BDO30" s="830"/>
      <c r="BDP30" s="830"/>
      <c r="BDQ30" s="830"/>
      <c r="BDR30" s="830"/>
      <c r="BDS30" s="830"/>
      <c r="BDT30" s="830"/>
      <c r="BDU30" s="830"/>
      <c r="BDV30" s="830"/>
      <c r="BDW30" s="830"/>
      <c r="BDX30" s="830"/>
      <c r="BDY30" s="830"/>
      <c r="BDZ30" s="830"/>
      <c r="BEA30" s="830"/>
      <c r="BEB30" s="830"/>
      <c r="BEC30" s="830"/>
      <c r="BED30" s="830"/>
      <c r="BEE30" s="830"/>
      <c r="BEF30" s="830"/>
      <c r="BEG30" s="830"/>
      <c r="BEH30" s="830"/>
      <c r="BEI30" s="830"/>
      <c r="BEJ30" s="830"/>
      <c r="BEK30" s="830"/>
      <c r="BEL30" s="830"/>
      <c r="BEM30" s="830"/>
      <c r="BEN30" s="830"/>
      <c r="BEO30" s="830"/>
      <c r="BEP30" s="830"/>
      <c r="BEQ30" s="830"/>
      <c r="BER30" s="830"/>
      <c r="BES30" s="830"/>
      <c r="BET30" s="830"/>
      <c r="BEU30" s="830"/>
      <c r="BEV30" s="830"/>
      <c r="BEW30" s="830"/>
      <c r="BEX30" s="830"/>
      <c r="BEY30" s="830"/>
      <c r="BEZ30" s="830"/>
      <c r="BFA30" s="830"/>
      <c r="BFB30" s="830"/>
      <c r="BFC30" s="830"/>
      <c r="BFD30" s="830"/>
      <c r="BFE30" s="830"/>
      <c r="BFF30" s="830"/>
      <c r="BFG30" s="830"/>
      <c r="BFH30" s="830"/>
      <c r="BFI30" s="830"/>
      <c r="BFJ30" s="830"/>
      <c r="BFK30" s="830"/>
      <c r="BFL30" s="830"/>
      <c r="BFM30" s="830"/>
      <c r="BFN30" s="830"/>
      <c r="BFO30" s="830"/>
      <c r="BFP30" s="830"/>
      <c r="BFQ30" s="830"/>
      <c r="BFR30" s="830"/>
      <c r="BFS30" s="830"/>
      <c r="BFT30" s="830"/>
      <c r="BFU30" s="830"/>
      <c r="BFV30" s="830"/>
      <c r="BFW30" s="830"/>
      <c r="BFX30" s="830"/>
      <c r="BFY30" s="830"/>
      <c r="BFZ30" s="830"/>
      <c r="BGA30" s="830"/>
      <c r="BGB30" s="830"/>
      <c r="BGC30" s="830"/>
      <c r="BGD30" s="830"/>
      <c r="BGE30" s="830"/>
      <c r="BGF30" s="830"/>
      <c r="BGG30" s="830"/>
      <c r="BGH30" s="830"/>
      <c r="BGI30" s="830"/>
      <c r="BGJ30" s="830"/>
      <c r="BGK30" s="830"/>
      <c r="BGL30" s="830"/>
      <c r="BGM30" s="830"/>
      <c r="BGN30" s="830"/>
      <c r="BGO30" s="830"/>
      <c r="BGP30" s="830"/>
      <c r="BGQ30" s="830"/>
      <c r="BGR30" s="830"/>
      <c r="BGS30" s="830"/>
      <c r="BGT30" s="830"/>
      <c r="BGU30" s="830"/>
      <c r="BGV30" s="830"/>
      <c r="BGW30" s="830"/>
      <c r="BGX30" s="830"/>
      <c r="BGY30" s="830"/>
      <c r="BGZ30" s="830"/>
      <c r="BHA30" s="830"/>
      <c r="BHB30" s="830"/>
      <c r="BHC30" s="830"/>
      <c r="BHD30" s="830"/>
      <c r="BHE30" s="830"/>
      <c r="BHF30" s="830"/>
      <c r="BHG30" s="830"/>
      <c r="BHH30" s="830"/>
      <c r="BHI30" s="830"/>
      <c r="BHJ30" s="830"/>
      <c r="BHK30" s="830"/>
      <c r="BHL30" s="830"/>
      <c r="BHM30" s="830"/>
      <c r="BHN30" s="830"/>
      <c r="BHO30" s="830"/>
      <c r="BHP30" s="830"/>
      <c r="BHQ30" s="830"/>
      <c r="BHR30" s="830"/>
      <c r="BHS30" s="830"/>
      <c r="BHT30" s="830"/>
      <c r="BHU30" s="830"/>
      <c r="BHV30" s="830"/>
      <c r="BHW30" s="830"/>
      <c r="BHX30" s="830"/>
      <c r="BHY30" s="830"/>
      <c r="BHZ30" s="830"/>
      <c r="BIA30" s="830"/>
      <c r="BIB30" s="830"/>
      <c r="BIC30" s="830"/>
      <c r="BID30" s="830"/>
      <c r="BIE30" s="830"/>
      <c r="BIF30" s="830"/>
      <c r="BIG30" s="830"/>
      <c r="BIH30" s="830"/>
      <c r="BII30" s="830"/>
      <c r="BIJ30" s="830"/>
      <c r="BIK30" s="830"/>
      <c r="BIL30" s="830"/>
      <c r="BIM30" s="830"/>
      <c r="BIN30" s="830"/>
      <c r="BIO30" s="830"/>
      <c r="BIP30" s="830"/>
      <c r="BIQ30" s="830"/>
      <c r="BIR30" s="830"/>
      <c r="BIS30" s="830"/>
      <c r="BIT30" s="830"/>
      <c r="BIU30" s="830"/>
      <c r="BIV30" s="830"/>
      <c r="BIW30" s="830"/>
      <c r="BIX30" s="830"/>
      <c r="BIY30" s="830"/>
      <c r="BIZ30" s="830"/>
      <c r="BJA30" s="830"/>
      <c r="BJB30" s="830"/>
      <c r="BJC30" s="830"/>
      <c r="BJD30" s="830"/>
      <c r="BJE30" s="830"/>
      <c r="BJF30" s="830"/>
      <c r="BJG30" s="830"/>
      <c r="BJH30" s="830"/>
      <c r="BJI30" s="830"/>
      <c r="BJJ30" s="830"/>
      <c r="BJK30" s="830"/>
      <c r="BJL30" s="830"/>
      <c r="BJM30" s="830"/>
      <c r="BJN30" s="830"/>
      <c r="BJO30" s="830"/>
      <c r="BJP30" s="830"/>
      <c r="BJQ30" s="830"/>
      <c r="BJR30" s="830"/>
      <c r="BJS30" s="830"/>
      <c r="BJT30" s="830"/>
      <c r="BJU30" s="830"/>
      <c r="BJV30" s="830"/>
      <c r="BJW30" s="830"/>
      <c r="BJX30" s="830"/>
      <c r="BJY30" s="830"/>
      <c r="BJZ30" s="830"/>
      <c r="BKA30" s="830"/>
      <c r="BKB30" s="830"/>
      <c r="BKC30" s="830"/>
      <c r="BKD30" s="830"/>
      <c r="BKE30" s="830"/>
      <c r="BKF30" s="830"/>
      <c r="BKG30" s="830"/>
      <c r="BKH30" s="830"/>
      <c r="BKI30" s="830"/>
      <c r="BKJ30" s="830"/>
      <c r="BKK30" s="830"/>
      <c r="BKL30" s="830"/>
      <c r="BKM30" s="830"/>
      <c r="BKN30" s="830"/>
      <c r="BKO30" s="830"/>
      <c r="BKP30" s="830"/>
      <c r="BKQ30" s="830"/>
      <c r="BKR30" s="830"/>
      <c r="BKS30" s="830"/>
      <c r="BKT30" s="830"/>
      <c r="BKU30" s="830"/>
      <c r="BKV30" s="830"/>
      <c r="BKW30" s="830"/>
      <c r="BKX30" s="830"/>
      <c r="BKY30" s="830"/>
      <c r="BKZ30" s="830"/>
      <c r="BLA30" s="830"/>
      <c r="BLB30" s="830"/>
      <c r="BLC30" s="830"/>
      <c r="BLD30" s="830"/>
      <c r="BLE30" s="830"/>
      <c r="BLF30" s="830"/>
      <c r="BLG30" s="830"/>
      <c r="BLH30" s="830"/>
      <c r="BLI30" s="830"/>
      <c r="BLJ30" s="830"/>
      <c r="BLK30" s="830"/>
      <c r="BLL30" s="830"/>
      <c r="BLM30" s="830"/>
      <c r="BLN30" s="830"/>
      <c r="BLO30" s="830"/>
      <c r="BLP30" s="830"/>
      <c r="BLQ30" s="830"/>
      <c r="BLR30" s="830"/>
      <c r="BLS30" s="830"/>
      <c r="BLT30" s="830"/>
      <c r="BLU30" s="830"/>
      <c r="BLV30" s="830"/>
      <c r="BLW30" s="830"/>
      <c r="BLX30" s="830"/>
      <c r="BLY30" s="830"/>
      <c r="BLZ30" s="830"/>
      <c r="BMA30" s="830"/>
      <c r="BMB30" s="830"/>
      <c r="BMC30" s="830"/>
      <c r="BMD30" s="830"/>
      <c r="BME30" s="830"/>
      <c r="BMF30" s="830"/>
      <c r="BMG30" s="830"/>
      <c r="BMH30" s="830"/>
      <c r="BMI30" s="830"/>
      <c r="BMJ30" s="830"/>
      <c r="BMK30" s="830"/>
      <c r="BML30" s="830"/>
      <c r="BMM30" s="830"/>
      <c r="BMN30" s="830"/>
      <c r="BMO30" s="830"/>
      <c r="BMP30" s="830"/>
      <c r="BMQ30" s="830"/>
      <c r="BMR30" s="830"/>
      <c r="BMS30" s="830"/>
      <c r="BMT30" s="830"/>
      <c r="BMU30" s="830"/>
      <c r="BMV30" s="830"/>
      <c r="BMW30" s="830"/>
      <c r="BMX30" s="830"/>
      <c r="BMY30" s="830"/>
      <c r="BMZ30" s="830"/>
      <c r="BNA30" s="830"/>
      <c r="BNB30" s="830"/>
      <c r="BNC30" s="830"/>
      <c r="BND30" s="830"/>
      <c r="BNE30" s="830"/>
      <c r="BNF30" s="830"/>
      <c r="BNG30" s="830"/>
      <c r="BNH30" s="830"/>
      <c r="BNI30" s="830"/>
      <c r="BNJ30" s="830"/>
      <c r="BNK30" s="830"/>
      <c r="BNL30" s="830"/>
      <c r="BNM30" s="830"/>
      <c r="BNN30" s="830"/>
      <c r="BNO30" s="830"/>
      <c r="BNP30" s="830"/>
      <c r="BNQ30" s="830"/>
      <c r="BNR30" s="830"/>
      <c r="BNS30" s="830"/>
      <c r="BNT30" s="830"/>
      <c r="BNU30" s="830"/>
      <c r="BNV30" s="830"/>
      <c r="BNW30" s="830"/>
      <c r="BNX30" s="830"/>
      <c r="BNY30" s="830"/>
      <c r="BNZ30" s="830"/>
      <c r="BOA30" s="830"/>
      <c r="BOB30" s="830"/>
      <c r="BOC30" s="830"/>
      <c r="BOD30" s="830"/>
      <c r="BOE30" s="830"/>
      <c r="BOF30" s="830"/>
      <c r="BOG30" s="830"/>
      <c r="BOH30" s="830"/>
      <c r="BOI30" s="830"/>
      <c r="BOJ30" s="830"/>
      <c r="BOK30" s="830"/>
      <c r="BOL30" s="830"/>
      <c r="BOM30" s="830"/>
      <c r="BON30" s="830"/>
      <c r="BOO30" s="830"/>
      <c r="BOP30" s="830"/>
      <c r="BOQ30" s="830"/>
      <c r="BOR30" s="830"/>
      <c r="BOS30" s="830"/>
      <c r="BOT30" s="830"/>
      <c r="BOU30" s="830"/>
      <c r="BOV30" s="830"/>
      <c r="BOW30" s="830"/>
      <c r="BOX30" s="830"/>
      <c r="BOY30" s="830"/>
      <c r="BOZ30" s="830"/>
      <c r="BPA30" s="830"/>
      <c r="BPB30" s="830"/>
      <c r="BPC30" s="830"/>
      <c r="BPD30" s="830"/>
      <c r="BPE30" s="830"/>
      <c r="BPF30" s="830"/>
      <c r="BPG30" s="830"/>
      <c r="BPH30" s="830"/>
      <c r="BPI30" s="830"/>
      <c r="BPJ30" s="830"/>
      <c r="BPK30" s="830"/>
      <c r="BPL30" s="830"/>
      <c r="BPM30" s="830"/>
      <c r="BPN30" s="830"/>
      <c r="BPO30" s="830"/>
      <c r="BPP30" s="830"/>
      <c r="BPQ30" s="830"/>
      <c r="BPR30" s="830"/>
      <c r="BPS30" s="830"/>
      <c r="BPT30" s="830"/>
      <c r="BPU30" s="830"/>
      <c r="BPV30" s="830"/>
      <c r="BPW30" s="830"/>
      <c r="BPX30" s="830"/>
      <c r="BPY30" s="830"/>
      <c r="BPZ30" s="830"/>
      <c r="BQA30" s="830"/>
      <c r="BQB30" s="830"/>
      <c r="BQC30" s="830"/>
      <c r="BQD30" s="830"/>
      <c r="BQE30" s="830"/>
      <c r="BQF30" s="830"/>
      <c r="BQG30" s="830"/>
      <c r="BQH30" s="830"/>
      <c r="BQI30" s="830"/>
      <c r="BQJ30" s="830"/>
      <c r="BQK30" s="830"/>
      <c r="BQL30" s="830"/>
      <c r="BQM30" s="830"/>
      <c r="BQN30" s="830"/>
      <c r="BQO30" s="830"/>
      <c r="BQP30" s="830"/>
      <c r="BQQ30" s="830"/>
      <c r="BQR30" s="830"/>
      <c r="BQS30" s="830"/>
      <c r="BQT30" s="830"/>
      <c r="BQU30" s="830"/>
      <c r="BQV30" s="830"/>
      <c r="BQW30" s="830"/>
      <c r="BQX30" s="830"/>
      <c r="BQY30" s="830"/>
      <c r="BQZ30" s="830"/>
      <c r="BRA30" s="830"/>
      <c r="BRB30" s="830"/>
      <c r="BRC30" s="830"/>
      <c r="BRD30" s="830"/>
      <c r="BRE30" s="830"/>
      <c r="BRF30" s="830"/>
      <c r="BRG30" s="830"/>
      <c r="BRH30" s="830"/>
      <c r="BRI30" s="830"/>
      <c r="BRJ30" s="830"/>
      <c r="BRK30" s="830"/>
      <c r="BRL30" s="830"/>
      <c r="BRM30" s="830"/>
      <c r="BRN30" s="830"/>
      <c r="BRO30" s="830"/>
      <c r="BRP30" s="830"/>
      <c r="BRQ30" s="830"/>
      <c r="BRR30" s="830"/>
      <c r="BRS30" s="830"/>
      <c r="BRT30" s="830"/>
      <c r="BRU30" s="830"/>
      <c r="BRV30" s="830"/>
      <c r="BRW30" s="830"/>
      <c r="BRX30" s="830"/>
      <c r="BRY30" s="830"/>
      <c r="BRZ30" s="830"/>
      <c r="BSA30" s="830"/>
      <c r="BSB30" s="830"/>
      <c r="BSC30" s="830"/>
      <c r="BSD30" s="830"/>
      <c r="BSE30" s="830"/>
      <c r="BSF30" s="830"/>
      <c r="BSG30" s="830"/>
      <c r="BSH30" s="830"/>
      <c r="BSI30" s="830"/>
      <c r="BSJ30" s="830"/>
      <c r="BSK30" s="830"/>
      <c r="BSL30" s="830"/>
      <c r="BSM30" s="830"/>
      <c r="BSN30" s="830"/>
      <c r="BSO30" s="830"/>
      <c r="BSP30" s="830"/>
      <c r="BSQ30" s="830"/>
      <c r="BSR30" s="830"/>
      <c r="BSS30" s="830"/>
      <c r="BST30" s="830"/>
    </row>
    <row r="31" spans="1:1866" s="829" customFormat="1" ht="20.100000000000001" customHeight="1" x14ac:dyDescent="0.25">
      <c r="A31" s="830"/>
      <c r="B31" s="3183"/>
      <c r="C31" s="1504"/>
      <c r="D31" s="1505"/>
      <c r="E31" s="1506"/>
      <c r="F31" s="1506"/>
      <c r="G31" s="1506"/>
      <c r="H31" s="1506"/>
      <c r="I31" s="1506"/>
      <c r="J31" s="1506"/>
      <c r="K31" s="1506"/>
      <c r="L31" s="1506"/>
      <c r="M31" s="1506"/>
      <c r="N31" s="1506"/>
      <c r="O31" s="1506"/>
      <c r="P31" s="1506"/>
      <c r="Q31" s="1506"/>
      <c r="R31" s="1506"/>
      <c r="S31" s="1506"/>
      <c r="T31" s="1506"/>
      <c r="U31" s="1506"/>
      <c r="V31" s="1507"/>
      <c r="W31" s="830"/>
      <c r="X31" s="1460"/>
      <c r="Y31" s="1460"/>
      <c r="Z31" s="1460"/>
      <c r="AA31" s="1461"/>
      <c r="AB31" s="826"/>
      <c r="AC31" s="826"/>
      <c r="AD31" s="830"/>
      <c r="AE31" s="830"/>
      <c r="AF31" s="830"/>
      <c r="AG31" s="830"/>
      <c r="AH31" s="830"/>
      <c r="AI31" s="830"/>
      <c r="AJ31" s="830"/>
      <c r="AK31" s="830"/>
      <c r="AL31" s="830"/>
      <c r="AM31" s="830"/>
      <c r="AN31" s="830"/>
      <c r="AO31" s="830"/>
      <c r="AP31" s="830"/>
      <c r="AQ31" s="830"/>
      <c r="AR31" s="830"/>
      <c r="AS31" s="830"/>
      <c r="AT31" s="830"/>
      <c r="AU31" s="830"/>
      <c r="AV31" s="830"/>
      <c r="AW31" s="830"/>
      <c r="AX31" s="830"/>
      <c r="AY31" s="830"/>
      <c r="AZ31" s="830"/>
      <c r="BA31" s="830"/>
      <c r="BB31" s="830"/>
      <c r="BC31" s="830"/>
      <c r="BD31" s="830"/>
      <c r="BE31" s="830"/>
      <c r="BF31" s="830"/>
      <c r="BG31" s="830"/>
      <c r="BH31" s="830"/>
      <c r="BI31" s="830"/>
      <c r="BJ31" s="830"/>
      <c r="BK31" s="830"/>
      <c r="BL31" s="830"/>
      <c r="BM31" s="830"/>
      <c r="BN31" s="830"/>
      <c r="BO31" s="830"/>
      <c r="BP31" s="830"/>
      <c r="BQ31" s="830"/>
      <c r="BR31" s="830"/>
      <c r="BS31" s="830"/>
      <c r="BT31" s="830"/>
      <c r="BU31" s="830"/>
      <c r="BV31" s="830"/>
      <c r="BW31" s="830"/>
      <c r="BX31" s="830"/>
      <c r="BY31" s="830"/>
      <c r="BZ31" s="830"/>
      <c r="CA31" s="830"/>
      <c r="CB31" s="830"/>
      <c r="CC31" s="830"/>
      <c r="CD31" s="830"/>
      <c r="CE31" s="830"/>
      <c r="CF31" s="830"/>
      <c r="CG31" s="830"/>
      <c r="CH31" s="830"/>
      <c r="CI31" s="830"/>
      <c r="CJ31" s="830"/>
      <c r="CK31" s="830"/>
      <c r="CL31" s="830"/>
      <c r="CM31" s="830"/>
      <c r="CN31" s="830"/>
      <c r="CO31" s="830"/>
      <c r="CP31" s="830"/>
      <c r="CQ31" s="830"/>
      <c r="CR31" s="830"/>
      <c r="CS31" s="830"/>
      <c r="CT31" s="830"/>
      <c r="CU31" s="830"/>
      <c r="CV31" s="830"/>
      <c r="CW31" s="830"/>
      <c r="CX31" s="830"/>
      <c r="CY31" s="830"/>
      <c r="CZ31" s="830"/>
      <c r="DA31" s="830"/>
      <c r="DB31" s="830"/>
      <c r="DC31" s="830"/>
      <c r="DD31" s="830"/>
      <c r="DE31" s="830"/>
      <c r="DF31" s="830"/>
      <c r="DG31" s="830"/>
      <c r="DH31" s="830"/>
      <c r="DI31" s="830"/>
      <c r="DJ31" s="830"/>
      <c r="DK31" s="830"/>
      <c r="DL31" s="830"/>
      <c r="DM31" s="830"/>
      <c r="DN31" s="830"/>
      <c r="DO31" s="830"/>
      <c r="DP31" s="830"/>
      <c r="DQ31" s="830"/>
      <c r="DR31" s="830"/>
      <c r="DS31" s="830"/>
      <c r="DT31" s="830"/>
      <c r="DU31" s="830"/>
      <c r="DV31" s="830"/>
      <c r="DW31" s="830"/>
      <c r="DX31" s="830"/>
      <c r="DY31" s="830"/>
      <c r="DZ31" s="830"/>
      <c r="EA31" s="830"/>
      <c r="EB31" s="830"/>
      <c r="EC31" s="830"/>
      <c r="ED31" s="830"/>
      <c r="EE31" s="830"/>
      <c r="EF31" s="830"/>
      <c r="EG31" s="830"/>
      <c r="EH31" s="830"/>
      <c r="EI31" s="830"/>
      <c r="EJ31" s="830"/>
      <c r="EK31" s="830"/>
      <c r="EL31" s="830"/>
      <c r="EM31" s="830"/>
      <c r="EN31" s="830"/>
      <c r="EO31" s="830"/>
      <c r="EP31" s="830"/>
      <c r="EQ31" s="830"/>
      <c r="ER31" s="830"/>
      <c r="ES31" s="830"/>
      <c r="ET31" s="830"/>
      <c r="EU31" s="830"/>
      <c r="EV31" s="830"/>
      <c r="EW31" s="830"/>
      <c r="EX31" s="830"/>
      <c r="EY31" s="830"/>
      <c r="EZ31" s="830"/>
      <c r="FA31" s="830"/>
      <c r="FB31" s="830"/>
      <c r="FC31" s="830"/>
      <c r="FD31" s="830"/>
      <c r="FE31" s="830"/>
      <c r="FF31" s="830"/>
      <c r="FG31" s="830"/>
      <c r="FH31" s="830"/>
      <c r="FI31" s="830"/>
      <c r="FJ31" s="830"/>
      <c r="FK31" s="830"/>
      <c r="FL31" s="830"/>
      <c r="FM31" s="830"/>
      <c r="FN31" s="830"/>
      <c r="FO31" s="830"/>
      <c r="FP31" s="830"/>
      <c r="FQ31" s="830"/>
      <c r="FR31" s="830"/>
      <c r="FS31" s="830"/>
      <c r="FT31" s="830"/>
      <c r="FU31" s="830"/>
      <c r="FV31" s="830"/>
      <c r="FW31" s="830"/>
      <c r="FX31" s="830"/>
      <c r="FY31" s="830"/>
      <c r="FZ31" s="830"/>
      <c r="GA31" s="830"/>
      <c r="GB31" s="830"/>
      <c r="GC31" s="830"/>
      <c r="GD31" s="830"/>
      <c r="GE31" s="830"/>
      <c r="GF31" s="830"/>
      <c r="GG31" s="830"/>
      <c r="GH31" s="830"/>
      <c r="GI31" s="830"/>
      <c r="GJ31" s="830"/>
      <c r="GK31" s="830"/>
      <c r="GL31" s="830"/>
      <c r="GM31" s="830"/>
      <c r="GN31" s="830"/>
      <c r="GO31" s="830"/>
      <c r="GP31" s="830"/>
      <c r="GQ31" s="830"/>
      <c r="GR31" s="830"/>
      <c r="GS31" s="830"/>
      <c r="GT31" s="830"/>
      <c r="GU31" s="830"/>
      <c r="GV31" s="830"/>
      <c r="GW31" s="830"/>
      <c r="GX31" s="830"/>
      <c r="GY31" s="830"/>
      <c r="GZ31" s="830"/>
      <c r="HA31" s="830"/>
      <c r="HB31" s="830"/>
      <c r="HC31" s="830"/>
      <c r="HD31" s="830"/>
      <c r="HE31" s="830"/>
      <c r="HF31" s="830"/>
      <c r="HG31" s="830"/>
      <c r="HH31" s="830"/>
      <c r="HI31" s="830"/>
      <c r="HJ31" s="830"/>
      <c r="HK31" s="830"/>
      <c r="HL31" s="830"/>
      <c r="HM31" s="830"/>
      <c r="HN31" s="830"/>
      <c r="HO31" s="830"/>
      <c r="HP31" s="830"/>
      <c r="HQ31" s="830"/>
      <c r="HR31" s="830"/>
      <c r="HS31" s="830"/>
      <c r="HT31" s="830"/>
      <c r="HU31" s="830"/>
      <c r="HV31" s="830"/>
      <c r="HW31" s="830"/>
      <c r="HX31" s="830"/>
      <c r="HY31" s="830"/>
      <c r="HZ31" s="830"/>
      <c r="IA31" s="830"/>
      <c r="IB31" s="830"/>
      <c r="IC31" s="830"/>
      <c r="ID31" s="830"/>
      <c r="IE31" s="830"/>
      <c r="IF31" s="830"/>
      <c r="IG31" s="830"/>
      <c r="IH31" s="830"/>
      <c r="II31" s="830"/>
      <c r="IJ31" s="830"/>
      <c r="IK31" s="830"/>
      <c r="IL31" s="830"/>
      <c r="IM31" s="830"/>
      <c r="IN31" s="830"/>
      <c r="IO31" s="830"/>
      <c r="IP31" s="830"/>
      <c r="IQ31" s="830"/>
      <c r="IR31" s="830"/>
      <c r="IS31" s="830"/>
      <c r="IT31" s="830"/>
      <c r="IU31" s="830"/>
      <c r="IV31" s="830"/>
      <c r="IW31" s="830"/>
      <c r="IX31" s="830"/>
      <c r="IY31" s="830"/>
      <c r="IZ31" s="830"/>
      <c r="JA31" s="830"/>
      <c r="JB31" s="830"/>
      <c r="JC31" s="830"/>
      <c r="JD31" s="830"/>
      <c r="JE31" s="830"/>
      <c r="JF31" s="830"/>
      <c r="JG31" s="830"/>
      <c r="JH31" s="830"/>
      <c r="JI31" s="830"/>
      <c r="JJ31" s="830"/>
      <c r="JK31" s="830"/>
      <c r="JL31" s="830"/>
      <c r="JM31" s="830"/>
      <c r="JN31" s="830"/>
      <c r="JO31" s="830"/>
      <c r="JP31" s="830"/>
      <c r="JQ31" s="830"/>
      <c r="JR31" s="830"/>
      <c r="JS31" s="830"/>
      <c r="JT31" s="830"/>
      <c r="JU31" s="830"/>
      <c r="JV31" s="830"/>
      <c r="JW31" s="830"/>
      <c r="JX31" s="830"/>
      <c r="JY31" s="830"/>
      <c r="JZ31" s="830"/>
      <c r="KA31" s="830"/>
      <c r="KB31" s="830"/>
      <c r="KC31" s="830"/>
      <c r="KD31" s="830"/>
      <c r="KE31" s="830"/>
      <c r="KF31" s="830"/>
      <c r="KG31" s="830"/>
      <c r="KH31" s="830"/>
      <c r="KI31" s="830"/>
      <c r="KJ31" s="830"/>
      <c r="KK31" s="830"/>
      <c r="KL31" s="830"/>
      <c r="KM31" s="830"/>
      <c r="KN31" s="830"/>
      <c r="KO31" s="830"/>
      <c r="KP31" s="830"/>
      <c r="KQ31" s="830"/>
      <c r="KR31" s="830"/>
      <c r="KS31" s="830"/>
      <c r="KT31" s="830"/>
      <c r="KU31" s="830"/>
      <c r="KV31" s="830"/>
      <c r="KW31" s="830"/>
      <c r="KX31" s="830"/>
      <c r="KY31" s="830"/>
      <c r="KZ31" s="830"/>
      <c r="LA31" s="830"/>
      <c r="LB31" s="830"/>
      <c r="LC31" s="830"/>
      <c r="LD31" s="830"/>
      <c r="LE31" s="830"/>
      <c r="LF31" s="830"/>
      <c r="LG31" s="830"/>
      <c r="LH31" s="830"/>
      <c r="LI31" s="830"/>
      <c r="LJ31" s="830"/>
      <c r="LK31" s="830"/>
      <c r="LL31" s="830"/>
      <c r="LM31" s="830"/>
      <c r="LN31" s="830"/>
      <c r="LO31" s="830"/>
      <c r="LP31" s="830"/>
      <c r="LQ31" s="830"/>
      <c r="LR31" s="830"/>
      <c r="LS31" s="830"/>
      <c r="LT31" s="830"/>
      <c r="LU31" s="830"/>
      <c r="LV31" s="830"/>
      <c r="LW31" s="830"/>
      <c r="LX31" s="830"/>
      <c r="LY31" s="830"/>
      <c r="LZ31" s="830"/>
      <c r="MA31" s="830"/>
      <c r="MB31" s="830"/>
      <c r="MC31" s="830"/>
      <c r="MD31" s="830"/>
      <c r="ME31" s="830"/>
      <c r="MF31" s="830"/>
      <c r="MG31" s="830"/>
      <c r="MH31" s="830"/>
      <c r="MI31" s="830"/>
      <c r="MJ31" s="830"/>
      <c r="MK31" s="830"/>
      <c r="ML31" s="830"/>
      <c r="MM31" s="830"/>
      <c r="MN31" s="830"/>
      <c r="MO31" s="830"/>
      <c r="MP31" s="830"/>
      <c r="MQ31" s="830"/>
      <c r="MR31" s="830"/>
      <c r="MS31" s="830"/>
      <c r="MT31" s="830"/>
      <c r="MU31" s="830"/>
      <c r="MV31" s="830"/>
      <c r="MW31" s="830"/>
      <c r="MX31" s="830"/>
      <c r="MY31" s="830"/>
      <c r="MZ31" s="830"/>
      <c r="NA31" s="830"/>
      <c r="NB31" s="830"/>
      <c r="NC31" s="830"/>
      <c r="ND31" s="830"/>
      <c r="NE31" s="830"/>
      <c r="NF31" s="830"/>
      <c r="NG31" s="830"/>
      <c r="NH31" s="830"/>
      <c r="NI31" s="830"/>
      <c r="NJ31" s="830"/>
      <c r="NK31" s="830"/>
      <c r="NL31" s="830"/>
      <c r="NM31" s="830"/>
      <c r="NN31" s="830"/>
      <c r="NO31" s="830"/>
      <c r="NP31" s="830"/>
      <c r="NQ31" s="830"/>
      <c r="NR31" s="830"/>
      <c r="NS31" s="830"/>
      <c r="NT31" s="830"/>
      <c r="NU31" s="830"/>
      <c r="NV31" s="830"/>
      <c r="NW31" s="830"/>
      <c r="NX31" s="830"/>
      <c r="NY31" s="830"/>
      <c r="NZ31" s="830"/>
      <c r="OA31" s="830"/>
      <c r="OB31" s="830"/>
      <c r="OC31" s="830"/>
      <c r="OD31" s="830"/>
      <c r="OE31" s="830"/>
      <c r="OF31" s="830"/>
      <c r="OG31" s="830"/>
      <c r="OH31" s="830"/>
      <c r="OI31" s="830"/>
      <c r="OJ31" s="830"/>
      <c r="OK31" s="830"/>
      <c r="OL31" s="830"/>
      <c r="OM31" s="830"/>
      <c r="ON31" s="830"/>
      <c r="OO31" s="830"/>
      <c r="OP31" s="830"/>
      <c r="OQ31" s="830"/>
      <c r="OR31" s="830"/>
      <c r="OS31" s="830"/>
      <c r="OT31" s="830"/>
      <c r="OU31" s="830"/>
      <c r="OV31" s="830"/>
      <c r="OW31" s="830"/>
      <c r="OX31" s="830"/>
      <c r="OY31" s="830"/>
      <c r="OZ31" s="830"/>
      <c r="PA31" s="830"/>
      <c r="PB31" s="830"/>
      <c r="PC31" s="830"/>
      <c r="PD31" s="830"/>
      <c r="PE31" s="830"/>
      <c r="PF31" s="830"/>
      <c r="PG31" s="830"/>
      <c r="PH31" s="830"/>
      <c r="PI31" s="830"/>
      <c r="PJ31" s="830"/>
      <c r="PK31" s="830"/>
      <c r="PL31" s="830"/>
      <c r="PM31" s="830"/>
      <c r="PN31" s="830"/>
      <c r="PO31" s="830"/>
      <c r="PP31" s="830"/>
      <c r="PQ31" s="830"/>
      <c r="PR31" s="830"/>
      <c r="PS31" s="830"/>
      <c r="PT31" s="830"/>
      <c r="PU31" s="830"/>
      <c r="PV31" s="830"/>
      <c r="PW31" s="830"/>
      <c r="PX31" s="830"/>
      <c r="PY31" s="830"/>
      <c r="PZ31" s="830"/>
      <c r="QA31" s="830"/>
      <c r="QB31" s="830"/>
      <c r="QC31" s="830"/>
      <c r="QD31" s="830"/>
      <c r="QE31" s="830"/>
      <c r="QF31" s="830"/>
      <c r="QG31" s="830"/>
      <c r="QH31" s="830"/>
      <c r="QI31" s="830"/>
      <c r="QJ31" s="830"/>
      <c r="QK31" s="830"/>
      <c r="QL31" s="830"/>
      <c r="QM31" s="830"/>
      <c r="QN31" s="830"/>
      <c r="QO31" s="830"/>
      <c r="QP31" s="830"/>
      <c r="QQ31" s="830"/>
      <c r="QR31" s="830"/>
      <c r="QS31" s="830"/>
      <c r="QT31" s="830"/>
      <c r="QU31" s="830"/>
      <c r="QV31" s="830"/>
      <c r="QW31" s="830"/>
      <c r="QX31" s="830"/>
      <c r="QY31" s="830"/>
      <c r="QZ31" s="830"/>
      <c r="RA31" s="830"/>
      <c r="RB31" s="830"/>
      <c r="RC31" s="830"/>
      <c r="RD31" s="830"/>
      <c r="RE31" s="830"/>
      <c r="RF31" s="830"/>
      <c r="RG31" s="830"/>
      <c r="RH31" s="830"/>
      <c r="RI31" s="830"/>
      <c r="RJ31" s="830"/>
      <c r="RK31" s="830"/>
      <c r="RL31" s="830"/>
      <c r="RM31" s="830"/>
      <c r="RN31" s="830"/>
      <c r="RO31" s="830"/>
      <c r="RP31" s="830"/>
      <c r="RQ31" s="830"/>
      <c r="RR31" s="830"/>
      <c r="RS31" s="830"/>
      <c r="RT31" s="830"/>
      <c r="RU31" s="830"/>
      <c r="RV31" s="830"/>
      <c r="RW31" s="830"/>
      <c r="RX31" s="830"/>
      <c r="RY31" s="830"/>
      <c r="RZ31" s="830"/>
      <c r="SA31" s="830"/>
      <c r="SB31" s="830"/>
      <c r="SC31" s="830"/>
      <c r="SD31" s="830"/>
      <c r="SE31" s="830"/>
      <c r="SF31" s="830"/>
      <c r="SG31" s="830"/>
      <c r="SH31" s="830"/>
      <c r="SI31" s="830"/>
      <c r="SJ31" s="830"/>
      <c r="SK31" s="830"/>
      <c r="SL31" s="830"/>
      <c r="SM31" s="830"/>
      <c r="SN31" s="830"/>
      <c r="SO31" s="830"/>
      <c r="SP31" s="830"/>
      <c r="SQ31" s="830"/>
      <c r="SR31" s="830"/>
      <c r="SS31" s="830"/>
      <c r="ST31" s="830"/>
      <c r="SU31" s="830"/>
      <c r="SV31" s="830"/>
      <c r="SW31" s="830"/>
      <c r="SX31" s="830"/>
      <c r="SY31" s="830"/>
      <c r="SZ31" s="830"/>
      <c r="TA31" s="830"/>
      <c r="TB31" s="830"/>
      <c r="TC31" s="830"/>
      <c r="TD31" s="830"/>
      <c r="TE31" s="830"/>
      <c r="TF31" s="830"/>
      <c r="TG31" s="830"/>
      <c r="TH31" s="830"/>
      <c r="TI31" s="830"/>
      <c r="TJ31" s="830"/>
      <c r="TK31" s="830"/>
      <c r="TL31" s="830"/>
      <c r="TM31" s="830"/>
      <c r="TN31" s="830"/>
      <c r="TO31" s="830"/>
      <c r="TP31" s="830"/>
      <c r="TQ31" s="830"/>
      <c r="TR31" s="830"/>
      <c r="TS31" s="830"/>
      <c r="TT31" s="830"/>
      <c r="TU31" s="830"/>
      <c r="TV31" s="830"/>
      <c r="TW31" s="830"/>
      <c r="TX31" s="830"/>
      <c r="TY31" s="830"/>
      <c r="TZ31" s="830"/>
      <c r="UA31" s="830"/>
      <c r="UB31" s="830"/>
      <c r="UC31" s="830"/>
      <c r="UD31" s="830"/>
      <c r="UE31" s="830"/>
      <c r="UF31" s="830"/>
      <c r="UG31" s="830"/>
      <c r="UH31" s="830"/>
      <c r="UI31" s="830"/>
      <c r="UJ31" s="830"/>
      <c r="UK31" s="830"/>
      <c r="UL31" s="830"/>
      <c r="UM31" s="830"/>
      <c r="UN31" s="830"/>
      <c r="UO31" s="830"/>
      <c r="UP31" s="830"/>
      <c r="UQ31" s="830"/>
      <c r="UR31" s="830"/>
      <c r="US31" s="830"/>
      <c r="UT31" s="830"/>
      <c r="UU31" s="830"/>
      <c r="UV31" s="830"/>
      <c r="UW31" s="830"/>
      <c r="UX31" s="830"/>
      <c r="UY31" s="830"/>
      <c r="UZ31" s="830"/>
      <c r="VA31" s="830"/>
      <c r="VB31" s="830"/>
      <c r="VC31" s="830"/>
      <c r="VD31" s="830"/>
      <c r="VE31" s="830"/>
      <c r="VF31" s="830"/>
      <c r="VG31" s="830"/>
      <c r="VH31" s="830"/>
      <c r="VI31" s="830"/>
      <c r="VJ31" s="830"/>
      <c r="VK31" s="830"/>
      <c r="VL31" s="830"/>
      <c r="VM31" s="830"/>
      <c r="VN31" s="830"/>
      <c r="VO31" s="830"/>
      <c r="VP31" s="830"/>
      <c r="VQ31" s="830"/>
      <c r="VR31" s="830"/>
      <c r="VS31" s="830"/>
      <c r="VT31" s="830"/>
      <c r="VU31" s="830"/>
      <c r="VV31" s="830"/>
      <c r="VW31" s="830"/>
      <c r="VX31" s="830"/>
      <c r="VY31" s="830"/>
      <c r="VZ31" s="830"/>
      <c r="WA31" s="830"/>
      <c r="WB31" s="830"/>
      <c r="WC31" s="830"/>
      <c r="WD31" s="830"/>
      <c r="WE31" s="830"/>
      <c r="WF31" s="830"/>
      <c r="WG31" s="830"/>
      <c r="WH31" s="830"/>
      <c r="WI31" s="830"/>
      <c r="WJ31" s="830"/>
      <c r="WK31" s="830"/>
      <c r="WL31" s="830"/>
      <c r="WM31" s="830"/>
      <c r="WN31" s="830"/>
      <c r="WO31" s="830"/>
      <c r="WP31" s="830"/>
      <c r="WQ31" s="830"/>
      <c r="WR31" s="830"/>
      <c r="WS31" s="830"/>
      <c r="WT31" s="830"/>
      <c r="WU31" s="830"/>
      <c r="WV31" s="830"/>
      <c r="WW31" s="830"/>
      <c r="WX31" s="830"/>
      <c r="WY31" s="830"/>
      <c r="WZ31" s="830"/>
      <c r="XA31" s="830"/>
      <c r="XB31" s="830"/>
      <c r="XC31" s="830"/>
      <c r="XD31" s="830"/>
      <c r="XE31" s="830"/>
      <c r="XF31" s="830"/>
      <c r="XG31" s="830"/>
      <c r="XH31" s="830"/>
      <c r="XI31" s="830"/>
      <c r="XJ31" s="830"/>
      <c r="XK31" s="830"/>
      <c r="XL31" s="830"/>
      <c r="XM31" s="830"/>
      <c r="XN31" s="830"/>
      <c r="XO31" s="830"/>
      <c r="XP31" s="830"/>
      <c r="XQ31" s="830"/>
      <c r="XR31" s="830"/>
      <c r="XS31" s="830"/>
      <c r="XT31" s="830"/>
      <c r="XU31" s="830"/>
      <c r="XV31" s="830"/>
      <c r="XW31" s="830"/>
      <c r="XX31" s="830"/>
      <c r="XY31" s="830"/>
      <c r="XZ31" s="830"/>
      <c r="YA31" s="830"/>
      <c r="YB31" s="830"/>
      <c r="YC31" s="830"/>
      <c r="YD31" s="830"/>
      <c r="YE31" s="830"/>
      <c r="YF31" s="830"/>
      <c r="YG31" s="830"/>
      <c r="YH31" s="830"/>
      <c r="YI31" s="830"/>
      <c r="YJ31" s="830"/>
      <c r="YK31" s="830"/>
      <c r="YL31" s="830"/>
      <c r="YM31" s="830"/>
      <c r="YN31" s="830"/>
      <c r="YO31" s="830"/>
      <c r="YP31" s="830"/>
      <c r="YQ31" s="830"/>
      <c r="YR31" s="830"/>
      <c r="YS31" s="830"/>
      <c r="YT31" s="830"/>
      <c r="YU31" s="830"/>
      <c r="YV31" s="830"/>
      <c r="YW31" s="830"/>
      <c r="YX31" s="830"/>
      <c r="YY31" s="830"/>
      <c r="YZ31" s="830"/>
      <c r="ZA31" s="830"/>
      <c r="ZB31" s="830"/>
      <c r="ZC31" s="830"/>
      <c r="ZD31" s="830"/>
      <c r="ZE31" s="830"/>
      <c r="ZF31" s="830"/>
      <c r="ZG31" s="830"/>
      <c r="ZH31" s="830"/>
      <c r="ZI31" s="830"/>
      <c r="ZJ31" s="830"/>
      <c r="ZK31" s="830"/>
      <c r="ZL31" s="830"/>
      <c r="ZM31" s="830"/>
      <c r="ZN31" s="830"/>
      <c r="ZO31" s="830"/>
      <c r="ZP31" s="830"/>
      <c r="ZQ31" s="830"/>
      <c r="ZR31" s="830"/>
      <c r="ZS31" s="830"/>
      <c r="ZT31" s="830"/>
      <c r="ZU31" s="830"/>
      <c r="ZV31" s="830"/>
      <c r="ZW31" s="830"/>
      <c r="ZX31" s="830"/>
      <c r="ZY31" s="830"/>
      <c r="ZZ31" s="830"/>
      <c r="AAA31" s="830"/>
      <c r="AAB31" s="830"/>
      <c r="AAC31" s="830"/>
      <c r="AAD31" s="830"/>
      <c r="AAE31" s="830"/>
      <c r="AAF31" s="830"/>
      <c r="AAG31" s="830"/>
      <c r="AAH31" s="830"/>
      <c r="AAI31" s="830"/>
      <c r="AAJ31" s="830"/>
      <c r="AAK31" s="830"/>
      <c r="AAL31" s="830"/>
      <c r="AAM31" s="830"/>
      <c r="AAN31" s="830"/>
      <c r="AAO31" s="830"/>
      <c r="AAP31" s="830"/>
      <c r="AAQ31" s="830"/>
      <c r="AAR31" s="830"/>
      <c r="AAS31" s="830"/>
      <c r="AAT31" s="830"/>
      <c r="AAU31" s="830"/>
      <c r="AAV31" s="830"/>
      <c r="AAW31" s="830"/>
      <c r="AAX31" s="830"/>
      <c r="AAY31" s="830"/>
      <c r="AAZ31" s="830"/>
      <c r="ABA31" s="830"/>
      <c r="ABB31" s="830"/>
      <c r="ABC31" s="830"/>
      <c r="ABD31" s="830"/>
      <c r="ABE31" s="830"/>
      <c r="ABF31" s="830"/>
      <c r="ABG31" s="830"/>
      <c r="ABH31" s="830"/>
      <c r="ABI31" s="830"/>
      <c r="ABJ31" s="830"/>
      <c r="ABK31" s="830"/>
      <c r="ABL31" s="830"/>
      <c r="ABM31" s="830"/>
      <c r="ABN31" s="830"/>
      <c r="ABO31" s="830"/>
      <c r="ABP31" s="830"/>
      <c r="ABQ31" s="830"/>
      <c r="ABR31" s="830"/>
      <c r="ABS31" s="830"/>
      <c r="ABT31" s="830"/>
      <c r="ABU31" s="830"/>
      <c r="ABV31" s="830"/>
      <c r="ABW31" s="830"/>
      <c r="ABX31" s="830"/>
      <c r="ABY31" s="830"/>
      <c r="ABZ31" s="830"/>
      <c r="ACA31" s="830"/>
      <c r="ACB31" s="830"/>
      <c r="ACC31" s="830"/>
      <c r="ACD31" s="830"/>
      <c r="ACE31" s="830"/>
      <c r="ACF31" s="830"/>
      <c r="ACG31" s="830"/>
      <c r="ACH31" s="830"/>
      <c r="ACI31" s="830"/>
      <c r="ACJ31" s="830"/>
      <c r="ACK31" s="830"/>
      <c r="ACL31" s="830"/>
      <c r="ACM31" s="830"/>
      <c r="ACN31" s="830"/>
      <c r="ACO31" s="830"/>
      <c r="ACP31" s="830"/>
      <c r="ACQ31" s="830"/>
      <c r="ACR31" s="830"/>
      <c r="ACS31" s="830"/>
      <c r="ACT31" s="830"/>
      <c r="ACU31" s="830"/>
      <c r="ACV31" s="830"/>
      <c r="ACW31" s="830"/>
      <c r="ACX31" s="830"/>
      <c r="ACY31" s="830"/>
      <c r="ACZ31" s="830"/>
      <c r="ADA31" s="830"/>
      <c r="ADB31" s="830"/>
      <c r="ADC31" s="830"/>
      <c r="ADD31" s="830"/>
      <c r="ADE31" s="830"/>
      <c r="ADF31" s="830"/>
      <c r="ADG31" s="830"/>
      <c r="ADH31" s="830"/>
      <c r="ADI31" s="830"/>
      <c r="ADJ31" s="830"/>
      <c r="ADK31" s="830"/>
      <c r="ADL31" s="830"/>
      <c r="ADM31" s="830"/>
      <c r="ADN31" s="830"/>
      <c r="ADO31" s="830"/>
      <c r="ADP31" s="830"/>
      <c r="ADQ31" s="830"/>
      <c r="ADR31" s="830"/>
      <c r="ADS31" s="830"/>
      <c r="ADT31" s="830"/>
      <c r="ADU31" s="830"/>
      <c r="ADV31" s="830"/>
      <c r="ADW31" s="830"/>
      <c r="ADX31" s="830"/>
      <c r="ADY31" s="830"/>
      <c r="ADZ31" s="830"/>
      <c r="AEA31" s="830"/>
      <c r="AEB31" s="830"/>
      <c r="AEC31" s="830"/>
      <c r="AED31" s="830"/>
      <c r="AEE31" s="830"/>
      <c r="AEF31" s="830"/>
      <c r="AEG31" s="830"/>
      <c r="AEH31" s="830"/>
      <c r="AEI31" s="830"/>
      <c r="AEJ31" s="830"/>
      <c r="AEK31" s="830"/>
      <c r="AEL31" s="830"/>
      <c r="AEM31" s="830"/>
      <c r="AEN31" s="830"/>
      <c r="AEO31" s="830"/>
      <c r="AEP31" s="830"/>
      <c r="AEQ31" s="830"/>
      <c r="AER31" s="830"/>
      <c r="AES31" s="830"/>
      <c r="AET31" s="830"/>
      <c r="AEU31" s="830"/>
      <c r="AEV31" s="830"/>
      <c r="AEW31" s="830"/>
      <c r="AEX31" s="830"/>
      <c r="AEY31" s="830"/>
      <c r="AEZ31" s="830"/>
      <c r="AFA31" s="830"/>
      <c r="AFB31" s="830"/>
      <c r="AFC31" s="830"/>
      <c r="AFD31" s="830"/>
      <c r="AFE31" s="830"/>
      <c r="AFF31" s="830"/>
      <c r="AFG31" s="830"/>
      <c r="AFH31" s="830"/>
      <c r="AFI31" s="830"/>
      <c r="AFJ31" s="830"/>
      <c r="AFK31" s="830"/>
      <c r="AFL31" s="830"/>
      <c r="AFM31" s="830"/>
      <c r="AFN31" s="830"/>
      <c r="AFO31" s="830"/>
      <c r="AFP31" s="830"/>
      <c r="AFQ31" s="830"/>
      <c r="AFR31" s="830"/>
      <c r="AFS31" s="830"/>
      <c r="AFT31" s="830"/>
      <c r="AFU31" s="830"/>
      <c r="AFV31" s="830"/>
      <c r="AFW31" s="830"/>
      <c r="AFX31" s="830"/>
      <c r="AFY31" s="830"/>
      <c r="AFZ31" s="830"/>
      <c r="AGA31" s="830"/>
      <c r="AGB31" s="830"/>
      <c r="AGC31" s="830"/>
      <c r="AGD31" s="830"/>
      <c r="AGE31" s="830"/>
      <c r="AGF31" s="830"/>
      <c r="AGG31" s="830"/>
      <c r="AGH31" s="830"/>
      <c r="AGI31" s="830"/>
      <c r="AGJ31" s="830"/>
      <c r="AGK31" s="830"/>
      <c r="AGL31" s="830"/>
      <c r="AGM31" s="830"/>
      <c r="AGN31" s="830"/>
      <c r="AGO31" s="830"/>
      <c r="AGP31" s="830"/>
      <c r="AGQ31" s="830"/>
      <c r="AGR31" s="830"/>
      <c r="AGS31" s="830"/>
      <c r="AGT31" s="830"/>
      <c r="AGU31" s="830"/>
      <c r="AGV31" s="830"/>
      <c r="AGW31" s="830"/>
      <c r="AGX31" s="830"/>
      <c r="AGY31" s="830"/>
      <c r="AGZ31" s="830"/>
      <c r="AHA31" s="830"/>
      <c r="AHB31" s="830"/>
      <c r="AHC31" s="830"/>
      <c r="AHD31" s="830"/>
      <c r="AHE31" s="830"/>
      <c r="AHF31" s="830"/>
      <c r="AHG31" s="830"/>
      <c r="AHH31" s="830"/>
      <c r="AHI31" s="830"/>
      <c r="AHJ31" s="830"/>
      <c r="AHK31" s="830"/>
      <c r="AHL31" s="830"/>
      <c r="AHM31" s="830"/>
      <c r="AHN31" s="830"/>
      <c r="AHO31" s="830"/>
      <c r="AHP31" s="830"/>
      <c r="AHQ31" s="830"/>
      <c r="AHR31" s="830"/>
      <c r="AHS31" s="830"/>
      <c r="AHT31" s="830"/>
      <c r="AHU31" s="830"/>
      <c r="AHV31" s="830"/>
      <c r="AHW31" s="830"/>
      <c r="AHX31" s="830"/>
      <c r="AHY31" s="830"/>
      <c r="AHZ31" s="830"/>
      <c r="AIA31" s="830"/>
      <c r="AIB31" s="830"/>
      <c r="AIC31" s="830"/>
      <c r="AID31" s="830"/>
      <c r="AIE31" s="830"/>
      <c r="AIF31" s="830"/>
      <c r="AIG31" s="830"/>
      <c r="AIH31" s="830"/>
      <c r="AII31" s="830"/>
      <c r="AIJ31" s="830"/>
      <c r="AIK31" s="830"/>
      <c r="AIL31" s="830"/>
      <c r="AIM31" s="830"/>
      <c r="AIN31" s="830"/>
      <c r="AIO31" s="830"/>
      <c r="AIP31" s="830"/>
      <c r="AIQ31" s="830"/>
      <c r="AIR31" s="830"/>
      <c r="AIS31" s="830"/>
      <c r="AIT31" s="830"/>
      <c r="AIU31" s="830"/>
      <c r="AIV31" s="830"/>
      <c r="AIW31" s="830"/>
      <c r="AIX31" s="830"/>
      <c r="AIY31" s="830"/>
      <c r="AIZ31" s="830"/>
      <c r="AJA31" s="830"/>
      <c r="AJB31" s="830"/>
      <c r="AJC31" s="830"/>
      <c r="AJD31" s="830"/>
      <c r="AJE31" s="830"/>
      <c r="AJF31" s="830"/>
      <c r="AJG31" s="830"/>
      <c r="AJH31" s="830"/>
      <c r="AJI31" s="830"/>
      <c r="AJJ31" s="830"/>
      <c r="AJK31" s="830"/>
      <c r="AJL31" s="830"/>
      <c r="AJM31" s="830"/>
      <c r="AJN31" s="830"/>
      <c r="AJO31" s="830"/>
      <c r="AJP31" s="830"/>
      <c r="AJQ31" s="830"/>
      <c r="AJR31" s="830"/>
      <c r="AJS31" s="830"/>
      <c r="AJT31" s="830"/>
      <c r="AJU31" s="830"/>
      <c r="AJV31" s="830"/>
      <c r="AJW31" s="830"/>
      <c r="AJX31" s="830"/>
      <c r="AJY31" s="830"/>
      <c r="AJZ31" s="830"/>
      <c r="AKA31" s="830"/>
      <c r="AKB31" s="830"/>
      <c r="AKC31" s="830"/>
      <c r="AKD31" s="830"/>
      <c r="AKE31" s="830"/>
      <c r="AKF31" s="830"/>
      <c r="AKG31" s="830"/>
      <c r="AKH31" s="830"/>
      <c r="AKI31" s="830"/>
      <c r="AKJ31" s="830"/>
      <c r="AKK31" s="830"/>
      <c r="AKL31" s="830"/>
      <c r="AKM31" s="830"/>
      <c r="AKN31" s="830"/>
      <c r="AKO31" s="830"/>
      <c r="AKP31" s="830"/>
      <c r="AKQ31" s="830"/>
      <c r="AKR31" s="830"/>
      <c r="AKS31" s="830"/>
      <c r="AKT31" s="830"/>
      <c r="AKU31" s="830"/>
      <c r="AKV31" s="830"/>
      <c r="AKW31" s="830"/>
      <c r="AKX31" s="830"/>
      <c r="AKY31" s="830"/>
      <c r="AKZ31" s="830"/>
      <c r="ALA31" s="830"/>
      <c r="ALB31" s="830"/>
      <c r="ALC31" s="830"/>
      <c r="ALD31" s="830"/>
      <c r="ALE31" s="830"/>
      <c r="ALF31" s="830"/>
      <c r="ALG31" s="830"/>
      <c r="ALH31" s="830"/>
      <c r="ALI31" s="830"/>
      <c r="ALJ31" s="830"/>
      <c r="ALK31" s="830"/>
      <c r="ALL31" s="830"/>
      <c r="ALM31" s="830"/>
      <c r="ALN31" s="830"/>
      <c r="ALO31" s="830"/>
      <c r="ALP31" s="830"/>
      <c r="ALQ31" s="830"/>
      <c r="ALR31" s="830"/>
      <c r="ALS31" s="830"/>
      <c r="ALT31" s="830"/>
      <c r="ALU31" s="830"/>
      <c r="ALV31" s="830"/>
      <c r="ALW31" s="830"/>
      <c r="ALX31" s="830"/>
      <c r="ALY31" s="830"/>
      <c r="ALZ31" s="830"/>
      <c r="AMA31" s="830"/>
      <c r="AMB31" s="830"/>
      <c r="AMC31" s="830"/>
      <c r="AMD31" s="830"/>
      <c r="AME31" s="830"/>
      <c r="AMF31" s="830"/>
      <c r="AMG31" s="830"/>
      <c r="AMH31" s="830"/>
      <c r="AMI31" s="830"/>
      <c r="AMJ31" s="830"/>
      <c r="AMK31" s="830"/>
      <c r="AML31" s="830"/>
      <c r="AMM31" s="830"/>
      <c r="AMN31" s="830"/>
      <c r="AMO31" s="830"/>
      <c r="AMP31" s="830"/>
      <c r="AMQ31" s="830"/>
      <c r="AMR31" s="830"/>
      <c r="AMS31" s="830"/>
      <c r="AMT31" s="830"/>
      <c r="AMU31" s="830"/>
      <c r="AMV31" s="830"/>
      <c r="AMW31" s="830"/>
      <c r="AMX31" s="830"/>
      <c r="AMY31" s="830"/>
      <c r="AMZ31" s="830"/>
      <c r="ANA31" s="830"/>
      <c r="ANB31" s="830"/>
      <c r="ANC31" s="830"/>
      <c r="AND31" s="830"/>
      <c r="ANE31" s="830"/>
      <c r="ANF31" s="830"/>
      <c r="ANG31" s="830"/>
      <c r="ANH31" s="830"/>
      <c r="ANI31" s="830"/>
      <c r="ANJ31" s="830"/>
      <c r="ANK31" s="830"/>
      <c r="ANL31" s="830"/>
      <c r="ANM31" s="830"/>
      <c r="ANN31" s="830"/>
      <c r="ANO31" s="830"/>
      <c r="ANP31" s="830"/>
      <c r="ANQ31" s="830"/>
      <c r="ANR31" s="830"/>
      <c r="ANS31" s="830"/>
      <c r="ANT31" s="830"/>
      <c r="ANU31" s="830"/>
      <c r="ANV31" s="830"/>
      <c r="ANW31" s="830"/>
      <c r="ANX31" s="830"/>
      <c r="ANY31" s="830"/>
      <c r="ANZ31" s="830"/>
      <c r="AOA31" s="830"/>
      <c r="AOB31" s="830"/>
      <c r="AOC31" s="830"/>
      <c r="AOD31" s="830"/>
      <c r="AOE31" s="830"/>
      <c r="AOF31" s="830"/>
      <c r="AOG31" s="830"/>
      <c r="AOH31" s="830"/>
      <c r="AOI31" s="830"/>
      <c r="AOJ31" s="830"/>
      <c r="AOK31" s="830"/>
      <c r="AOL31" s="830"/>
      <c r="AOM31" s="830"/>
      <c r="AON31" s="830"/>
      <c r="AOO31" s="830"/>
      <c r="AOP31" s="830"/>
      <c r="AOQ31" s="830"/>
      <c r="AOR31" s="830"/>
      <c r="AOS31" s="830"/>
      <c r="AOT31" s="830"/>
      <c r="AOU31" s="830"/>
      <c r="AOV31" s="830"/>
      <c r="AOW31" s="830"/>
      <c r="AOX31" s="830"/>
      <c r="AOY31" s="830"/>
      <c r="AOZ31" s="830"/>
      <c r="APA31" s="830"/>
      <c r="APB31" s="830"/>
      <c r="APC31" s="830"/>
      <c r="APD31" s="830"/>
      <c r="APE31" s="830"/>
      <c r="APF31" s="830"/>
      <c r="APG31" s="830"/>
      <c r="APH31" s="830"/>
      <c r="API31" s="830"/>
      <c r="APJ31" s="830"/>
      <c r="APK31" s="830"/>
      <c r="APL31" s="830"/>
      <c r="APM31" s="830"/>
      <c r="APN31" s="830"/>
      <c r="APO31" s="830"/>
      <c r="APP31" s="830"/>
      <c r="APQ31" s="830"/>
      <c r="APR31" s="830"/>
      <c r="APS31" s="830"/>
      <c r="APT31" s="830"/>
      <c r="APU31" s="830"/>
      <c r="APV31" s="830"/>
      <c r="APW31" s="830"/>
      <c r="APX31" s="830"/>
      <c r="APY31" s="830"/>
      <c r="APZ31" s="830"/>
      <c r="AQA31" s="830"/>
      <c r="AQB31" s="830"/>
      <c r="AQC31" s="830"/>
      <c r="AQD31" s="830"/>
      <c r="AQE31" s="830"/>
      <c r="AQF31" s="830"/>
      <c r="AQG31" s="830"/>
      <c r="AQH31" s="830"/>
      <c r="AQI31" s="830"/>
      <c r="AQJ31" s="830"/>
      <c r="AQK31" s="830"/>
      <c r="AQL31" s="830"/>
      <c r="AQM31" s="830"/>
      <c r="AQN31" s="830"/>
      <c r="AQO31" s="830"/>
      <c r="AQP31" s="830"/>
      <c r="AQQ31" s="830"/>
      <c r="AQR31" s="830"/>
      <c r="AQS31" s="830"/>
      <c r="AQT31" s="830"/>
      <c r="AQU31" s="830"/>
      <c r="AQV31" s="830"/>
      <c r="AQW31" s="830"/>
      <c r="AQX31" s="830"/>
      <c r="AQY31" s="830"/>
      <c r="AQZ31" s="830"/>
      <c r="ARA31" s="830"/>
      <c r="ARB31" s="830"/>
      <c r="ARC31" s="830"/>
      <c r="ARD31" s="830"/>
      <c r="ARE31" s="830"/>
      <c r="ARF31" s="830"/>
      <c r="ARG31" s="830"/>
      <c r="ARH31" s="830"/>
      <c r="ARI31" s="830"/>
      <c r="ARJ31" s="830"/>
      <c r="ARK31" s="830"/>
      <c r="ARL31" s="830"/>
      <c r="ARM31" s="830"/>
      <c r="ARN31" s="830"/>
      <c r="ARO31" s="830"/>
      <c r="ARP31" s="830"/>
      <c r="ARQ31" s="830"/>
      <c r="ARR31" s="830"/>
      <c r="ARS31" s="830"/>
      <c r="ART31" s="830"/>
      <c r="ARU31" s="830"/>
      <c r="ARV31" s="830"/>
      <c r="ARW31" s="830"/>
      <c r="ARX31" s="830"/>
      <c r="ARY31" s="830"/>
      <c r="ARZ31" s="830"/>
      <c r="ASA31" s="830"/>
      <c r="ASB31" s="830"/>
      <c r="ASC31" s="830"/>
      <c r="ASD31" s="830"/>
      <c r="ASE31" s="830"/>
      <c r="ASF31" s="830"/>
      <c r="ASG31" s="830"/>
      <c r="ASH31" s="830"/>
      <c r="ASI31" s="830"/>
      <c r="ASJ31" s="830"/>
      <c r="ASK31" s="830"/>
      <c r="ASL31" s="830"/>
      <c r="ASM31" s="830"/>
      <c r="ASN31" s="830"/>
      <c r="ASO31" s="830"/>
      <c r="ASP31" s="830"/>
      <c r="ASQ31" s="830"/>
      <c r="ASR31" s="830"/>
      <c r="ASS31" s="830"/>
      <c r="AST31" s="830"/>
      <c r="ASU31" s="830"/>
      <c r="ASV31" s="830"/>
      <c r="ASW31" s="830"/>
      <c r="ASX31" s="830"/>
      <c r="ASY31" s="830"/>
      <c r="ASZ31" s="830"/>
      <c r="ATA31" s="830"/>
      <c r="ATB31" s="830"/>
      <c r="ATC31" s="830"/>
      <c r="ATD31" s="830"/>
      <c r="ATE31" s="830"/>
      <c r="ATF31" s="830"/>
      <c r="ATG31" s="830"/>
      <c r="ATH31" s="830"/>
      <c r="ATI31" s="830"/>
      <c r="ATJ31" s="830"/>
      <c r="ATK31" s="830"/>
      <c r="ATL31" s="830"/>
      <c r="ATM31" s="830"/>
      <c r="ATN31" s="830"/>
      <c r="ATO31" s="830"/>
      <c r="ATP31" s="830"/>
      <c r="ATQ31" s="830"/>
      <c r="ATR31" s="830"/>
      <c r="ATS31" s="830"/>
      <c r="ATT31" s="830"/>
      <c r="ATU31" s="830"/>
      <c r="ATV31" s="830"/>
      <c r="ATW31" s="830"/>
      <c r="ATX31" s="830"/>
      <c r="ATY31" s="830"/>
      <c r="ATZ31" s="830"/>
      <c r="AUA31" s="830"/>
      <c r="AUB31" s="830"/>
      <c r="AUC31" s="830"/>
      <c r="AUD31" s="830"/>
      <c r="AUE31" s="830"/>
      <c r="AUF31" s="830"/>
      <c r="AUG31" s="830"/>
      <c r="AUH31" s="830"/>
      <c r="AUI31" s="830"/>
      <c r="AUJ31" s="830"/>
      <c r="AUK31" s="830"/>
      <c r="AUL31" s="830"/>
      <c r="AUM31" s="830"/>
      <c r="AUN31" s="830"/>
      <c r="AUO31" s="830"/>
      <c r="AUP31" s="830"/>
      <c r="AUQ31" s="830"/>
      <c r="AUR31" s="830"/>
      <c r="AUS31" s="830"/>
      <c r="AUT31" s="830"/>
      <c r="AUU31" s="830"/>
      <c r="AUV31" s="830"/>
      <c r="AUW31" s="830"/>
      <c r="AUX31" s="830"/>
      <c r="AUY31" s="830"/>
      <c r="AUZ31" s="830"/>
      <c r="AVA31" s="830"/>
      <c r="AVB31" s="830"/>
      <c r="AVC31" s="830"/>
      <c r="AVD31" s="830"/>
      <c r="AVE31" s="830"/>
      <c r="AVF31" s="830"/>
      <c r="AVG31" s="830"/>
      <c r="AVH31" s="830"/>
      <c r="AVI31" s="830"/>
      <c r="AVJ31" s="830"/>
      <c r="AVK31" s="830"/>
      <c r="AVL31" s="830"/>
      <c r="AVM31" s="830"/>
      <c r="AVN31" s="830"/>
      <c r="AVO31" s="830"/>
      <c r="AVP31" s="830"/>
      <c r="AVQ31" s="830"/>
      <c r="AVR31" s="830"/>
      <c r="AVS31" s="830"/>
      <c r="AVT31" s="830"/>
      <c r="AVU31" s="830"/>
      <c r="AVV31" s="830"/>
      <c r="AVW31" s="830"/>
      <c r="AVX31" s="830"/>
      <c r="AVY31" s="830"/>
      <c r="AVZ31" s="830"/>
      <c r="AWA31" s="830"/>
      <c r="AWB31" s="830"/>
      <c r="AWC31" s="830"/>
      <c r="AWD31" s="830"/>
      <c r="AWE31" s="830"/>
      <c r="AWF31" s="830"/>
      <c r="AWG31" s="830"/>
      <c r="AWH31" s="830"/>
      <c r="AWI31" s="830"/>
      <c r="AWJ31" s="830"/>
      <c r="AWK31" s="830"/>
      <c r="AWL31" s="830"/>
      <c r="AWM31" s="830"/>
      <c r="AWN31" s="830"/>
      <c r="AWO31" s="830"/>
      <c r="AWP31" s="830"/>
      <c r="AWQ31" s="830"/>
      <c r="AWR31" s="830"/>
      <c r="AWS31" s="830"/>
      <c r="AWT31" s="830"/>
      <c r="AWU31" s="830"/>
      <c r="AWV31" s="830"/>
      <c r="AWW31" s="830"/>
      <c r="AWX31" s="830"/>
      <c r="AWY31" s="830"/>
      <c r="AWZ31" s="830"/>
      <c r="AXA31" s="830"/>
      <c r="AXB31" s="830"/>
      <c r="AXC31" s="830"/>
      <c r="AXD31" s="830"/>
      <c r="AXE31" s="830"/>
      <c r="AXF31" s="830"/>
      <c r="AXG31" s="830"/>
      <c r="AXH31" s="830"/>
      <c r="AXI31" s="830"/>
      <c r="AXJ31" s="830"/>
      <c r="AXK31" s="830"/>
      <c r="AXL31" s="830"/>
      <c r="AXM31" s="830"/>
      <c r="AXN31" s="830"/>
      <c r="AXO31" s="830"/>
      <c r="AXP31" s="830"/>
      <c r="AXQ31" s="830"/>
      <c r="AXR31" s="830"/>
      <c r="AXS31" s="830"/>
      <c r="AXT31" s="830"/>
      <c r="AXU31" s="830"/>
      <c r="AXV31" s="830"/>
      <c r="AXW31" s="830"/>
      <c r="AXX31" s="830"/>
      <c r="AXY31" s="830"/>
      <c r="AXZ31" s="830"/>
      <c r="AYA31" s="830"/>
      <c r="AYB31" s="830"/>
      <c r="AYC31" s="830"/>
      <c r="AYD31" s="830"/>
      <c r="AYE31" s="830"/>
      <c r="AYF31" s="830"/>
      <c r="AYG31" s="830"/>
      <c r="AYH31" s="830"/>
      <c r="AYI31" s="830"/>
      <c r="AYJ31" s="830"/>
      <c r="AYK31" s="830"/>
      <c r="AYL31" s="830"/>
      <c r="AYM31" s="830"/>
      <c r="AYN31" s="830"/>
      <c r="AYO31" s="830"/>
      <c r="AYP31" s="830"/>
      <c r="AYQ31" s="830"/>
      <c r="AYR31" s="830"/>
      <c r="AYS31" s="830"/>
      <c r="AYT31" s="830"/>
      <c r="AYU31" s="830"/>
      <c r="AYV31" s="830"/>
      <c r="AYW31" s="830"/>
      <c r="AYX31" s="830"/>
      <c r="AYY31" s="830"/>
      <c r="AYZ31" s="830"/>
      <c r="AZA31" s="830"/>
      <c r="AZB31" s="830"/>
      <c r="AZC31" s="830"/>
      <c r="AZD31" s="830"/>
      <c r="AZE31" s="830"/>
      <c r="AZF31" s="830"/>
      <c r="AZG31" s="830"/>
      <c r="AZH31" s="830"/>
      <c r="AZI31" s="830"/>
      <c r="AZJ31" s="830"/>
      <c r="AZK31" s="830"/>
      <c r="AZL31" s="830"/>
      <c r="AZM31" s="830"/>
      <c r="AZN31" s="830"/>
      <c r="AZO31" s="830"/>
      <c r="AZP31" s="830"/>
      <c r="AZQ31" s="830"/>
      <c r="AZR31" s="830"/>
      <c r="AZS31" s="830"/>
      <c r="AZT31" s="830"/>
      <c r="AZU31" s="830"/>
      <c r="AZV31" s="830"/>
      <c r="AZW31" s="830"/>
      <c r="AZX31" s="830"/>
      <c r="AZY31" s="830"/>
      <c r="AZZ31" s="830"/>
      <c r="BAA31" s="830"/>
      <c r="BAB31" s="830"/>
      <c r="BAC31" s="830"/>
      <c r="BAD31" s="830"/>
      <c r="BAE31" s="830"/>
      <c r="BAF31" s="830"/>
      <c r="BAG31" s="830"/>
      <c r="BAH31" s="830"/>
      <c r="BAI31" s="830"/>
      <c r="BAJ31" s="830"/>
      <c r="BAK31" s="830"/>
      <c r="BAL31" s="830"/>
      <c r="BAM31" s="830"/>
      <c r="BAN31" s="830"/>
      <c r="BAO31" s="830"/>
      <c r="BAP31" s="830"/>
      <c r="BAQ31" s="830"/>
      <c r="BAR31" s="830"/>
      <c r="BAS31" s="830"/>
      <c r="BAT31" s="830"/>
      <c r="BAU31" s="830"/>
      <c r="BAV31" s="830"/>
      <c r="BAW31" s="830"/>
      <c r="BAX31" s="830"/>
      <c r="BAY31" s="830"/>
      <c r="BAZ31" s="830"/>
      <c r="BBA31" s="830"/>
      <c r="BBB31" s="830"/>
      <c r="BBC31" s="830"/>
      <c r="BBD31" s="830"/>
      <c r="BBE31" s="830"/>
      <c r="BBF31" s="830"/>
      <c r="BBG31" s="830"/>
      <c r="BBH31" s="830"/>
      <c r="BBI31" s="830"/>
      <c r="BBJ31" s="830"/>
      <c r="BBK31" s="830"/>
      <c r="BBL31" s="830"/>
      <c r="BBM31" s="830"/>
      <c r="BBN31" s="830"/>
      <c r="BBO31" s="830"/>
      <c r="BBP31" s="830"/>
      <c r="BBQ31" s="830"/>
      <c r="BBR31" s="830"/>
      <c r="BBS31" s="830"/>
      <c r="BBT31" s="830"/>
      <c r="BBU31" s="830"/>
      <c r="BBV31" s="830"/>
      <c r="BBW31" s="830"/>
      <c r="BBX31" s="830"/>
      <c r="BBY31" s="830"/>
      <c r="BBZ31" s="830"/>
      <c r="BCA31" s="830"/>
      <c r="BCB31" s="830"/>
      <c r="BCC31" s="830"/>
      <c r="BCD31" s="830"/>
      <c r="BCE31" s="830"/>
      <c r="BCF31" s="830"/>
      <c r="BCG31" s="830"/>
      <c r="BCH31" s="830"/>
      <c r="BCI31" s="830"/>
      <c r="BCJ31" s="830"/>
      <c r="BCK31" s="830"/>
      <c r="BCL31" s="830"/>
      <c r="BCM31" s="830"/>
      <c r="BCN31" s="830"/>
      <c r="BCO31" s="830"/>
      <c r="BCP31" s="830"/>
      <c r="BCQ31" s="830"/>
      <c r="BCR31" s="830"/>
      <c r="BCS31" s="830"/>
      <c r="BCT31" s="830"/>
      <c r="BCU31" s="830"/>
      <c r="BCV31" s="830"/>
      <c r="BCW31" s="830"/>
      <c r="BCX31" s="830"/>
      <c r="BCY31" s="830"/>
      <c r="BCZ31" s="830"/>
      <c r="BDA31" s="830"/>
      <c r="BDB31" s="830"/>
      <c r="BDC31" s="830"/>
      <c r="BDD31" s="830"/>
      <c r="BDE31" s="830"/>
      <c r="BDF31" s="830"/>
      <c r="BDG31" s="830"/>
      <c r="BDH31" s="830"/>
      <c r="BDI31" s="830"/>
      <c r="BDJ31" s="830"/>
      <c r="BDK31" s="830"/>
      <c r="BDL31" s="830"/>
      <c r="BDM31" s="830"/>
      <c r="BDN31" s="830"/>
      <c r="BDO31" s="830"/>
      <c r="BDP31" s="830"/>
      <c r="BDQ31" s="830"/>
      <c r="BDR31" s="830"/>
      <c r="BDS31" s="830"/>
      <c r="BDT31" s="830"/>
      <c r="BDU31" s="830"/>
      <c r="BDV31" s="830"/>
      <c r="BDW31" s="830"/>
      <c r="BDX31" s="830"/>
      <c r="BDY31" s="830"/>
      <c r="BDZ31" s="830"/>
      <c r="BEA31" s="830"/>
      <c r="BEB31" s="830"/>
      <c r="BEC31" s="830"/>
      <c r="BED31" s="830"/>
      <c r="BEE31" s="830"/>
      <c r="BEF31" s="830"/>
      <c r="BEG31" s="830"/>
      <c r="BEH31" s="830"/>
      <c r="BEI31" s="830"/>
      <c r="BEJ31" s="830"/>
      <c r="BEK31" s="830"/>
      <c r="BEL31" s="830"/>
      <c r="BEM31" s="830"/>
      <c r="BEN31" s="830"/>
      <c r="BEO31" s="830"/>
      <c r="BEP31" s="830"/>
      <c r="BEQ31" s="830"/>
      <c r="BER31" s="830"/>
      <c r="BES31" s="830"/>
      <c r="BET31" s="830"/>
      <c r="BEU31" s="830"/>
      <c r="BEV31" s="830"/>
      <c r="BEW31" s="830"/>
      <c r="BEX31" s="830"/>
      <c r="BEY31" s="830"/>
      <c r="BEZ31" s="830"/>
      <c r="BFA31" s="830"/>
      <c r="BFB31" s="830"/>
      <c r="BFC31" s="830"/>
      <c r="BFD31" s="830"/>
      <c r="BFE31" s="830"/>
      <c r="BFF31" s="830"/>
      <c r="BFG31" s="830"/>
      <c r="BFH31" s="830"/>
      <c r="BFI31" s="830"/>
      <c r="BFJ31" s="830"/>
      <c r="BFK31" s="830"/>
      <c r="BFL31" s="830"/>
      <c r="BFM31" s="830"/>
      <c r="BFN31" s="830"/>
      <c r="BFO31" s="830"/>
      <c r="BFP31" s="830"/>
      <c r="BFQ31" s="830"/>
      <c r="BFR31" s="830"/>
      <c r="BFS31" s="830"/>
      <c r="BFT31" s="830"/>
      <c r="BFU31" s="830"/>
      <c r="BFV31" s="830"/>
      <c r="BFW31" s="830"/>
      <c r="BFX31" s="830"/>
      <c r="BFY31" s="830"/>
      <c r="BFZ31" s="830"/>
      <c r="BGA31" s="830"/>
      <c r="BGB31" s="830"/>
      <c r="BGC31" s="830"/>
      <c r="BGD31" s="830"/>
      <c r="BGE31" s="830"/>
      <c r="BGF31" s="830"/>
      <c r="BGG31" s="830"/>
      <c r="BGH31" s="830"/>
      <c r="BGI31" s="830"/>
      <c r="BGJ31" s="830"/>
      <c r="BGK31" s="830"/>
      <c r="BGL31" s="830"/>
      <c r="BGM31" s="830"/>
      <c r="BGN31" s="830"/>
      <c r="BGO31" s="830"/>
      <c r="BGP31" s="830"/>
      <c r="BGQ31" s="830"/>
      <c r="BGR31" s="830"/>
      <c r="BGS31" s="830"/>
      <c r="BGT31" s="830"/>
      <c r="BGU31" s="830"/>
      <c r="BGV31" s="830"/>
      <c r="BGW31" s="830"/>
      <c r="BGX31" s="830"/>
      <c r="BGY31" s="830"/>
      <c r="BGZ31" s="830"/>
      <c r="BHA31" s="830"/>
      <c r="BHB31" s="830"/>
      <c r="BHC31" s="830"/>
      <c r="BHD31" s="830"/>
      <c r="BHE31" s="830"/>
      <c r="BHF31" s="830"/>
      <c r="BHG31" s="830"/>
      <c r="BHH31" s="830"/>
      <c r="BHI31" s="830"/>
      <c r="BHJ31" s="830"/>
      <c r="BHK31" s="830"/>
      <c r="BHL31" s="830"/>
      <c r="BHM31" s="830"/>
      <c r="BHN31" s="830"/>
      <c r="BHO31" s="830"/>
      <c r="BHP31" s="830"/>
      <c r="BHQ31" s="830"/>
      <c r="BHR31" s="830"/>
      <c r="BHS31" s="830"/>
      <c r="BHT31" s="830"/>
      <c r="BHU31" s="830"/>
      <c r="BHV31" s="830"/>
      <c r="BHW31" s="830"/>
      <c r="BHX31" s="830"/>
      <c r="BHY31" s="830"/>
      <c r="BHZ31" s="830"/>
      <c r="BIA31" s="830"/>
      <c r="BIB31" s="830"/>
      <c r="BIC31" s="830"/>
      <c r="BID31" s="830"/>
      <c r="BIE31" s="830"/>
      <c r="BIF31" s="830"/>
      <c r="BIG31" s="830"/>
      <c r="BIH31" s="830"/>
      <c r="BII31" s="830"/>
      <c r="BIJ31" s="830"/>
      <c r="BIK31" s="830"/>
      <c r="BIL31" s="830"/>
      <c r="BIM31" s="830"/>
      <c r="BIN31" s="830"/>
      <c r="BIO31" s="830"/>
      <c r="BIP31" s="830"/>
      <c r="BIQ31" s="830"/>
      <c r="BIR31" s="830"/>
      <c r="BIS31" s="830"/>
      <c r="BIT31" s="830"/>
      <c r="BIU31" s="830"/>
      <c r="BIV31" s="830"/>
      <c r="BIW31" s="830"/>
      <c r="BIX31" s="830"/>
      <c r="BIY31" s="830"/>
      <c r="BIZ31" s="830"/>
      <c r="BJA31" s="830"/>
      <c r="BJB31" s="830"/>
      <c r="BJC31" s="830"/>
      <c r="BJD31" s="830"/>
      <c r="BJE31" s="830"/>
      <c r="BJF31" s="830"/>
      <c r="BJG31" s="830"/>
      <c r="BJH31" s="830"/>
      <c r="BJI31" s="830"/>
      <c r="BJJ31" s="830"/>
      <c r="BJK31" s="830"/>
      <c r="BJL31" s="830"/>
      <c r="BJM31" s="830"/>
      <c r="BJN31" s="830"/>
      <c r="BJO31" s="830"/>
      <c r="BJP31" s="830"/>
      <c r="BJQ31" s="830"/>
      <c r="BJR31" s="830"/>
      <c r="BJS31" s="830"/>
      <c r="BJT31" s="830"/>
      <c r="BJU31" s="830"/>
      <c r="BJV31" s="830"/>
      <c r="BJW31" s="830"/>
      <c r="BJX31" s="830"/>
      <c r="BJY31" s="830"/>
      <c r="BJZ31" s="830"/>
      <c r="BKA31" s="830"/>
      <c r="BKB31" s="830"/>
      <c r="BKC31" s="830"/>
      <c r="BKD31" s="830"/>
      <c r="BKE31" s="830"/>
      <c r="BKF31" s="830"/>
      <c r="BKG31" s="830"/>
      <c r="BKH31" s="830"/>
      <c r="BKI31" s="830"/>
      <c r="BKJ31" s="830"/>
      <c r="BKK31" s="830"/>
      <c r="BKL31" s="830"/>
      <c r="BKM31" s="830"/>
      <c r="BKN31" s="830"/>
      <c r="BKO31" s="830"/>
      <c r="BKP31" s="830"/>
      <c r="BKQ31" s="830"/>
      <c r="BKR31" s="830"/>
      <c r="BKS31" s="830"/>
      <c r="BKT31" s="830"/>
      <c r="BKU31" s="830"/>
      <c r="BKV31" s="830"/>
      <c r="BKW31" s="830"/>
      <c r="BKX31" s="830"/>
      <c r="BKY31" s="830"/>
      <c r="BKZ31" s="830"/>
      <c r="BLA31" s="830"/>
      <c r="BLB31" s="830"/>
      <c r="BLC31" s="830"/>
      <c r="BLD31" s="830"/>
      <c r="BLE31" s="830"/>
      <c r="BLF31" s="830"/>
      <c r="BLG31" s="830"/>
      <c r="BLH31" s="830"/>
      <c r="BLI31" s="830"/>
      <c r="BLJ31" s="830"/>
      <c r="BLK31" s="830"/>
      <c r="BLL31" s="830"/>
      <c r="BLM31" s="830"/>
      <c r="BLN31" s="830"/>
      <c r="BLO31" s="830"/>
      <c r="BLP31" s="830"/>
      <c r="BLQ31" s="830"/>
      <c r="BLR31" s="830"/>
      <c r="BLS31" s="830"/>
      <c r="BLT31" s="830"/>
      <c r="BLU31" s="830"/>
      <c r="BLV31" s="830"/>
      <c r="BLW31" s="830"/>
      <c r="BLX31" s="830"/>
      <c r="BLY31" s="830"/>
      <c r="BLZ31" s="830"/>
      <c r="BMA31" s="830"/>
      <c r="BMB31" s="830"/>
      <c r="BMC31" s="830"/>
      <c r="BMD31" s="830"/>
      <c r="BME31" s="830"/>
      <c r="BMF31" s="830"/>
      <c r="BMG31" s="830"/>
      <c r="BMH31" s="830"/>
      <c r="BMI31" s="830"/>
      <c r="BMJ31" s="830"/>
      <c r="BMK31" s="830"/>
      <c r="BML31" s="830"/>
      <c r="BMM31" s="830"/>
      <c r="BMN31" s="830"/>
      <c r="BMO31" s="830"/>
      <c r="BMP31" s="830"/>
      <c r="BMQ31" s="830"/>
      <c r="BMR31" s="830"/>
      <c r="BMS31" s="830"/>
      <c r="BMT31" s="830"/>
      <c r="BMU31" s="830"/>
      <c r="BMV31" s="830"/>
      <c r="BMW31" s="830"/>
      <c r="BMX31" s="830"/>
      <c r="BMY31" s="830"/>
      <c r="BMZ31" s="830"/>
      <c r="BNA31" s="830"/>
      <c r="BNB31" s="830"/>
      <c r="BNC31" s="830"/>
      <c r="BND31" s="830"/>
      <c r="BNE31" s="830"/>
      <c r="BNF31" s="830"/>
      <c r="BNG31" s="830"/>
      <c r="BNH31" s="830"/>
      <c r="BNI31" s="830"/>
      <c r="BNJ31" s="830"/>
      <c r="BNK31" s="830"/>
      <c r="BNL31" s="830"/>
      <c r="BNM31" s="830"/>
      <c r="BNN31" s="830"/>
      <c r="BNO31" s="830"/>
      <c r="BNP31" s="830"/>
      <c r="BNQ31" s="830"/>
      <c r="BNR31" s="830"/>
      <c r="BNS31" s="830"/>
      <c r="BNT31" s="830"/>
      <c r="BNU31" s="830"/>
      <c r="BNV31" s="830"/>
      <c r="BNW31" s="830"/>
      <c r="BNX31" s="830"/>
      <c r="BNY31" s="830"/>
      <c r="BNZ31" s="830"/>
      <c r="BOA31" s="830"/>
      <c r="BOB31" s="830"/>
      <c r="BOC31" s="830"/>
      <c r="BOD31" s="830"/>
      <c r="BOE31" s="830"/>
      <c r="BOF31" s="830"/>
      <c r="BOG31" s="830"/>
      <c r="BOH31" s="830"/>
      <c r="BOI31" s="830"/>
      <c r="BOJ31" s="830"/>
      <c r="BOK31" s="830"/>
      <c r="BOL31" s="830"/>
      <c r="BOM31" s="830"/>
      <c r="BON31" s="830"/>
      <c r="BOO31" s="830"/>
      <c r="BOP31" s="830"/>
      <c r="BOQ31" s="830"/>
      <c r="BOR31" s="830"/>
      <c r="BOS31" s="830"/>
      <c r="BOT31" s="830"/>
      <c r="BOU31" s="830"/>
      <c r="BOV31" s="830"/>
      <c r="BOW31" s="830"/>
      <c r="BOX31" s="830"/>
      <c r="BOY31" s="830"/>
      <c r="BOZ31" s="830"/>
      <c r="BPA31" s="830"/>
      <c r="BPB31" s="830"/>
      <c r="BPC31" s="830"/>
      <c r="BPD31" s="830"/>
      <c r="BPE31" s="830"/>
      <c r="BPF31" s="830"/>
      <c r="BPG31" s="830"/>
      <c r="BPH31" s="830"/>
      <c r="BPI31" s="830"/>
      <c r="BPJ31" s="830"/>
      <c r="BPK31" s="830"/>
      <c r="BPL31" s="830"/>
      <c r="BPM31" s="830"/>
      <c r="BPN31" s="830"/>
      <c r="BPO31" s="830"/>
      <c r="BPP31" s="830"/>
      <c r="BPQ31" s="830"/>
      <c r="BPR31" s="830"/>
      <c r="BPS31" s="830"/>
      <c r="BPT31" s="830"/>
      <c r="BPU31" s="830"/>
      <c r="BPV31" s="830"/>
      <c r="BPW31" s="830"/>
      <c r="BPX31" s="830"/>
      <c r="BPY31" s="830"/>
      <c r="BPZ31" s="830"/>
      <c r="BQA31" s="830"/>
      <c r="BQB31" s="830"/>
      <c r="BQC31" s="830"/>
      <c r="BQD31" s="830"/>
      <c r="BQE31" s="830"/>
      <c r="BQF31" s="830"/>
      <c r="BQG31" s="830"/>
      <c r="BQH31" s="830"/>
      <c r="BQI31" s="830"/>
      <c r="BQJ31" s="830"/>
      <c r="BQK31" s="830"/>
      <c r="BQL31" s="830"/>
      <c r="BQM31" s="830"/>
      <c r="BQN31" s="830"/>
      <c r="BQO31" s="830"/>
      <c r="BQP31" s="830"/>
      <c r="BQQ31" s="830"/>
      <c r="BQR31" s="830"/>
      <c r="BQS31" s="830"/>
      <c r="BQT31" s="830"/>
      <c r="BQU31" s="830"/>
      <c r="BQV31" s="830"/>
      <c r="BQW31" s="830"/>
      <c r="BQX31" s="830"/>
      <c r="BQY31" s="830"/>
      <c r="BQZ31" s="830"/>
      <c r="BRA31" s="830"/>
      <c r="BRB31" s="830"/>
      <c r="BRC31" s="830"/>
      <c r="BRD31" s="830"/>
      <c r="BRE31" s="830"/>
      <c r="BRF31" s="830"/>
      <c r="BRG31" s="830"/>
      <c r="BRH31" s="830"/>
      <c r="BRI31" s="830"/>
      <c r="BRJ31" s="830"/>
      <c r="BRK31" s="830"/>
      <c r="BRL31" s="830"/>
      <c r="BRM31" s="830"/>
      <c r="BRN31" s="830"/>
      <c r="BRO31" s="830"/>
      <c r="BRP31" s="830"/>
      <c r="BRQ31" s="830"/>
      <c r="BRR31" s="830"/>
      <c r="BRS31" s="830"/>
      <c r="BRT31" s="830"/>
      <c r="BRU31" s="830"/>
      <c r="BRV31" s="830"/>
      <c r="BRW31" s="830"/>
      <c r="BRX31" s="830"/>
      <c r="BRY31" s="830"/>
      <c r="BRZ31" s="830"/>
      <c r="BSA31" s="830"/>
      <c r="BSB31" s="830"/>
      <c r="BSC31" s="830"/>
      <c r="BSD31" s="830"/>
      <c r="BSE31" s="830"/>
      <c r="BSF31" s="830"/>
      <c r="BSG31" s="830"/>
      <c r="BSH31" s="830"/>
      <c r="BSI31" s="830"/>
      <c r="BSJ31" s="830"/>
      <c r="BSK31" s="830"/>
      <c r="BSL31" s="830"/>
      <c r="BSM31" s="830"/>
      <c r="BSN31" s="830"/>
      <c r="BSO31" s="830"/>
      <c r="BSP31" s="830"/>
      <c r="BSQ31" s="830"/>
      <c r="BSR31" s="830"/>
      <c r="BSS31" s="830"/>
      <c r="BST31" s="830"/>
    </row>
    <row r="32" spans="1:1866" s="831" customFormat="1" ht="21.9" customHeight="1" x14ac:dyDescent="0.25">
      <c r="A32" s="835"/>
      <c r="B32" s="3168" t="s">
        <v>1032</v>
      </c>
      <c r="C32" s="3169"/>
      <c r="D32" s="1468">
        <f t="shared" ref="D32:V32" si="36">SUM(D25:D31)</f>
        <v>0</v>
      </c>
      <c r="E32" s="1469">
        <f t="shared" si="36"/>
        <v>0</v>
      </c>
      <c r="F32" s="1469">
        <f t="shared" si="36"/>
        <v>0</v>
      </c>
      <c r="G32" s="1469">
        <f t="shared" si="36"/>
        <v>0</v>
      </c>
      <c r="H32" s="1469">
        <f t="shared" si="36"/>
        <v>0</v>
      </c>
      <c r="I32" s="1469">
        <f t="shared" si="36"/>
        <v>0</v>
      </c>
      <c r="J32" s="1469">
        <f t="shared" si="36"/>
        <v>0</v>
      </c>
      <c r="K32" s="1469">
        <f t="shared" si="36"/>
        <v>0</v>
      </c>
      <c r="L32" s="1469">
        <f t="shared" si="36"/>
        <v>0</v>
      </c>
      <c r="M32" s="1469">
        <f t="shared" si="36"/>
        <v>0</v>
      </c>
      <c r="N32" s="1469">
        <f t="shared" si="36"/>
        <v>0</v>
      </c>
      <c r="O32" s="1469">
        <f t="shared" si="36"/>
        <v>0</v>
      </c>
      <c r="P32" s="1469">
        <f t="shared" si="36"/>
        <v>0</v>
      </c>
      <c r="Q32" s="1469">
        <f t="shared" si="36"/>
        <v>0</v>
      </c>
      <c r="R32" s="1469">
        <f t="shared" si="36"/>
        <v>0</v>
      </c>
      <c r="S32" s="1469">
        <f t="shared" si="36"/>
        <v>0</v>
      </c>
      <c r="T32" s="1469">
        <f t="shared" si="36"/>
        <v>0</v>
      </c>
      <c r="U32" s="1469">
        <f t="shared" si="36"/>
        <v>0</v>
      </c>
      <c r="V32" s="1470">
        <f t="shared" si="36"/>
        <v>0</v>
      </c>
      <c r="W32" s="835"/>
      <c r="X32" s="1459">
        <f>SUM(X25:X31)</f>
        <v>0</v>
      </c>
      <c r="Y32" s="1459">
        <f>SUM(Y25:Y31)</f>
        <v>0</v>
      </c>
      <c r="Z32" s="1459">
        <f>SUM(Z25:Z31)</f>
        <v>0</v>
      </c>
      <c r="AA32" s="1463">
        <f>SUM(X32:Z32)</f>
        <v>0</v>
      </c>
      <c r="AB32" s="1443" t="str">
        <f>IF(AC32=0," ","Ecart :")</f>
        <v xml:space="preserve"> </v>
      </c>
      <c r="AC32" s="1444">
        <f>AA32-X24</f>
        <v>0</v>
      </c>
      <c r="AD32" s="835"/>
      <c r="AE32" s="835"/>
      <c r="AF32" s="835"/>
      <c r="AG32" s="835"/>
      <c r="AH32" s="835"/>
      <c r="AI32" s="835"/>
      <c r="AJ32" s="835"/>
      <c r="AK32" s="835"/>
      <c r="AL32" s="835"/>
      <c r="AM32" s="835"/>
      <c r="AN32" s="835"/>
      <c r="AO32" s="835"/>
      <c r="AP32" s="835"/>
      <c r="AQ32" s="835"/>
      <c r="AR32" s="835"/>
      <c r="AS32" s="835"/>
      <c r="AT32" s="835"/>
      <c r="AU32" s="835"/>
      <c r="AV32" s="835"/>
      <c r="AW32" s="835"/>
      <c r="AX32" s="835"/>
      <c r="AY32" s="835"/>
      <c r="AZ32" s="835"/>
      <c r="BA32" s="835"/>
      <c r="BB32" s="835"/>
      <c r="BC32" s="835"/>
      <c r="BD32" s="835"/>
      <c r="BE32" s="835"/>
      <c r="BF32" s="835"/>
      <c r="BG32" s="835"/>
      <c r="BH32" s="835"/>
      <c r="BI32" s="835"/>
      <c r="BJ32" s="835"/>
      <c r="BK32" s="835"/>
      <c r="BL32" s="835"/>
      <c r="BM32" s="835"/>
      <c r="BN32" s="835"/>
      <c r="BO32" s="835"/>
      <c r="BP32" s="835"/>
      <c r="BQ32" s="835"/>
      <c r="BR32" s="835"/>
      <c r="BS32" s="835"/>
      <c r="BT32" s="835"/>
      <c r="BU32" s="835"/>
      <c r="BV32" s="835"/>
      <c r="BW32" s="835"/>
      <c r="BX32" s="835"/>
      <c r="BY32" s="835"/>
      <c r="BZ32" s="835"/>
      <c r="CA32" s="835"/>
      <c r="CB32" s="835"/>
      <c r="CC32" s="835"/>
      <c r="CD32" s="835"/>
      <c r="CE32" s="835"/>
      <c r="CF32" s="835"/>
      <c r="CG32" s="835"/>
      <c r="CH32" s="835"/>
      <c r="CI32" s="835"/>
      <c r="CJ32" s="835"/>
      <c r="CK32" s="835"/>
      <c r="CL32" s="835"/>
      <c r="CM32" s="835"/>
      <c r="CN32" s="835"/>
      <c r="CO32" s="835"/>
      <c r="CP32" s="835"/>
      <c r="CQ32" s="835"/>
      <c r="CR32" s="835"/>
      <c r="CS32" s="835"/>
      <c r="CT32" s="835"/>
      <c r="CU32" s="835"/>
      <c r="CV32" s="835"/>
      <c r="CW32" s="835"/>
      <c r="CX32" s="835"/>
      <c r="CY32" s="835"/>
      <c r="CZ32" s="835"/>
      <c r="DA32" s="835"/>
      <c r="DB32" s="835"/>
      <c r="DC32" s="835"/>
      <c r="DD32" s="835"/>
      <c r="DE32" s="835"/>
      <c r="DF32" s="835"/>
      <c r="DG32" s="835"/>
      <c r="DH32" s="835"/>
      <c r="DI32" s="835"/>
      <c r="DJ32" s="835"/>
      <c r="DK32" s="835"/>
      <c r="DL32" s="835"/>
      <c r="DM32" s="835"/>
      <c r="DN32" s="835"/>
      <c r="DO32" s="835"/>
      <c r="DP32" s="835"/>
      <c r="DQ32" s="835"/>
      <c r="DR32" s="835"/>
      <c r="DS32" s="835"/>
      <c r="DT32" s="835"/>
      <c r="DU32" s="835"/>
      <c r="DV32" s="835"/>
      <c r="DW32" s="835"/>
      <c r="DX32" s="835"/>
      <c r="DY32" s="835"/>
      <c r="DZ32" s="835"/>
      <c r="EA32" s="835"/>
      <c r="EB32" s="835"/>
      <c r="EC32" s="835"/>
      <c r="ED32" s="835"/>
      <c r="EE32" s="835"/>
      <c r="EF32" s="835"/>
      <c r="EG32" s="835"/>
      <c r="EH32" s="835"/>
      <c r="EI32" s="835"/>
      <c r="EJ32" s="835"/>
      <c r="EK32" s="835"/>
      <c r="EL32" s="835"/>
      <c r="EM32" s="835"/>
      <c r="EN32" s="835"/>
      <c r="EO32" s="835"/>
      <c r="EP32" s="835"/>
      <c r="EQ32" s="835"/>
      <c r="ER32" s="835"/>
      <c r="ES32" s="835"/>
      <c r="ET32" s="835"/>
      <c r="EU32" s="835"/>
      <c r="EV32" s="835"/>
      <c r="EW32" s="835"/>
      <c r="EX32" s="835"/>
      <c r="EY32" s="835"/>
      <c r="EZ32" s="835"/>
      <c r="FA32" s="835"/>
      <c r="FB32" s="835"/>
      <c r="FC32" s="835"/>
      <c r="FD32" s="835"/>
      <c r="FE32" s="835"/>
      <c r="FF32" s="835"/>
      <c r="FG32" s="835"/>
      <c r="FH32" s="835"/>
      <c r="FI32" s="835"/>
      <c r="FJ32" s="835"/>
      <c r="FK32" s="835"/>
      <c r="FL32" s="835"/>
      <c r="FM32" s="835"/>
      <c r="FN32" s="835"/>
      <c r="FO32" s="835"/>
      <c r="FP32" s="835"/>
      <c r="FQ32" s="835"/>
      <c r="FR32" s="835"/>
      <c r="FS32" s="835"/>
      <c r="FT32" s="835"/>
      <c r="FU32" s="835"/>
      <c r="FV32" s="835"/>
      <c r="FW32" s="835"/>
      <c r="FX32" s="835"/>
      <c r="FY32" s="835"/>
      <c r="FZ32" s="835"/>
      <c r="GA32" s="835"/>
      <c r="GB32" s="835"/>
      <c r="GC32" s="835"/>
      <c r="GD32" s="835"/>
      <c r="GE32" s="835"/>
      <c r="GF32" s="835"/>
      <c r="GG32" s="835"/>
      <c r="GH32" s="835"/>
      <c r="GI32" s="835"/>
      <c r="GJ32" s="835"/>
      <c r="GK32" s="835"/>
      <c r="GL32" s="835"/>
      <c r="GM32" s="835"/>
      <c r="GN32" s="835"/>
      <c r="GO32" s="835"/>
      <c r="GP32" s="835"/>
      <c r="GQ32" s="835"/>
      <c r="GR32" s="835"/>
      <c r="GS32" s="835"/>
      <c r="GT32" s="835"/>
      <c r="GU32" s="835"/>
      <c r="GV32" s="835"/>
      <c r="GW32" s="835"/>
      <c r="GX32" s="835"/>
      <c r="GY32" s="835"/>
      <c r="GZ32" s="835"/>
      <c r="HA32" s="835"/>
      <c r="HB32" s="835"/>
      <c r="HC32" s="835"/>
      <c r="HD32" s="835"/>
      <c r="HE32" s="835"/>
      <c r="HF32" s="835"/>
      <c r="HG32" s="835"/>
      <c r="HH32" s="835"/>
      <c r="HI32" s="835"/>
      <c r="HJ32" s="835"/>
      <c r="HK32" s="835"/>
      <c r="HL32" s="835"/>
      <c r="HM32" s="835"/>
      <c r="HN32" s="835"/>
      <c r="HO32" s="835"/>
      <c r="HP32" s="835"/>
      <c r="HQ32" s="835"/>
      <c r="HR32" s="835"/>
      <c r="HS32" s="835"/>
      <c r="HT32" s="835"/>
      <c r="HU32" s="835"/>
      <c r="HV32" s="835"/>
      <c r="HW32" s="835"/>
      <c r="HX32" s="835"/>
      <c r="HY32" s="835"/>
      <c r="HZ32" s="835"/>
      <c r="IA32" s="835"/>
      <c r="IB32" s="835"/>
      <c r="IC32" s="835"/>
      <c r="ID32" s="835"/>
      <c r="IE32" s="835"/>
      <c r="IF32" s="835"/>
      <c r="IG32" s="835"/>
      <c r="IH32" s="835"/>
      <c r="II32" s="835"/>
      <c r="IJ32" s="835"/>
      <c r="IK32" s="835"/>
      <c r="IL32" s="835"/>
      <c r="IM32" s="835"/>
      <c r="IN32" s="835"/>
      <c r="IO32" s="835"/>
      <c r="IP32" s="835"/>
      <c r="IQ32" s="835"/>
      <c r="IR32" s="835"/>
      <c r="IS32" s="835"/>
      <c r="IT32" s="835"/>
      <c r="IU32" s="835"/>
      <c r="IV32" s="835"/>
      <c r="IW32" s="835"/>
      <c r="IX32" s="835"/>
      <c r="IY32" s="835"/>
      <c r="IZ32" s="835"/>
      <c r="JA32" s="835"/>
      <c r="JB32" s="835"/>
      <c r="JC32" s="835"/>
      <c r="JD32" s="835"/>
      <c r="JE32" s="835"/>
      <c r="JF32" s="835"/>
      <c r="JG32" s="835"/>
      <c r="JH32" s="835"/>
      <c r="JI32" s="835"/>
      <c r="JJ32" s="835"/>
      <c r="JK32" s="835"/>
      <c r="JL32" s="835"/>
      <c r="JM32" s="835"/>
      <c r="JN32" s="835"/>
      <c r="JO32" s="835"/>
      <c r="JP32" s="835"/>
      <c r="JQ32" s="835"/>
      <c r="JR32" s="835"/>
      <c r="JS32" s="835"/>
      <c r="JT32" s="835"/>
      <c r="JU32" s="835"/>
      <c r="JV32" s="835"/>
      <c r="JW32" s="835"/>
      <c r="JX32" s="835"/>
      <c r="JY32" s="835"/>
      <c r="JZ32" s="835"/>
      <c r="KA32" s="835"/>
      <c r="KB32" s="835"/>
      <c r="KC32" s="835"/>
      <c r="KD32" s="835"/>
      <c r="KE32" s="835"/>
      <c r="KF32" s="835"/>
      <c r="KG32" s="835"/>
      <c r="KH32" s="835"/>
      <c r="KI32" s="835"/>
      <c r="KJ32" s="835"/>
      <c r="KK32" s="835"/>
      <c r="KL32" s="835"/>
      <c r="KM32" s="835"/>
      <c r="KN32" s="835"/>
      <c r="KO32" s="835"/>
      <c r="KP32" s="835"/>
      <c r="KQ32" s="835"/>
      <c r="KR32" s="835"/>
      <c r="KS32" s="835"/>
      <c r="KT32" s="835"/>
      <c r="KU32" s="835"/>
      <c r="KV32" s="835"/>
      <c r="KW32" s="835"/>
      <c r="KX32" s="835"/>
      <c r="KY32" s="835"/>
      <c r="KZ32" s="835"/>
      <c r="LA32" s="835"/>
      <c r="LB32" s="835"/>
      <c r="LC32" s="835"/>
      <c r="LD32" s="835"/>
      <c r="LE32" s="835"/>
      <c r="LF32" s="835"/>
      <c r="LG32" s="835"/>
      <c r="LH32" s="835"/>
      <c r="LI32" s="835"/>
      <c r="LJ32" s="835"/>
      <c r="LK32" s="835"/>
      <c r="LL32" s="835"/>
      <c r="LM32" s="835"/>
      <c r="LN32" s="835"/>
      <c r="LO32" s="835"/>
      <c r="LP32" s="835"/>
      <c r="LQ32" s="835"/>
      <c r="LR32" s="835"/>
      <c r="LS32" s="835"/>
      <c r="LT32" s="835"/>
      <c r="LU32" s="835"/>
      <c r="LV32" s="835"/>
      <c r="LW32" s="835"/>
      <c r="LX32" s="835"/>
      <c r="LY32" s="835"/>
      <c r="LZ32" s="835"/>
      <c r="MA32" s="835"/>
      <c r="MB32" s="835"/>
      <c r="MC32" s="835"/>
      <c r="MD32" s="835"/>
      <c r="ME32" s="835"/>
      <c r="MF32" s="835"/>
      <c r="MG32" s="835"/>
      <c r="MH32" s="835"/>
      <c r="MI32" s="835"/>
      <c r="MJ32" s="835"/>
      <c r="MK32" s="835"/>
      <c r="ML32" s="835"/>
      <c r="MM32" s="835"/>
      <c r="MN32" s="835"/>
      <c r="MO32" s="835"/>
      <c r="MP32" s="835"/>
      <c r="MQ32" s="835"/>
      <c r="MR32" s="835"/>
      <c r="MS32" s="835"/>
      <c r="MT32" s="835"/>
      <c r="MU32" s="835"/>
      <c r="MV32" s="835"/>
      <c r="MW32" s="835"/>
      <c r="MX32" s="835"/>
      <c r="MY32" s="835"/>
      <c r="MZ32" s="835"/>
      <c r="NA32" s="835"/>
      <c r="NB32" s="835"/>
      <c r="NC32" s="835"/>
      <c r="ND32" s="835"/>
      <c r="NE32" s="835"/>
      <c r="NF32" s="835"/>
      <c r="NG32" s="835"/>
      <c r="NH32" s="835"/>
      <c r="NI32" s="835"/>
      <c r="NJ32" s="835"/>
      <c r="NK32" s="835"/>
      <c r="NL32" s="835"/>
      <c r="NM32" s="835"/>
      <c r="NN32" s="835"/>
      <c r="NO32" s="835"/>
      <c r="NP32" s="835"/>
      <c r="NQ32" s="835"/>
      <c r="NR32" s="835"/>
      <c r="NS32" s="835"/>
      <c r="NT32" s="835"/>
      <c r="NU32" s="835"/>
      <c r="NV32" s="835"/>
      <c r="NW32" s="835"/>
      <c r="NX32" s="835"/>
      <c r="NY32" s="835"/>
      <c r="NZ32" s="835"/>
      <c r="OA32" s="835"/>
      <c r="OB32" s="835"/>
      <c r="OC32" s="835"/>
      <c r="OD32" s="835"/>
      <c r="OE32" s="835"/>
      <c r="OF32" s="835"/>
      <c r="OG32" s="835"/>
      <c r="OH32" s="835"/>
      <c r="OI32" s="835"/>
      <c r="OJ32" s="835"/>
      <c r="OK32" s="835"/>
      <c r="OL32" s="835"/>
      <c r="OM32" s="835"/>
      <c r="ON32" s="835"/>
      <c r="OO32" s="835"/>
      <c r="OP32" s="835"/>
      <c r="OQ32" s="835"/>
      <c r="OR32" s="835"/>
      <c r="OS32" s="835"/>
      <c r="OT32" s="835"/>
      <c r="OU32" s="835"/>
      <c r="OV32" s="835"/>
      <c r="OW32" s="835"/>
      <c r="OX32" s="835"/>
      <c r="OY32" s="835"/>
      <c r="OZ32" s="835"/>
      <c r="PA32" s="835"/>
      <c r="PB32" s="835"/>
      <c r="PC32" s="835"/>
      <c r="PD32" s="835"/>
      <c r="PE32" s="835"/>
      <c r="PF32" s="835"/>
      <c r="PG32" s="835"/>
      <c r="PH32" s="835"/>
      <c r="PI32" s="835"/>
      <c r="PJ32" s="835"/>
      <c r="PK32" s="835"/>
      <c r="PL32" s="835"/>
      <c r="PM32" s="835"/>
      <c r="PN32" s="835"/>
      <c r="PO32" s="835"/>
      <c r="PP32" s="835"/>
      <c r="PQ32" s="835"/>
      <c r="PR32" s="835"/>
      <c r="PS32" s="835"/>
      <c r="PT32" s="835"/>
      <c r="PU32" s="835"/>
      <c r="PV32" s="835"/>
      <c r="PW32" s="835"/>
      <c r="PX32" s="835"/>
      <c r="PY32" s="835"/>
      <c r="PZ32" s="835"/>
      <c r="QA32" s="835"/>
      <c r="QB32" s="835"/>
      <c r="QC32" s="835"/>
      <c r="QD32" s="835"/>
      <c r="QE32" s="835"/>
      <c r="QF32" s="835"/>
      <c r="QG32" s="835"/>
      <c r="QH32" s="835"/>
      <c r="QI32" s="835"/>
      <c r="QJ32" s="835"/>
      <c r="QK32" s="835"/>
      <c r="QL32" s="835"/>
      <c r="QM32" s="835"/>
      <c r="QN32" s="835"/>
      <c r="QO32" s="835"/>
      <c r="QP32" s="835"/>
      <c r="QQ32" s="835"/>
      <c r="QR32" s="835"/>
      <c r="QS32" s="835"/>
      <c r="QT32" s="835"/>
      <c r="QU32" s="835"/>
      <c r="QV32" s="835"/>
      <c r="QW32" s="835"/>
      <c r="QX32" s="835"/>
      <c r="QY32" s="835"/>
      <c r="QZ32" s="835"/>
      <c r="RA32" s="835"/>
      <c r="RB32" s="835"/>
      <c r="RC32" s="835"/>
      <c r="RD32" s="835"/>
      <c r="RE32" s="835"/>
      <c r="RF32" s="835"/>
      <c r="RG32" s="835"/>
      <c r="RH32" s="835"/>
      <c r="RI32" s="835"/>
      <c r="RJ32" s="835"/>
      <c r="RK32" s="835"/>
      <c r="RL32" s="835"/>
      <c r="RM32" s="835"/>
      <c r="RN32" s="835"/>
      <c r="RO32" s="835"/>
      <c r="RP32" s="835"/>
      <c r="RQ32" s="835"/>
      <c r="RR32" s="835"/>
      <c r="RS32" s="835"/>
      <c r="RT32" s="835"/>
      <c r="RU32" s="835"/>
      <c r="RV32" s="835"/>
      <c r="RW32" s="835"/>
      <c r="RX32" s="835"/>
      <c r="RY32" s="835"/>
      <c r="RZ32" s="835"/>
      <c r="SA32" s="835"/>
      <c r="SB32" s="835"/>
      <c r="SC32" s="835"/>
      <c r="SD32" s="835"/>
      <c r="SE32" s="835"/>
      <c r="SF32" s="835"/>
      <c r="SG32" s="835"/>
      <c r="SH32" s="835"/>
      <c r="SI32" s="835"/>
      <c r="SJ32" s="835"/>
      <c r="SK32" s="835"/>
      <c r="SL32" s="835"/>
      <c r="SM32" s="835"/>
      <c r="SN32" s="835"/>
      <c r="SO32" s="835"/>
      <c r="SP32" s="835"/>
      <c r="SQ32" s="835"/>
      <c r="SR32" s="835"/>
      <c r="SS32" s="835"/>
      <c r="ST32" s="835"/>
      <c r="SU32" s="835"/>
      <c r="SV32" s="835"/>
      <c r="SW32" s="835"/>
      <c r="SX32" s="835"/>
      <c r="SY32" s="835"/>
      <c r="SZ32" s="835"/>
      <c r="TA32" s="835"/>
      <c r="TB32" s="835"/>
      <c r="TC32" s="835"/>
      <c r="TD32" s="835"/>
      <c r="TE32" s="835"/>
      <c r="TF32" s="835"/>
      <c r="TG32" s="835"/>
      <c r="TH32" s="835"/>
      <c r="TI32" s="835"/>
      <c r="TJ32" s="835"/>
      <c r="TK32" s="835"/>
      <c r="TL32" s="835"/>
      <c r="TM32" s="835"/>
      <c r="TN32" s="835"/>
      <c r="TO32" s="835"/>
      <c r="TP32" s="835"/>
      <c r="TQ32" s="835"/>
      <c r="TR32" s="835"/>
      <c r="TS32" s="835"/>
      <c r="TT32" s="835"/>
      <c r="TU32" s="835"/>
      <c r="TV32" s="835"/>
      <c r="TW32" s="835"/>
      <c r="TX32" s="835"/>
      <c r="TY32" s="835"/>
      <c r="TZ32" s="835"/>
      <c r="UA32" s="835"/>
      <c r="UB32" s="835"/>
      <c r="UC32" s="835"/>
      <c r="UD32" s="835"/>
      <c r="UE32" s="835"/>
      <c r="UF32" s="835"/>
      <c r="UG32" s="835"/>
      <c r="UH32" s="835"/>
      <c r="UI32" s="835"/>
      <c r="UJ32" s="835"/>
      <c r="UK32" s="835"/>
      <c r="UL32" s="835"/>
      <c r="UM32" s="835"/>
      <c r="UN32" s="835"/>
      <c r="UO32" s="835"/>
      <c r="UP32" s="835"/>
      <c r="UQ32" s="835"/>
      <c r="UR32" s="835"/>
      <c r="US32" s="835"/>
      <c r="UT32" s="835"/>
      <c r="UU32" s="835"/>
      <c r="UV32" s="835"/>
      <c r="UW32" s="835"/>
      <c r="UX32" s="835"/>
      <c r="UY32" s="835"/>
      <c r="UZ32" s="835"/>
      <c r="VA32" s="835"/>
      <c r="VB32" s="835"/>
      <c r="VC32" s="835"/>
      <c r="VD32" s="835"/>
      <c r="VE32" s="835"/>
      <c r="VF32" s="835"/>
      <c r="VG32" s="835"/>
      <c r="VH32" s="835"/>
      <c r="VI32" s="835"/>
      <c r="VJ32" s="835"/>
      <c r="VK32" s="835"/>
      <c r="VL32" s="835"/>
      <c r="VM32" s="835"/>
      <c r="VN32" s="835"/>
      <c r="VO32" s="835"/>
      <c r="VP32" s="835"/>
      <c r="VQ32" s="835"/>
      <c r="VR32" s="835"/>
      <c r="VS32" s="835"/>
      <c r="VT32" s="835"/>
      <c r="VU32" s="835"/>
      <c r="VV32" s="835"/>
      <c r="VW32" s="835"/>
      <c r="VX32" s="835"/>
      <c r="VY32" s="835"/>
      <c r="VZ32" s="835"/>
      <c r="WA32" s="835"/>
      <c r="WB32" s="835"/>
      <c r="WC32" s="835"/>
      <c r="WD32" s="835"/>
      <c r="WE32" s="835"/>
      <c r="WF32" s="835"/>
      <c r="WG32" s="835"/>
      <c r="WH32" s="835"/>
      <c r="WI32" s="835"/>
      <c r="WJ32" s="835"/>
      <c r="WK32" s="835"/>
      <c r="WL32" s="835"/>
      <c r="WM32" s="835"/>
      <c r="WN32" s="835"/>
      <c r="WO32" s="835"/>
      <c r="WP32" s="835"/>
      <c r="WQ32" s="835"/>
      <c r="WR32" s="835"/>
      <c r="WS32" s="835"/>
      <c r="WT32" s="835"/>
      <c r="WU32" s="835"/>
      <c r="WV32" s="835"/>
      <c r="WW32" s="835"/>
      <c r="WX32" s="835"/>
      <c r="WY32" s="835"/>
      <c r="WZ32" s="835"/>
      <c r="XA32" s="835"/>
      <c r="XB32" s="835"/>
      <c r="XC32" s="835"/>
      <c r="XD32" s="835"/>
      <c r="XE32" s="835"/>
      <c r="XF32" s="835"/>
      <c r="XG32" s="835"/>
      <c r="XH32" s="835"/>
      <c r="XI32" s="835"/>
      <c r="XJ32" s="835"/>
      <c r="XK32" s="835"/>
      <c r="XL32" s="835"/>
      <c r="XM32" s="835"/>
      <c r="XN32" s="835"/>
      <c r="XO32" s="835"/>
      <c r="XP32" s="835"/>
      <c r="XQ32" s="835"/>
      <c r="XR32" s="835"/>
      <c r="XS32" s="835"/>
      <c r="XT32" s="835"/>
      <c r="XU32" s="835"/>
      <c r="XV32" s="835"/>
      <c r="XW32" s="835"/>
      <c r="XX32" s="835"/>
      <c r="XY32" s="835"/>
      <c r="XZ32" s="835"/>
      <c r="YA32" s="835"/>
      <c r="YB32" s="835"/>
      <c r="YC32" s="835"/>
      <c r="YD32" s="835"/>
      <c r="YE32" s="835"/>
      <c r="YF32" s="835"/>
      <c r="YG32" s="835"/>
      <c r="YH32" s="835"/>
      <c r="YI32" s="835"/>
      <c r="YJ32" s="835"/>
      <c r="YK32" s="835"/>
      <c r="YL32" s="835"/>
      <c r="YM32" s="835"/>
      <c r="YN32" s="835"/>
      <c r="YO32" s="835"/>
      <c r="YP32" s="835"/>
      <c r="YQ32" s="835"/>
      <c r="YR32" s="835"/>
      <c r="YS32" s="835"/>
      <c r="YT32" s="835"/>
      <c r="YU32" s="835"/>
      <c r="YV32" s="835"/>
      <c r="YW32" s="835"/>
      <c r="YX32" s="835"/>
      <c r="YY32" s="835"/>
      <c r="YZ32" s="835"/>
      <c r="ZA32" s="835"/>
      <c r="ZB32" s="835"/>
      <c r="ZC32" s="835"/>
      <c r="ZD32" s="835"/>
      <c r="ZE32" s="835"/>
      <c r="ZF32" s="835"/>
      <c r="ZG32" s="835"/>
      <c r="ZH32" s="835"/>
      <c r="ZI32" s="835"/>
      <c r="ZJ32" s="835"/>
      <c r="ZK32" s="835"/>
      <c r="ZL32" s="835"/>
      <c r="ZM32" s="835"/>
      <c r="ZN32" s="835"/>
      <c r="ZO32" s="835"/>
      <c r="ZP32" s="835"/>
      <c r="ZQ32" s="835"/>
      <c r="ZR32" s="835"/>
      <c r="ZS32" s="835"/>
      <c r="ZT32" s="835"/>
      <c r="ZU32" s="835"/>
      <c r="ZV32" s="835"/>
      <c r="ZW32" s="835"/>
      <c r="ZX32" s="835"/>
      <c r="ZY32" s="835"/>
      <c r="ZZ32" s="835"/>
      <c r="AAA32" s="835"/>
      <c r="AAB32" s="835"/>
      <c r="AAC32" s="835"/>
      <c r="AAD32" s="835"/>
      <c r="AAE32" s="835"/>
      <c r="AAF32" s="835"/>
      <c r="AAG32" s="835"/>
      <c r="AAH32" s="835"/>
      <c r="AAI32" s="835"/>
      <c r="AAJ32" s="835"/>
      <c r="AAK32" s="835"/>
      <c r="AAL32" s="835"/>
      <c r="AAM32" s="835"/>
      <c r="AAN32" s="835"/>
      <c r="AAO32" s="835"/>
      <c r="AAP32" s="835"/>
      <c r="AAQ32" s="835"/>
      <c r="AAR32" s="835"/>
      <c r="AAS32" s="835"/>
      <c r="AAT32" s="835"/>
      <c r="AAU32" s="835"/>
      <c r="AAV32" s="835"/>
      <c r="AAW32" s="835"/>
      <c r="AAX32" s="835"/>
      <c r="AAY32" s="835"/>
      <c r="AAZ32" s="835"/>
      <c r="ABA32" s="835"/>
      <c r="ABB32" s="835"/>
      <c r="ABC32" s="835"/>
      <c r="ABD32" s="835"/>
      <c r="ABE32" s="835"/>
      <c r="ABF32" s="835"/>
      <c r="ABG32" s="835"/>
      <c r="ABH32" s="835"/>
      <c r="ABI32" s="835"/>
      <c r="ABJ32" s="835"/>
      <c r="ABK32" s="835"/>
      <c r="ABL32" s="835"/>
      <c r="ABM32" s="835"/>
      <c r="ABN32" s="835"/>
      <c r="ABO32" s="835"/>
      <c r="ABP32" s="835"/>
      <c r="ABQ32" s="835"/>
      <c r="ABR32" s="835"/>
      <c r="ABS32" s="835"/>
      <c r="ABT32" s="835"/>
      <c r="ABU32" s="835"/>
      <c r="ABV32" s="835"/>
      <c r="ABW32" s="835"/>
      <c r="ABX32" s="835"/>
      <c r="ABY32" s="835"/>
      <c r="ABZ32" s="835"/>
      <c r="ACA32" s="835"/>
      <c r="ACB32" s="835"/>
      <c r="ACC32" s="835"/>
      <c r="ACD32" s="835"/>
      <c r="ACE32" s="835"/>
      <c r="ACF32" s="835"/>
      <c r="ACG32" s="835"/>
      <c r="ACH32" s="835"/>
      <c r="ACI32" s="835"/>
      <c r="ACJ32" s="835"/>
      <c r="ACK32" s="835"/>
      <c r="ACL32" s="835"/>
      <c r="ACM32" s="835"/>
      <c r="ACN32" s="835"/>
      <c r="ACO32" s="835"/>
      <c r="ACP32" s="835"/>
      <c r="ACQ32" s="835"/>
      <c r="ACR32" s="835"/>
      <c r="ACS32" s="835"/>
      <c r="ACT32" s="835"/>
      <c r="ACU32" s="835"/>
      <c r="ACV32" s="835"/>
      <c r="ACW32" s="835"/>
      <c r="ACX32" s="835"/>
      <c r="ACY32" s="835"/>
      <c r="ACZ32" s="835"/>
      <c r="ADA32" s="835"/>
      <c r="ADB32" s="835"/>
      <c r="ADC32" s="835"/>
      <c r="ADD32" s="835"/>
      <c r="ADE32" s="835"/>
      <c r="ADF32" s="835"/>
      <c r="ADG32" s="835"/>
      <c r="ADH32" s="835"/>
      <c r="ADI32" s="835"/>
      <c r="ADJ32" s="835"/>
      <c r="ADK32" s="835"/>
      <c r="ADL32" s="835"/>
      <c r="ADM32" s="835"/>
      <c r="ADN32" s="835"/>
      <c r="ADO32" s="835"/>
      <c r="ADP32" s="835"/>
      <c r="ADQ32" s="835"/>
      <c r="ADR32" s="835"/>
      <c r="ADS32" s="835"/>
      <c r="ADT32" s="835"/>
      <c r="ADU32" s="835"/>
      <c r="ADV32" s="835"/>
      <c r="ADW32" s="835"/>
      <c r="ADX32" s="835"/>
      <c r="ADY32" s="835"/>
      <c r="ADZ32" s="835"/>
      <c r="AEA32" s="835"/>
      <c r="AEB32" s="835"/>
      <c r="AEC32" s="835"/>
      <c r="AED32" s="835"/>
      <c r="AEE32" s="835"/>
      <c r="AEF32" s="835"/>
      <c r="AEG32" s="835"/>
      <c r="AEH32" s="835"/>
      <c r="AEI32" s="835"/>
      <c r="AEJ32" s="835"/>
      <c r="AEK32" s="835"/>
      <c r="AEL32" s="835"/>
      <c r="AEM32" s="835"/>
      <c r="AEN32" s="835"/>
      <c r="AEO32" s="835"/>
      <c r="AEP32" s="835"/>
      <c r="AEQ32" s="835"/>
      <c r="AER32" s="835"/>
      <c r="AES32" s="835"/>
      <c r="AET32" s="835"/>
      <c r="AEU32" s="835"/>
      <c r="AEV32" s="835"/>
      <c r="AEW32" s="835"/>
      <c r="AEX32" s="835"/>
      <c r="AEY32" s="835"/>
      <c r="AEZ32" s="835"/>
      <c r="AFA32" s="835"/>
      <c r="AFB32" s="835"/>
      <c r="AFC32" s="835"/>
      <c r="AFD32" s="835"/>
      <c r="AFE32" s="835"/>
      <c r="AFF32" s="835"/>
      <c r="AFG32" s="835"/>
      <c r="AFH32" s="835"/>
      <c r="AFI32" s="835"/>
      <c r="AFJ32" s="835"/>
      <c r="AFK32" s="835"/>
      <c r="AFL32" s="835"/>
      <c r="AFM32" s="835"/>
      <c r="AFN32" s="835"/>
      <c r="AFO32" s="835"/>
      <c r="AFP32" s="835"/>
      <c r="AFQ32" s="835"/>
      <c r="AFR32" s="835"/>
      <c r="AFS32" s="835"/>
      <c r="AFT32" s="835"/>
      <c r="AFU32" s="835"/>
      <c r="AFV32" s="835"/>
      <c r="AFW32" s="835"/>
      <c r="AFX32" s="835"/>
      <c r="AFY32" s="835"/>
      <c r="AFZ32" s="835"/>
      <c r="AGA32" s="835"/>
      <c r="AGB32" s="835"/>
      <c r="AGC32" s="835"/>
      <c r="AGD32" s="835"/>
      <c r="AGE32" s="835"/>
      <c r="AGF32" s="835"/>
      <c r="AGG32" s="835"/>
      <c r="AGH32" s="835"/>
      <c r="AGI32" s="835"/>
      <c r="AGJ32" s="835"/>
      <c r="AGK32" s="835"/>
      <c r="AGL32" s="835"/>
      <c r="AGM32" s="835"/>
      <c r="AGN32" s="835"/>
      <c r="AGO32" s="835"/>
      <c r="AGP32" s="835"/>
      <c r="AGQ32" s="835"/>
      <c r="AGR32" s="835"/>
      <c r="AGS32" s="835"/>
      <c r="AGT32" s="835"/>
      <c r="AGU32" s="835"/>
      <c r="AGV32" s="835"/>
      <c r="AGW32" s="835"/>
      <c r="AGX32" s="835"/>
      <c r="AGY32" s="835"/>
      <c r="AGZ32" s="835"/>
      <c r="AHA32" s="835"/>
      <c r="AHB32" s="835"/>
      <c r="AHC32" s="835"/>
      <c r="AHD32" s="835"/>
      <c r="AHE32" s="835"/>
      <c r="AHF32" s="835"/>
      <c r="AHG32" s="835"/>
      <c r="AHH32" s="835"/>
      <c r="AHI32" s="835"/>
      <c r="AHJ32" s="835"/>
      <c r="AHK32" s="835"/>
      <c r="AHL32" s="835"/>
      <c r="AHM32" s="835"/>
      <c r="AHN32" s="835"/>
      <c r="AHO32" s="835"/>
      <c r="AHP32" s="835"/>
      <c r="AHQ32" s="835"/>
      <c r="AHR32" s="835"/>
      <c r="AHS32" s="835"/>
      <c r="AHT32" s="835"/>
      <c r="AHU32" s="835"/>
      <c r="AHV32" s="835"/>
      <c r="AHW32" s="835"/>
      <c r="AHX32" s="835"/>
      <c r="AHY32" s="835"/>
      <c r="AHZ32" s="835"/>
      <c r="AIA32" s="835"/>
      <c r="AIB32" s="835"/>
      <c r="AIC32" s="835"/>
      <c r="AID32" s="835"/>
      <c r="AIE32" s="835"/>
      <c r="AIF32" s="835"/>
      <c r="AIG32" s="835"/>
      <c r="AIH32" s="835"/>
      <c r="AII32" s="835"/>
      <c r="AIJ32" s="835"/>
      <c r="AIK32" s="835"/>
      <c r="AIL32" s="835"/>
      <c r="AIM32" s="835"/>
      <c r="AIN32" s="835"/>
      <c r="AIO32" s="835"/>
      <c r="AIP32" s="835"/>
      <c r="AIQ32" s="835"/>
      <c r="AIR32" s="835"/>
      <c r="AIS32" s="835"/>
      <c r="AIT32" s="835"/>
      <c r="AIU32" s="835"/>
      <c r="AIV32" s="835"/>
      <c r="AIW32" s="835"/>
      <c r="AIX32" s="835"/>
      <c r="AIY32" s="835"/>
      <c r="AIZ32" s="835"/>
      <c r="AJA32" s="835"/>
      <c r="AJB32" s="835"/>
      <c r="AJC32" s="835"/>
      <c r="AJD32" s="835"/>
      <c r="AJE32" s="835"/>
      <c r="AJF32" s="835"/>
      <c r="AJG32" s="835"/>
      <c r="AJH32" s="835"/>
      <c r="AJI32" s="835"/>
      <c r="AJJ32" s="835"/>
      <c r="AJK32" s="835"/>
      <c r="AJL32" s="835"/>
      <c r="AJM32" s="835"/>
      <c r="AJN32" s="835"/>
      <c r="AJO32" s="835"/>
      <c r="AJP32" s="835"/>
      <c r="AJQ32" s="835"/>
      <c r="AJR32" s="835"/>
      <c r="AJS32" s="835"/>
      <c r="AJT32" s="835"/>
      <c r="AJU32" s="835"/>
      <c r="AJV32" s="835"/>
      <c r="AJW32" s="835"/>
      <c r="AJX32" s="835"/>
      <c r="AJY32" s="835"/>
      <c r="AJZ32" s="835"/>
      <c r="AKA32" s="835"/>
      <c r="AKB32" s="835"/>
      <c r="AKC32" s="835"/>
      <c r="AKD32" s="835"/>
      <c r="AKE32" s="835"/>
      <c r="AKF32" s="835"/>
      <c r="AKG32" s="835"/>
      <c r="AKH32" s="835"/>
      <c r="AKI32" s="835"/>
      <c r="AKJ32" s="835"/>
      <c r="AKK32" s="835"/>
      <c r="AKL32" s="835"/>
      <c r="AKM32" s="835"/>
      <c r="AKN32" s="835"/>
      <c r="AKO32" s="835"/>
      <c r="AKP32" s="835"/>
      <c r="AKQ32" s="835"/>
      <c r="AKR32" s="835"/>
      <c r="AKS32" s="835"/>
      <c r="AKT32" s="835"/>
      <c r="AKU32" s="835"/>
      <c r="AKV32" s="835"/>
      <c r="AKW32" s="835"/>
      <c r="AKX32" s="835"/>
      <c r="AKY32" s="835"/>
      <c r="AKZ32" s="835"/>
      <c r="ALA32" s="835"/>
      <c r="ALB32" s="835"/>
      <c r="ALC32" s="835"/>
      <c r="ALD32" s="835"/>
      <c r="ALE32" s="835"/>
      <c r="ALF32" s="835"/>
      <c r="ALG32" s="835"/>
      <c r="ALH32" s="835"/>
      <c r="ALI32" s="835"/>
      <c r="ALJ32" s="835"/>
      <c r="ALK32" s="835"/>
      <c r="ALL32" s="835"/>
      <c r="ALM32" s="835"/>
      <c r="ALN32" s="835"/>
      <c r="ALO32" s="835"/>
      <c r="ALP32" s="835"/>
      <c r="ALQ32" s="835"/>
      <c r="ALR32" s="835"/>
      <c r="ALS32" s="835"/>
      <c r="ALT32" s="835"/>
      <c r="ALU32" s="835"/>
      <c r="ALV32" s="835"/>
      <c r="ALW32" s="835"/>
      <c r="ALX32" s="835"/>
      <c r="ALY32" s="835"/>
      <c r="ALZ32" s="835"/>
      <c r="AMA32" s="835"/>
      <c r="AMB32" s="835"/>
      <c r="AMC32" s="835"/>
      <c r="AMD32" s="835"/>
      <c r="AME32" s="835"/>
      <c r="AMF32" s="835"/>
      <c r="AMG32" s="835"/>
      <c r="AMH32" s="835"/>
      <c r="AMI32" s="835"/>
      <c r="AMJ32" s="835"/>
      <c r="AMK32" s="835"/>
      <c r="AML32" s="835"/>
      <c r="AMM32" s="835"/>
      <c r="AMN32" s="835"/>
      <c r="AMO32" s="835"/>
      <c r="AMP32" s="835"/>
      <c r="AMQ32" s="835"/>
      <c r="AMR32" s="835"/>
      <c r="AMS32" s="835"/>
      <c r="AMT32" s="835"/>
      <c r="AMU32" s="835"/>
      <c r="AMV32" s="835"/>
      <c r="AMW32" s="835"/>
      <c r="AMX32" s="835"/>
      <c r="AMY32" s="835"/>
      <c r="AMZ32" s="835"/>
      <c r="ANA32" s="835"/>
      <c r="ANB32" s="835"/>
      <c r="ANC32" s="835"/>
      <c r="AND32" s="835"/>
      <c r="ANE32" s="835"/>
      <c r="ANF32" s="835"/>
      <c r="ANG32" s="835"/>
      <c r="ANH32" s="835"/>
      <c r="ANI32" s="835"/>
      <c r="ANJ32" s="835"/>
      <c r="ANK32" s="835"/>
      <c r="ANL32" s="835"/>
      <c r="ANM32" s="835"/>
      <c r="ANN32" s="835"/>
      <c r="ANO32" s="835"/>
      <c r="ANP32" s="835"/>
      <c r="ANQ32" s="835"/>
      <c r="ANR32" s="835"/>
      <c r="ANS32" s="835"/>
      <c r="ANT32" s="835"/>
      <c r="ANU32" s="835"/>
      <c r="ANV32" s="835"/>
      <c r="ANW32" s="835"/>
      <c r="ANX32" s="835"/>
      <c r="ANY32" s="835"/>
      <c r="ANZ32" s="835"/>
      <c r="AOA32" s="835"/>
      <c r="AOB32" s="835"/>
      <c r="AOC32" s="835"/>
      <c r="AOD32" s="835"/>
      <c r="AOE32" s="835"/>
      <c r="AOF32" s="835"/>
      <c r="AOG32" s="835"/>
      <c r="AOH32" s="835"/>
      <c r="AOI32" s="835"/>
      <c r="AOJ32" s="835"/>
      <c r="AOK32" s="835"/>
      <c r="AOL32" s="835"/>
      <c r="AOM32" s="835"/>
      <c r="AON32" s="835"/>
      <c r="AOO32" s="835"/>
      <c r="AOP32" s="835"/>
      <c r="AOQ32" s="835"/>
      <c r="AOR32" s="835"/>
      <c r="AOS32" s="835"/>
      <c r="AOT32" s="835"/>
      <c r="AOU32" s="835"/>
      <c r="AOV32" s="835"/>
      <c r="AOW32" s="835"/>
      <c r="AOX32" s="835"/>
      <c r="AOY32" s="835"/>
      <c r="AOZ32" s="835"/>
      <c r="APA32" s="835"/>
      <c r="APB32" s="835"/>
      <c r="APC32" s="835"/>
      <c r="APD32" s="835"/>
      <c r="APE32" s="835"/>
      <c r="APF32" s="835"/>
      <c r="APG32" s="835"/>
      <c r="APH32" s="835"/>
      <c r="API32" s="835"/>
      <c r="APJ32" s="835"/>
      <c r="APK32" s="835"/>
      <c r="APL32" s="835"/>
      <c r="APM32" s="835"/>
      <c r="APN32" s="835"/>
      <c r="APO32" s="835"/>
      <c r="APP32" s="835"/>
      <c r="APQ32" s="835"/>
      <c r="APR32" s="835"/>
      <c r="APS32" s="835"/>
      <c r="APT32" s="835"/>
      <c r="APU32" s="835"/>
      <c r="APV32" s="835"/>
      <c r="APW32" s="835"/>
      <c r="APX32" s="835"/>
      <c r="APY32" s="835"/>
      <c r="APZ32" s="835"/>
      <c r="AQA32" s="835"/>
      <c r="AQB32" s="835"/>
      <c r="AQC32" s="835"/>
      <c r="AQD32" s="835"/>
      <c r="AQE32" s="835"/>
      <c r="AQF32" s="835"/>
      <c r="AQG32" s="835"/>
      <c r="AQH32" s="835"/>
      <c r="AQI32" s="835"/>
      <c r="AQJ32" s="835"/>
      <c r="AQK32" s="835"/>
      <c r="AQL32" s="835"/>
      <c r="AQM32" s="835"/>
      <c r="AQN32" s="835"/>
      <c r="AQO32" s="835"/>
      <c r="AQP32" s="835"/>
      <c r="AQQ32" s="835"/>
      <c r="AQR32" s="835"/>
      <c r="AQS32" s="835"/>
      <c r="AQT32" s="835"/>
      <c r="AQU32" s="835"/>
      <c r="AQV32" s="835"/>
      <c r="AQW32" s="835"/>
      <c r="AQX32" s="835"/>
      <c r="AQY32" s="835"/>
      <c r="AQZ32" s="835"/>
      <c r="ARA32" s="835"/>
      <c r="ARB32" s="835"/>
      <c r="ARC32" s="835"/>
      <c r="ARD32" s="835"/>
      <c r="ARE32" s="835"/>
      <c r="ARF32" s="835"/>
      <c r="ARG32" s="835"/>
      <c r="ARH32" s="835"/>
      <c r="ARI32" s="835"/>
      <c r="ARJ32" s="835"/>
      <c r="ARK32" s="835"/>
      <c r="ARL32" s="835"/>
      <c r="ARM32" s="835"/>
      <c r="ARN32" s="835"/>
      <c r="ARO32" s="835"/>
      <c r="ARP32" s="835"/>
      <c r="ARQ32" s="835"/>
      <c r="ARR32" s="835"/>
      <c r="ARS32" s="835"/>
      <c r="ART32" s="835"/>
      <c r="ARU32" s="835"/>
      <c r="ARV32" s="835"/>
      <c r="ARW32" s="835"/>
      <c r="ARX32" s="835"/>
      <c r="ARY32" s="835"/>
      <c r="ARZ32" s="835"/>
      <c r="ASA32" s="835"/>
      <c r="ASB32" s="835"/>
      <c r="ASC32" s="835"/>
      <c r="ASD32" s="835"/>
      <c r="ASE32" s="835"/>
      <c r="ASF32" s="835"/>
      <c r="ASG32" s="835"/>
      <c r="ASH32" s="835"/>
      <c r="ASI32" s="835"/>
      <c r="ASJ32" s="835"/>
      <c r="ASK32" s="835"/>
      <c r="ASL32" s="835"/>
      <c r="ASM32" s="835"/>
      <c r="ASN32" s="835"/>
      <c r="ASO32" s="835"/>
      <c r="ASP32" s="835"/>
      <c r="ASQ32" s="835"/>
      <c r="ASR32" s="835"/>
      <c r="ASS32" s="835"/>
      <c r="AST32" s="835"/>
      <c r="ASU32" s="835"/>
      <c r="ASV32" s="835"/>
      <c r="ASW32" s="835"/>
      <c r="ASX32" s="835"/>
      <c r="ASY32" s="835"/>
      <c r="ASZ32" s="835"/>
      <c r="ATA32" s="835"/>
      <c r="ATB32" s="835"/>
      <c r="ATC32" s="835"/>
      <c r="ATD32" s="835"/>
      <c r="ATE32" s="835"/>
      <c r="ATF32" s="835"/>
      <c r="ATG32" s="835"/>
      <c r="ATH32" s="835"/>
      <c r="ATI32" s="835"/>
      <c r="ATJ32" s="835"/>
      <c r="ATK32" s="835"/>
      <c r="ATL32" s="835"/>
      <c r="ATM32" s="835"/>
      <c r="ATN32" s="835"/>
      <c r="ATO32" s="835"/>
      <c r="ATP32" s="835"/>
      <c r="ATQ32" s="835"/>
      <c r="ATR32" s="835"/>
      <c r="ATS32" s="835"/>
      <c r="ATT32" s="835"/>
      <c r="ATU32" s="835"/>
      <c r="ATV32" s="835"/>
      <c r="ATW32" s="835"/>
      <c r="ATX32" s="835"/>
      <c r="ATY32" s="835"/>
      <c r="ATZ32" s="835"/>
      <c r="AUA32" s="835"/>
      <c r="AUB32" s="835"/>
      <c r="AUC32" s="835"/>
      <c r="AUD32" s="835"/>
      <c r="AUE32" s="835"/>
      <c r="AUF32" s="835"/>
      <c r="AUG32" s="835"/>
      <c r="AUH32" s="835"/>
      <c r="AUI32" s="835"/>
      <c r="AUJ32" s="835"/>
      <c r="AUK32" s="835"/>
      <c r="AUL32" s="835"/>
      <c r="AUM32" s="835"/>
      <c r="AUN32" s="835"/>
      <c r="AUO32" s="835"/>
      <c r="AUP32" s="835"/>
      <c r="AUQ32" s="835"/>
      <c r="AUR32" s="835"/>
      <c r="AUS32" s="835"/>
      <c r="AUT32" s="835"/>
      <c r="AUU32" s="835"/>
      <c r="AUV32" s="835"/>
      <c r="AUW32" s="835"/>
      <c r="AUX32" s="835"/>
      <c r="AUY32" s="835"/>
      <c r="AUZ32" s="835"/>
      <c r="AVA32" s="835"/>
      <c r="AVB32" s="835"/>
      <c r="AVC32" s="835"/>
      <c r="AVD32" s="835"/>
      <c r="AVE32" s="835"/>
      <c r="AVF32" s="835"/>
      <c r="AVG32" s="835"/>
      <c r="AVH32" s="835"/>
      <c r="AVI32" s="835"/>
      <c r="AVJ32" s="835"/>
      <c r="AVK32" s="835"/>
      <c r="AVL32" s="835"/>
      <c r="AVM32" s="835"/>
      <c r="AVN32" s="835"/>
      <c r="AVO32" s="835"/>
      <c r="AVP32" s="835"/>
      <c r="AVQ32" s="835"/>
      <c r="AVR32" s="835"/>
      <c r="AVS32" s="835"/>
      <c r="AVT32" s="835"/>
      <c r="AVU32" s="835"/>
      <c r="AVV32" s="835"/>
      <c r="AVW32" s="835"/>
      <c r="AVX32" s="835"/>
      <c r="AVY32" s="835"/>
      <c r="AVZ32" s="835"/>
      <c r="AWA32" s="835"/>
      <c r="AWB32" s="835"/>
      <c r="AWC32" s="835"/>
      <c r="AWD32" s="835"/>
      <c r="AWE32" s="835"/>
      <c r="AWF32" s="835"/>
      <c r="AWG32" s="835"/>
      <c r="AWH32" s="835"/>
      <c r="AWI32" s="835"/>
      <c r="AWJ32" s="835"/>
      <c r="AWK32" s="835"/>
      <c r="AWL32" s="835"/>
      <c r="AWM32" s="835"/>
      <c r="AWN32" s="835"/>
      <c r="AWO32" s="835"/>
      <c r="AWP32" s="835"/>
      <c r="AWQ32" s="835"/>
      <c r="AWR32" s="835"/>
      <c r="AWS32" s="835"/>
      <c r="AWT32" s="835"/>
      <c r="AWU32" s="835"/>
      <c r="AWV32" s="835"/>
      <c r="AWW32" s="835"/>
      <c r="AWX32" s="835"/>
      <c r="AWY32" s="835"/>
      <c r="AWZ32" s="835"/>
      <c r="AXA32" s="835"/>
      <c r="AXB32" s="835"/>
      <c r="AXC32" s="835"/>
      <c r="AXD32" s="835"/>
      <c r="AXE32" s="835"/>
      <c r="AXF32" s="835"/>
      <c r="AXG32" s="835"/>
      <c r="AXH32" s="835"/>
      <c r="AXI32" s="835"/>
      <c r="AXJ32" s="835"/>
      <c r="AXK32" s="835"/>
      <c r="AXL32" s="835"/>
      <c r="AXM32" s="835"/>
      <c r="AXN32" s="835"/>
      <c r="AXO32" s="835"/>
      <c r="AXP32" s="835"/>
      <c r="AXQ32" s="835"/>
      <c r="AXR32" s="835"/>
      <c r="AXS32" s="835"/>
      <c r="AXT32" s="835"/>
      <c r="AXU32" s="835"/>
      <c r="AXV32" s="835"/>
      <c r="AXW32" s="835"/>
      <c r="AXX32" s="835"/>
      <c r="AXY32" s="835"/>
      <c r="AXZ32" s="835"/>
      <c r="AYA32" s="835"/>
      <c r="AYB32" s="835"/>
      <c r="AYC32" s="835"/>
      <c r="AYD32" s="835"/>
      <c r="AYE32" s="835"/>
      <c r="AYF32" s="835"/>
      <c r="AYG32" s="835"/>
      <c r="AYH32" s="835"/>
      <c r="AYI32" s="835"/>
      <c r="AYJ32" s="835"/>
      <c r="AYK32" s="835"/>
      <c r="AYL32" s="835"/>
      <c r="AYM32" s="835"/>
      <c r="AYN32" s="835"/>
      <c r="AYO32" s="835"/>
      <c r="AYP32" s="835"/>
      <c r="AYQ32" s="835"/>
      <c r="AYR32" s="835"/>
      <c r="AYS32" s="835"/>
      <c r="AYT32" s="835"/>
      <c r="AYU32" s="835"/>
      <c r="AYV32" s="835"/>
      <c r="AYW32" s="835"/>
      <c r="AYX32" s="835"/>
      <c r="AYY32" s="835"/>
      <c r="AYZ32" s="835"/>
      <c r="AZA32" s="835"/>
      <c r="AZB32" s="835"/>
      <c r="AZC32" s="835"/>
      <c r="AZD32" s="835"/>
      <c r="AZE32" s="835"/>
      <c r="AZF32" s="835"/>
      <c r="AZG32" s="835"/>
      <c r="AZH32" s="835"/>
      <c r="AZI32" s="835"/>
      <c r="AZJ32" s="835"/>
      <c r="AZK32" s="835"/>
      <c r="AZL32" s="835"/>
      <c r="AZM32" s="835"/>
      <c r="AZN32" s="835"/>
      <c r="AZO32" s="835"/>
      <c r="AZP32" s="835"/>
      <c r="AZQ32" s="835"/>
      <c r="AZR32" s="835"/>
      <c r="AZS32" s="835"/>
      <c r="AZT32" s="835"/>
      <c r="AZU32" s="835"/>
      <c r="AZV32" s="835"/>
      <c r="AZW32" s="835"/>
      <c r="AZX32" s="835"/>
      <c r="AZY32" s="835"/>
      <c r="AZZ32" s="835"/>
      <c r="BAA32" s="835"/>
      <c r="BAB32" s="835"/>
      <c r="BAC32" s="835"/>
      <c r="BAD32" s="835"/>
      <c r="BAE32" s="835"/>
      <c r="BAF32" s="835"/>
      <c r="BAG32" s="835"/>
      <c r="BAH32" s="835"/>
      <c r="BAI32" s="835"/>
      <c r="BAJ32" s="835"/>
      <c r="BAK32" s="835"/>
      <c r="BAL32" s="835"/>
      <c r="BAM32" s="835"/>
      <c r="BAN32" s="835"/>
      <c r="BAO32" s="835"/>
      <c r="BAP32" s="835"/>
      <c r="BAQ32" s="835"/>
      <c r="BAR32" s="835"/>
      <c r="BAS32" s="835"/>
      <c r="BAT32" s="835"/>
      <c r="BAU32" s="835"/>
      <c r="BAV32" s="835"/>
      <c r="BAW32" s="835"/>
      <c r="BAX32" s="835"/>
      <c r="BAY32" s="835"/>
      <c r="BAZ32" s="835"/>
      <c r="BBA32" s="835"/>
      <c r="BBB32" s="835"/>
      <c r="BBC32" s="835"/>
      <c r="BBD32" s="835"/>
      <c r="BBE32" s="835"/>
      <c r="BBF32" s="835"/>
      <c r="BBG32" s="835"/>
      <c r="BBH32" s="835"/>
      <c r="BBI32" s="835"/>
      <c r="BBJ32" s="835"/>
      <c r="BBK32" s="835"/>
      <c r="BBL32" s="835"/>
      <c r="BBM32" s="835"/>
      <c r="BBN32" s="835"/>
      <c r="BBO32" s="835"/>
      <c r="BBP32" s="835"/>
      <c r="BBQ32" s="835"/>
      <c r="BBR32" s="835"/>
      <c r="BBS32" s="835"/>
      <c r="BBT32" s="835"/>
      <c r="BBU32" s="835"/>
      <c r="BBV32" s="835"/>
      <c r="BBW32" s="835"/>
      <c r="BBX32" s="835"/>
      <c r="BBY32" s="835"/>
      <c r="BBZ32" s="835"/>
      <c r="BCA32" s="835"/>
      <c r="BCB32" s="835"/>
      <c r="BCC32" s="835"/>
      <c r="BCD32" s="835"/>
      <c r="BCE32" s="835"/>
      <c r="BCF32" s="835"/>
      <c r="BCG32" s="835"/>
      <c r="BCH32" s="835"/>
      <c r="BCI32" s="835"/>
      <c r="BCJ32" s="835"/>
      <c r="BCK32" s="835"/>
      <c r="BCL32" s="835"/>
      <c r="BCM32" s="835"/>
      <c r="BCN32" s="835"/>
      <c r="BCO32" s="835"/>
      <c r="BCP32" s="835"/>
      <c r="BCQ32" s="835"/>
      <c r="BCR32" s="835"/>
      <c r="BCS32" s="835"/>
      <c r="BCT32" s="835"/>
      <c r="BCU32" s="835"/>
      <c r="BCV32" s="835"/>
      <c r="BCW32" s="835"/>
      <c r="BCX32" s="835"/>
      <c r="BCY32" s="835"/>
      <c r="BCZ32" s="835"/>
      <c r="BDA32" s="835"/>
      <c r="BDB32" s="835"/>
      <c r="BDC32" s="835"/>
      <c r="BDD32" s="835"/>
      <c r="BDE32" s="835"/>
      <c r="BDF32" s="835"/>
      <c r="BDG32" s="835"/>
      <c r="BDH32" s="835"/>
      <c r="BDI32" s="835"/>
      <c r="BDJ32" s="835"/>
      <c r="BDK32" s="835"/>
      <c r="BDL32" s="835"/>
      <c r="BDM32" s="835"/>
      <c r="BDN32" s="835"/>
      <c r="BDO32" s="835"/>
      <c r="BDP32" s="835"/>
      <c r="BDQ32" s="835"/>
      <c r="BDR32" s="835"/>
      <c r="BDS32" s="835"/>
      <c r="BDT32" s="835"/>
      <c r="BDU32" s="835"/>
      <c r="BDV32" s="835"/>
      <c r="BDW32" s="835"/>
      <c r="BDX32" s="835"/>
      <c r="BDY32" s="835"/>
      <c r="BDZ32" s="835"/>
      <c r="BEA32" s="835"/>
      <c r="BEB32" s="835"/>
      <c r="BEC32" s="835"/>
      <c r="BED32" s="835"/>
      <c r="BEE32" s="835"/>
      <c r="BEF32" s="835"/>
      <c r="BEG32" s="835"/>
      <c r="BEH32" s="835"/>
      <c r="BEI32" s="835"/>
      <c r="BEJ32" s="835"/>
      <c r="BEK32" s="835"/>
      <c r="BEL32" s="835"/>
      <c r="BEM32" s="835"/>
      <c r="BEN32" s="835"/>
      <c r="BEO32" s="835"/>
      <c r="BEP32" s="835"/>
      <c r="BEQ32" s="835"/>
      <c r="BER32" s="835"/>
      <c r="BES32" s="835"/>
      <c r="BET32" s="835"/>
      <c r="BEU32" s="835"/>
      <c r="BEV32" s="835"/>
      <c r="BEW32" s="835"/>
      <c r="BEX32" s="835"/>
      <c r="BEY32" s="835"/>
      <c r="BEZ32" s="835"/>
      <c r="BFA32" s="835"/>
      <c r="BFB32" s="835"/>
      <c r="BFC32" s="835"/>
      <c r="BFD32" s="835"/>
      <c r="BFE32" s="835"/>
      <c r="BFF32" s="835"/>
      <c r="BFG32" s="835"/>
      <c r="BFH32" s="835"/>
      <c r="BFI32" s="835"/>
      <c r="BFJ32" s="835"/>
      <c r="BFK32" s="835"/>
      <c r="BFL32" s="835"/>
      <c r="BFM32" s="835"/>
      <c r="BFN32" s="835"/>
      <c r="BFO32" s="835"/>
      <c r="BFP32" s="835"/>
      <c r="BFQ32" s="835"/>
      <c r="BFR32" s="835"/>
      <c r="BFS32" s="835"/>
      <c r="BFT32" s="835"/>
      <c r="BFU32" s="835"/>
      <c r="BFV32" s="835"/>
      <c r="BFW32" s="835"/>
      <c r="BFX32" s="835"/>
      <c r="BFY32" s="835"/>
      <c r="BFZ32" s="835"/>
      <c r="BGA32" s="835"/>
      <c r="BGB32" s="835"/>
      <c r="BGC32" s="835"/>
      <c r="BGD32" s="835"/>
      <c r="BGE32" s="835"/>
      <c r="BGF32" s="835"/>
      <c r="BGG32" s="835"/>
      <c r="BGH32" s="835"/>
      <c r="BGI32" s="835"/>
      <c r="BGJ32" s="835"/>
      <c r="BGK32" s="835"/>
      <c r="BGL32" s="835"/>
      <c r="BGM32" s="835"/>
      <c r="BGN32" s="835"/>
      <c r="BGO32" s="835"/>
      <c r="BGP32" s="835"/>
      <c r="BGQ32" s="835"/>
      <c r="BGR32" s="835"/>
      <c r="BGS32" s="835"/>
      <c r="BGT32" s="835"/>
      <c r="BGU32" s="835"/>
      <c r="BGV32" s="835"/>
      <c r="BGW32" s="835"/>
      <c r="BGX32" s="835"/>
      <c r="BGY32" s="835"/>
      <c r="BGZ32" s="835"/>
      <c r="BHA32" s="835"/>
      <c r="BHB32" s="835"/>
      <c r="BHC32" s="835"/>
      <c r="BHD32" s="835"/>
      <c r="BHE32" s="835"/>
      <c r="BHF32" s="835"/>
      <c r="BHG32" s="835"/>
      <c r="BHH32" s="835"/>
      <c r="BHI32" s="835"/>
      <c r="BHJ32" s="835"/>
      <c r="BHK32" s="835"/>
      <c r="BHL32" s="835"/>
      <c r="BHM32" s="835"/>
      <c r="BHN32" s="835"/>
      <c r="BHO32" s="835"/>
      <c r="BHP32" s="835"/>
      <c r="BHQ32" s="835"/>
      <c r="BHR32" s="835"/>
      <c r="BHS32" s="835"/>
      <c r="BHT32" s="835"/>
      <c r="BHU32" s="835"/>
      <c r="BHV32" s="835"/>
      <c r="BHW32" s="835"/>
      <c r="BHX32" s="835"/>
      <c r="BHY32" s="835"/>
      <c r="BHZ32" s="835"/>
      <c r="BIA32" s="835"/>
      <c r="BIB32" s="835"/>
      <c r="BIC32" s="835"/>
      <c r="BID32" s="835"/>
      <c r="BIE32" s="835"/>
      <c r="BIF32" s="835"/>
      <c r="BIG32" s="835"/>
      <c r="BIH32" s="835"/>
      <c r="BII32" s="835"/>
      <c r="BIJ32" s="835"/>
      <c r="BIK32" s="835"/>
      <c r="BIL32" s="835"/>
      <c r="BIM32" s="835"/>
      <c r="BIN32" s="835"/>
      <c r="BIO32" s="835"/>
      <c r="BIP32" s="835"/>
      <c r="BIQ32" s="835"/>
      <c r="BIR32" s="835"/>
      <c r="BIS32" s="835"/>
      <c r="BIT32" s="835"/>
      <c r="BIU32" s="835"/>
      <c r="BIV32" s="835"/>
      <c r="BIW32" s="835"/>
      <c r="BIX32" s="835"/>
      <c r="BIY32" s="835"/>
      <c r="BIZ32" s="835"/>
      <c r="BJA32" s="835"/>
      <c r="BJB32" s="835"/>
      <c r="BJC32" s="835"/>
      <c r="BJD32" s="835"/>
      <c r="BJE32" s="835"/>
      <c r="BJF32" s="835"/>
      <c r="BJG32" s="835"/>
      <c r="BJH32" s="835"/>
      <c r="BJI32" s="835"/>
      <c r="BJJ32" s="835"/>
      <c r="BJK32" s="835"/>
      <c r="BJL32" s="835"/>
      <c r="BJM32" s="835"/>
      <c r="BJN32" s="835"/>
      <c r="BJO32" s="835"/>
      <c r="BJP32" s="835"/>
      <c r="BJQ32" s="835"/>
      <c r="BJR32" s="835"/>
      <c r="BJS32" s="835"/>
      <c r="BJT32" s="835"/>
      <c r="BJU32" s="835"/>
      <c r="BJV32" s="835"/>
      <c r="BJW32" s="835"/>
      <c r="BJX32" s="835"/>
      <c r="BJY32" s="835"/>
      <c r="BJZ32" s="835"/>
      <c r="BKA32" s="835"/>
      <c r="BKB32" s="835"/>
      <c r="BKC32" s="835"/>
      <c r="BKD32" s="835"/>
      <c r="BKE32" s="835"/>
      <c r="BKF32" s="835"/>
      <c r="BKG32" s="835"/>
      <c r="BKH32" s="835"/>
      <c r="BKI32" s="835"/>
      <c r="BKJ32" s="835"/>
      <c r="BKK32" s="835"/>
      <c r="BKL32" s="835"/>
      <c r="BKM32" s="835"/>
      <c r="BKN32" s="835"/>
      <c r="BKO32" s="835"/>
      <c r="BKP32" s="835"/>
      <c r="BKQ32" s="835"/>
      <c r="BKR32" s="835"/>
      <c r="BKS32" s="835"/>
      <c r="BKT32" s="835"/>
      <c r="BKU32" s="835"/>
      <c r="BKV32" s="835"/>
      <c r="BKW32" s="835"/>
      <c r="BKX32" s="835"/>
      <c r="BKY32" s="835"/>
      <c r="BKZ32" s="835"/>
      <c r="BLA32" s="835"/>
      <c r="BLB32" s="835"/>
      <c r="BLC32" s="835"/>
      <c r="BLD32" s="835"/>
      <c r="BLE32" s="835"/>
      <c r="BLF32" s="835"/>
      <c r="BLG32" s="835"/>
      <c r="BLH32" s="835"/>
      <c r="BLI32" s="835"/>
      <c r="BLJ32" s="835"/>
      <c r="BLK32" s="835"/>
      <c r="BLL32" s="835"/>
      <c r="BLM32" s="835"/>
      <c r="BLN32" s="835"/>
      <c r="BLO32" s="835"/>
      <c r="BLP32" s="835"/>
      <c r="BLQ32" s="835"/>
      <c r="BLR32" s="835"/>
      <c r="BLS32" s="835"/>
      <c r="BLT32" s="835"/>
      <c r="BLU32" s="835"/>
      <c r="BLV32" s="835"/>
      <c r="BLW32" s="835"/>
      <c r="BLX32" s="835"/>
      <c r="BLY32" s="835"/>
      <c r="BLZ32" s="835"/>
      <c r="BMA32" s="835"/>
      <c r="BMB32" s="835"/>
      <c r="BMC32" s="835"/>
      <c r="BMD32" s="835"/>
      <c r="BME32" s="835"/>
      <c r="BMF32" s="835"/>
      <c r="BMG32" s="835"/>
      <c r="BMH32" s="835"/>
      <c r="BMI32" s="835"/>
      <c r="BMJ32" s="835"/>
      <c r="BMK32" s="835"/>
      <c r="BML32" s="835"/>
      <c r="BMM32" s="835"/>
      <c r="BMN32" s="835"/>
      <c r="BMO32" s="835"/>
      <c r="BMP32" s="835"/>
      <c r="BMQ32" s="835"/>
      <c r="BMR32" s="835"/>
      <c r="BMS32" s="835"/>
      <c r="BMT32" s="835"/>
      <c r="BMU32" s="835"/>
      <c r="BMV32" s="835"/>
      <c r="BMW32" s="835"/>
      <c r="BMX32" s="835"/>
      <c r="BMY32" s="835"/>
      <c r="BMZ32" s="835"/>
      <c r="BNA32" s="835"/>
      <c r="BNB32" s="835"/>
      <c r="BNC32" s="835"/>
      <c r="BND32" s="835"/>
      <c r="BNE32" s="835"/>
      <c r="BNF32" s="835"/>
      <c r="BNG32" s="835"/>
      <c r="BNH32" s="835"/>
      <c r="BNI32" s="835"/>
      <c r="BNJ32" s="835"/>
      <c r="BNK32" s="835"/>
      <c r="BNL32" s="835"/>
      <c r="BNM32" s="835"/>
      <c r="BNN32" s="835"/>
      <c r="BNO32" s="835"/>
      <c r="BNP32" s="835"/>
      <c r="BNQ32" s="835"/>
      <c r="BNR32" s="835"/>
      <c r="BNS32" s="835"/>
      <c r="BNT32" s="835"/>
      <c r="BNU32" s="835"/>
      <c r="BNV32" s="835"/>
      <c r="BNW32" s="835"/>
      <c r="BNX32" s="835"/>
      <c r="BNY32" s="835"/>
      <c r="BNZ32" s="835"/>
      <c r="BOA32" s="835"/>
      <c r="BOB32" s="835"/>
      <c r="BOC32" s="835"/>
      <c r="BOD32" s="835"/>
      <c r="BOE32" s="835"/>
      <c r="BOF32" s="835"/>
      <c r="BOG32" s="835"/>
      <c r="BOH32" s="835"/>
      <c r="BOI32" s="835"/>
      <c r="BOJ32" s="835"/>
      <c r="BOK32" s="835"/>
      <c r="BOL32" s="835"/>
      <c r="BOM32" s="835"/>
      <c r="BON32" s="835"/>
      <c r="BOO32" s="835"/>
      <c r="BOP32" s="835"/>
      <c r="BOQ32" s="835"/>
      <c r="BOR32" s="835"/>
      <c r="BOS32" s="835"/>
      <c r="BOT32" s="835"/>
      <c r="BOU32" s="835"/>
      <c r="BOV32" s="835"/>
      <c r="BOW32" s="835"/>
      <c r="BOX32" s="835"/>
      <c r="BOY32" s="835"/>
      <c r="BOZ32" s="835"/>
      <c r="BPA32" s="835"/>
      <c r="BPB32" s="835"/>
      <c r="BPC32" s="835"/>
      <c r="BPD32" s="835"/>
      <c r="BPE32" s="835"/>
      <c r="BPF32" s="835"/>
      <c r="BPG32" s="835"/>
      <c r="BPH32" s="835"/>
      <c r="BPI32" s="835"/>
      <c r="BPJ32" s="835"/>
      <c r="BPK32" s="835"/>
      <c r="BPL32" s="835"/>
      <c r="BPM32" s="835"/>
      <c r="BPN32" s="835"/>
      <c r="BPO32" s="835"/>
      <c r="BPP32" s="835"/>
      <c r="BPQ32" s="835"/>
      <c r="BPR32" s="835"/>
      <c r="BPS32" s="835"/>
      <c r="BPT32" s="835"/>
      <c r="BPU32" s="835"/>
      <c r="BPV32" s="835"/>
      <c r="BPW32" s="835"/>
      <c r="BPX32" s="835"/>
      <c r="BPY32" s="835"/>
      <c r="BPZ32" s="835"/>
      <c r="BQA32" s="835"/>
      <c r="BQB32" s="835"/>
      <c r="BQC32" s="835"/>
      <c r="BQD32" s="835"/>
      <c r="BQE32" s="835"/>
      <c r="BQF32" s="835"/>
      <c r="BQG32" s="835"/>
      <c r="BQH32" s="835"/>
      <c r="BQI32" s="835"/>
      <c r="BQJ32" s="835"/>
      <c r="BQK32" s="835"/>
      <c r="BQL32" s="835"/>
      <c r="BQM32" s="835"/>
      <c r="BQN32" s="835"/>
      <c r="BQO32" s="835"/>
      <c r="BQP32" s="835"/>
      <c r="BQQ32" s="835"/>
      <c r="BQR32" s="835"/>
      <c r="BQS32" s="835"/>
      <c r="BQT32" s="835"/>
      <c r="BQU32" s="835"/>
      <c r="BQV32" s="835"/>
      <c r="BQW32" s="835"/>
      <c r="BQX32" s="835"/>
      <c r="BQY32" s="835"/>
      <c r="BQZ32" s="835"/>
      <c r="BRA32" s="835"/>
      <c r="BRB32" s="835"/>
      <c r="BRC32" s="835"/>
      <c r="BRD32" s="835"/>
      <c r="BRE32" s="835"/>
      <c r="BRF32" s="835"/>
      <c r="BRG32" s="835"/>
      <c r="BRH32" s="835"/>
      <c r="BRI32" s="835"/>
      <c r="BRJ32" s="835"/>
      <c r="BRK32" s="835"/>
      <c r="BRL32" s="835"/>
      <c r="BRM32" s="835"/>
      <c r="BRN32" s="835"/>
      <c r="BRO32" s="835"/>
      <c r="BRP32" s="835"/>
      <c r="BRQ32" s="835"/>
      <c r="BRR32" s="835"/>
      <c r="BRS32" s="835"/>
      <c r="BRT32" s="835"/>
      <c r="BRU32" s="835"/>
      <c r="BRV32" s="835"/>
      <c r="BRW32" s="835"/>
      <c r="BRX32" s="835"/>
      <c r="BRY32" s="835"/>
      <c r="BRZ32" s="835"/>
      <c r="BSA32" s="835"/>
      <c r="BSB32" s="835"/>
      <c r="BSC32" s="835"/>
      <c r="BSD32" s="835"/>
      <c r="BSE32" s="835"/>
      <c r="BSF32" s="835"/>
      <c r="BSG32" s="835"/>
      <c r="BSH32" s="835"/>
      <c r="BSI32" s="835"/>
      <c r="BSJ32" s="835"/>
      <c r="BSK32" s="835"/>
      <c r="BSL32" s="835"/>
      <c r="BSM32" s="835"/>
      <c r="BSN32" s="835"/>
      <c r="BSO32" s="835"/>
      <c r="BSP32" s="835"/>
      <c r="BSQ32" s="835"/>
      <c r="BSR32" s="835"/>
      <c r="BSS32" s="835"/>
      <c r="BST32" s="835"/>
    </row>
    <row r="33" spans="1:1866" s="831" customFormat="1" ht="21.9" customHeight="1" x14ac:dyDescent="0.25">
      <c r="A33" s="835"/>
      <c r="B33" s="3168" t="s">
        <v>842</v>
      </c>
      <c r="C33" s="3169"/>
      <c r="D33" s="3159"/>
      <c r="E33" s="1471"/>
      <c r="F33" s="1471"/>
      <c r="G33" s="1471"/>
      <c r="H33" s="1471"/>
      <c r="I33" s="1471"/>
      <c r="J33" s="1471"/>
      <c r="K33" s="1471"/>
      <c r="L33" s="1471"/>
      <c r="M33" s="1471"/>
      <c r="N33" s="1471"/>
      <c r="O33" s="1471"/>
      <c r="P33" s="1471"/>
      <c r="Q33" s="1471"/>
      <c r="R33" s="1471"/>
      <c r="S33" s="1471"/>
      <c r="T33" s="1471"/>
      <c r="U33" s="1471"/>
      <c r="V33" s="1472"/>
      <c r="W33" s="835"/>
      <c r="X33" s="835"/>
      <c r="Y33" s="835"/>
      <c r="Z33" s="835"/>
      <c r="AA33" s="869"/>
      <c r="AB33" s="835"/>
      <c r="AC33" s="835"/>
      <c r="AD33" s="835"/>
      <c r="AE33" s="835"/>
      <c r="AF33" s="835"/>
      <c r="AG33" s="835"/>
      <c r="AH33" s="835"/>
      <c r="AI33" s="835"/>
      <c r="AJ33" s="835"/>
      <c r="AK33" s="835"/>
      <c r="AL33" s="835"/>
      <c r="AM33" s="835"/>
      <c r="AN33" s="835"/>
      <c r="AO33" s="835"/>
      <c r="AP33" s="835"/>
      <c r="AQ33" s="835"/>
      <c r="AR33" s="835"/>
      <c r="AS33" s="835"/>
      <c r="AT33" s="835"/>
      <c r="AU33" s="835"/>
      <c r="AV33" s="835"/>
      <c r="AW33" s="835"/>
      <c r="AX33" s="835"/>
      <c r="AY33" s="835"/>
      <c r="AZ33" s="835"/>
      <c r="BA33" s="835"/>
      <c r="BB33" s="835"/>
      <c r="BC33" s="835"/>
      <c r="BD33" s="835"/>
      <c r="BE33" s="835"/>
      <c r="BF33" s="835"/>
      <c r="BG33" s="835"/>
      <c r="BH33" s="835"/>
      <c r="BI33" s="835"/>
      <c r="BJ33" s="835"/>
      <c r="BK33" s="835"/>
      <c r="BL33" s="835"/>
      <c r="BM33" s="835"/>
      <c r="BN33" s="835"/>
      <c r="BO33" s="835"/>
      <c r="BP33" s="835"/>
      <c r="BQ33" s="835"/>
      <c r="BR33" s="835"/>
      <c r="BS33" s="835"/>
      <c r="BT33" s="835"/>
      <c r="BU33" s="835"/>
      <c r="BV33" s="835"/>
      <c r="BW33" s="835"/>
      <c r="BX33" s="835"/>
      <c r="BY33" s="835"/>
      <c r="BZ33" s="835"/>
      <c r="CA33" s="835"/>
      <c r="CB33" s="835"/>
      <c r="CC33" s="835"/>
      <c r="CD33" s="835"/>
      <c r="CE33" s="835"/>
      <c r="CF33" s="835"/>
      <c r="CG33" s="835"/>
      <c r="CH33" s="835"/>
      <c r="CI33" s="835"/>
      <c r="CJ33" s="835"/>
      <c r="CK33" s="835"/>
      <c r="CL33" s="835"/>
      <c r="CM33" s="835"/>
      <c r="CN33" s="835"/>
      <c r="CO33" s="835"/>
      <c r="CP33" s="835"/>
      <c r="CQ33" s="835"/>
      <c r="CR33" s="835"/>
      <c r="CS33" s="835"/>
      <c r="CT33" s="835"/>
      <c r="CU33" s="835"/>
      <c r="CV33" s="835"/>
      <c r="CW33" s="835"/>
      <c r="CX33" s="835"/>
      <c r="CY33" s="835"/>
      <c r="CZ33" s="835"/>
      <c r="DA33" s="835"/>
      <c r="DB33" s="835"/>
      <c r="DC33" s="835"/>
      <c r="DD33" s="835"/>
      <c r="DE33" s="835"/>
      <c r="DF33" s="835"/>
      <c r="DG33" s="835"/>
      <c r="DH33" s="835"/>
      <c r="DI33" s="835"/>
      <c r="DJ33" s="835"/>
      <c r="DK33" s="835"/>
      <c r="DL33" s="835"/>
      <c r="DM33" s="835"/>
      <c r="DN33" s="835"/>
      <c r="DO33" s="835"/>
      <c r="DP33" s="835"/>
      <c r="DQ33" s="835"/>
      <c r="DR33" s="835"/>
      <c r="DS33" s="835"/>
      <c r="DT33" s="835"/>
      <c r="DU33" s="835"/>
      <c r="DV33" s="835"/>
      <c r="DW33" s="835"/>
      <c r="DX33" s="835"/>
      <c r="DY33" s="835"/>
      <c r="DZ33" s="835"/>
      <c r="EA33" s="835"/>
      <c r="EB33" s="835"/>
      <c r="EC33" s="835"/>
      <c r="ED33" s="835"/>
      <c r="EE33" s="835"/>
      <c r="EF33" s="835"/>
      <c r="EG33" s="835"/>
      <c r="EH33" s="835"/>
      <c r="EI33" s="835"/>
      <c r="EJ33" s="835"/>
      <c r="EK33" s="835"/>
      <c r="EL33" s="835"/>
      <c r="EM33" s="835"/>
      <c r="EN33" s="835"/>
      <c r="EO33" s="835"/>
      <c r="EP33" s="835"/>
      <c r="EQ33" s="835"/>
      <c r="ER33" s="835"/>
      <c r="ES33" s="835"/>
      <c r="ET33" s="835"/>
      <c r="EU33" s="835"/>
      <c r="EV33" s="835"/>
      <c r="EW33" s="835"/>
      <c r="EX33" s="835"/>
      <c r="EY33" s="835"/>
      <c r="EZ33" s="835"/>
      <c r="FA33" s="835"/>
      <c r="FB33" s="835"/>
      <c r="FC33" s="835"/>
      <c r="FD33" s="835"/>
      <c r="FE33" s="835"/>
      <c r="FF33" s="835"/>
      <c r="FG33" s="835"/>
      <c r="FH33" s="835"/>
      <c r="FI33" s="835"/>
      <c r="FJ33" s="835"/>
      <c r="FK33" s="835"/>
      <c r="FL33" s="835"/>
      <c r="FM33" s="835"/>
      <c r="FN33" s="835"/>
      <c r="FO33" s="835"/>
      <c r="FP33" s="835"/>
      <c r="FQ33" s="835"/>
      <c r="FR33" s="835"/>
      <c r="FS33" s="835"/>
      <c r="FT33" s="835"/>
      <c r="FU33" s="835"/>
      <c r="FV33" s="835"/>
      <c r="FW33" s="835"/>
      <c r="FX33" s="835"/>
      <c r="FY33" s="835"/>
      <c r="FZ33" s="835"/>
      <c r="GA33" s="835"/>
      <c r="GB33" s="835"/>
      <c r="GC33" s="835"/>
      <c r="GD33" s="835"/>
      <c r="GE33" s="835"/>
      <c r="GF33" s="835"/>
      <c r="GG33" s="835"/>
      <c r="GH33" s="835"/>
      <c r="GI33" s="835"/>
      <c r="GJ33" s="835"/>
      <c r="GK33" s="835"/>
      <c r="GL33" s="835"/>
      <c r="GM33" s="835"/>
      <c r="GN33" s="835"/>
      <c r="GO33" s="835"/>
      <c r="GP33" s="835"/>
      <c r="GQ33" s="835"/>
      <c r="GR33" s="835"/>
      <c r="GS33" s="835"/>
      <c r="GT33" s="835"/>
      <c r="GU33" s="835"/>
      <c r="GV33" s="835"/>
      <c r="GW33" s="835"/>
      <c r="GX33" s="835"/>
      <c r="GY33" s="835"/>
      <c r="GZ33" s="835"/>
      <c r="HA33" s="835"/>
      <c r="HB33" s="835"/>
      <c r="HC33" s="835"/>
      <c r="HD33" s="835"/>
      <c r="HE33" s="835"/>
      <c r="HF33" s="835"/>
      <c r="HG33" s="835"/>
      <c r="HH33" s="835"/>
      <c r="HI33" s="835"/>
      <c r="HJ33" s="835"/>
      <c r="HK33" s="835"/>
      <c r="HL33" s="835"/>
      <c r="HM33" s="835"/>
      <c r="HN33" s="835"/>
      <c r="HO33" s="835"/>
      <c r="HP33" s="835"/>
      <c r="HQ33" s="835"/>
      <c r="HR33" s="835"/>
      <c r="HS33" s="835"/>
      <c r="HT33" s="835"/>
      <c r="HU33" s="835"/>
      <c r="HV33" s="835"/>
      <c r="HW33" s="835"/>
      <c r="HX33" s="835"/>
      <c r="HY33" s="835"/>
      <c r="HZ33" s="835"/>
      <c r="IA33" s="835"/>
      <c r="IB33" s="835"/>
      <c r="IC33" s="835"/>
      <c r="ID33" s="835"/>
      <c r="IE33" s="835"/>
      <c r="IF33" s="835"/>
      <c r="IG33" s="835"/>
      <c r="IH33" s="835"/>
      <c r="II33" s="835"/>
      <c r="IJ33" s="835"/>
      <c r="IK33" s="835"/>
      <c r="IL33" s="835"/>
      <c r="IM33" s="835"/>
      <c r="IN33" s="835"/>
      <c r="IO33" s="835"/>
      <c r="IP33" s="835"/>
      <c r="IQ33" s="835"/>
      <c r="IR33" s="835"/>
      <c r="IS33" s="835"/>
      <c r="IT33" s="835"/>
      <c r="IU33" s="835"/>
      <c r="IV33" s="835"/>
      <c r="IW33" s="835"/>
      <c r="IX33" s="835"/>
      <c r="IY33" s="835"/>
      <c r="IZ33" s="835"/>
      <c r="JA33" s="835"/>
      <c r="JB33" s="835"/>
      <c r="JC33" s="835"/>
      <c r="JD33" s="835"/>
      <c r="JE33" s="835"/>
      <c r="JF33" s="835"/>
      <c r="JG33" s="835"/>
      <c r="JH33" s="835"/>
      <c r="JI33" s="835"/>
      <c r="JJ33" s="835"/>
      <c r="JK33" s="835"/>
      <c r="JL33" s="835"/>
      <c r="JM33" s="835"/>
      <c r="JN33" s="835"/>
      <c r="JO33" s="835"/>
      <c r="JP33" s="835"/>
      <c r="JQ33" s="835"/>
      <c r="JR33" s="835"/>
      <c r="JS33" s="835"/>
      <c r="JT33" s="835"/>
      <c r="JU33" s="835"/>
      <c r="JV33" s="835"/>
      <c r="JW33" s="835"/>
      <c r="JX33" s="835"/>
      <c r="JY33" s="835"/>
      <c r="JZ33" s="835"/>
      <c r="KA33" s="835"/>
      <c r="KB33" s="835"/>
      <c r="KC33" s="835"/>
      <c r="KD33" s="835"/>
      <c r="KE33" s="835"/>
      <c r="KF33" s="835"/>
      <c r="KG33" s="835"/>
      <c r="KH33" s="835"/>
      <c r="KI33" s="835"/>
      <c r="KJ33" s="835"/>
      <c r="KK33" s="835"/>
      <c r="KL33" s="835"/>
      <c r="KM33" s="835"/>
      <c r="KN33" s="835"/>
      <c r="KO33" s="835"/>
      <c r="KP33" s="835"/>
      <c r="KQ33" s="835"/>
      <c r="KR33" s="835"/>
      <c r="KS33" s="835"/>
      <c r="KT33" s="835"/>
      <c r="KU33" s="835"/>
      <c r="KV33" s="835"/>
      <c r="KW33" s="835"/>
      <c r="KX33" s="835"/>
      <c r="KY33" s="835"/>
      <c r="KZ33" s="835"/>
      <c r="LA33" s="835"/>
      <c r="LB33" s="835"/>
      <c r="LC33" s="835"/>
      <c r="LD33" s="835"/>
      <c r="LE33" s="835"/>
      <c r="LF33" s="835"/>
      <c r="LG33" s="835"/>
      <c r="LH33" s="835"/>
      <c r="LI33" s="835"/>
      <c r="LJ33" s="835"/>
      <c r="LK33" s="835"/>
      <c r="LL33" s="835"/>
      <c r="LM33" s="835"/>
      <c r="LN33" s="835"/>
      <c r="LO33" s="835"/>
      <c r="LP33" s="835"/>
      <c r="LQ33" s="835"/>
      <c r="LR33" s="835"/>
      <c r="LS33" s="835"/>
      <c r="LT33" s="835"/>
      <c r="LU33" s="835"/>
      <c r="LV33" s="835"/>
      <c r="LW33" s="835"/>
      <c r="LX33" s="835"/>
      <c r="LY33" s="835"/>
      <c r="LZ33" s="835"/>
      <c r="MA33" s="835"/>
      <c r="MB33" s="835"/>
      <c r="MC33" s="835"/>
      <c r="MD33" s="835"/>
      <c r="ME33" s="835"/>
      <c r="MF33" s="835"/>
      <c r="MG33" s="835"/>
      <c r="MH33" s="835"/>
      <c r="MI33" s="835"/>
      <c r="MJ33" s="835"/>
      <c r="MK33" s="835"/>
      <c r="ML33" s="835"/>
      <c r="MM33" s="835"/>
      <c r="MN33" s="835"/>
      <c r="MO33" s="835"/>
      <c r="MP33" s="835"/>
      <c r="MQ33" s="835"/>
      <c r="MR33" s="835"/>
      <c r="MS33" s="835"/>
      <c r="MT33" s="835"/>
      <c r="MU33" s="835"/>
      <c r="MV33" s="835"/>
      <c r="MW33" s="835"/>
      <c r="MX33" s="835"/>
      <c r="MY33" s="835"/>
      <c r="MZ33" s="835"/>
      <c r="NA33" s="835"/>
      <c r="NB33" s="835"/>
      <c r="NC33" s="835"/>
      <c r="ND33" s="835"/>
      <c r="NE33" s="835"/>
      <c r="NF33" s="835"/>
      <c r="NG33" s="835"/>
      <c r="NH33" s="835"/>
      <c r="NI33" s="835"/>
      <c r="NJ33" s="835"/>
      <c r="NK33" s="835"/>
      <c r="NL33" s="835"/>
      <c r="NM33" s="835"/>
      <c r="NN33" s="835"/>
      <c r="NO33" s="835"/>
      <c r="NP33" s="835"/>
      <c r="NQ33" s="835"/>
      <c r="NR33" s="835"/>
      <c r="NS33" s="835"/>
      <c r="NT33" s="835"/>
      <c r="NU33" s="835"/>
      <c r="NV33" s="835"/>
      <c r="NW33" s="835"/>
      <c r="NX33" s="835"/>
      <c r="NY33" s="835"/>
      <c r="NZ33" s="835"/>
      <c r="OA33" s="835"/>
      <c r="OB33" s="835"/>
      <c r="OC33" s="835"/>
      <c r="OD33" s="835"/>
      <c r="OE33" s="835"/>
      <c r="OF33" s="835"/>
      <c r="OG33" s="835"/>
      <c r="OH33" s="835"/>
      <c r="OI33" s="835"/>
      <c r="OJ33" s="835"/>
      <c r="OK33" s="835"/>
      <c r="OL33" s="835"/>
      <c r="OM33" s="835"/>
      <c r="ON33" s="835"/>
      <c r="OO33" s="835"/>
      <c r="OP33" s="835"/>
      <c r="OQ33" s="835"/>
      <c r="OR33" s="835"/>
      <c r="OS33" s="835"/>
      <c r="OT33" s="835"/>
      <c r="OU33" s="835"/>
      <c r="OV33" s="835"/>
      <c r="OW33" s="835"/>
      <c r="OX33" s="835"/>
      <c r="OY33" s="835"/>
      <c r="OZ33" s="835"/>
      <c r="PA33" s="835"/>
      <c r="PB33" s="835"/>
      <c r="PC33" s="835"/>
      <c r="PD33" s="835"/>
      <c r="PE33" s="835"/>
      <c r="PF33" s="835"/>
      <c r="PG33" s="835"/>
      <c r="PH33" s="835"/>
      <c r="PI33" s="835"/>
      <c r="PJ33" s="835"/>
      <c r="PK33" s="835"/>
      <c r="PL33" s="835"/>
      <c r="PM33" s="835"/>
      <c r="PN33" s="835"/>
      <c r="PO33" s="835"/>
      <c r="PP33" s="835"/>
      <c r="PQ33" s="835"/>
      <c r="PR33" s="835"/>
      <c r="PS33" s="835"/>
      <c r="PT33" s="835"/>
      <c r="PU33" s="835"/>
      <c r="PV33" s="835"/>
      <c r="PW33" s="835"/>
      <c r="PX33" s="835"/>
      <c r="PY33" s="835"/>
      <c r="PZ33" s="835"/>
      <c r="QA33" s="835"/>
      <c r="QB33" s="835"/>
      <c r="QC33" s="835"/>
      <c r="QD33" s="835"/>
      <c r="QE33" s="835"/>
      <c r="QF33" s="835"/>
      <c r="QG33" s="835"/>
      <c r="QH33" s="835"/>
      <c r="QI33" s="835"/>
      <c r="QJ33" s="835"/>
      <c r="QK33" s="835"/>
      <c r="QL33" s="835"/>
      <c r="QM33" s="835"/>
      <c r="QN33" s="835"/>
      <c r="QO33" s="835"/>
      <c r="QP33" s="835"/>
      <c r="QQ33" s="835"/>
      <c r="QR33" s="835"/>
      <c r="QS33" s="835"/>
      <c r="QT33" s="835"/>
      <c r="QU33" s="835"/>
      <c r="QV33" s="835"/>
      <c r="QW33" s="835"/>
      <c r="QX33" s="835"/>
      <c r="QY33" s="835"/>
      <c r="QZ33" s="835"/>
      <c r="RA33" s="835"/>
      <c r="RB33" s="835"/>
      <c r="RC33" s="835"/>
      <c r="RD33" s="835"/>
      <c r="RE33" s="835"/>
      <c r="RF33" s="835"/>
      <c r="RG33" s="835"/>
      <c r="RH33" s="835"/>
      <c r="RI33" s="835"/>
      <c r="RJ33" s="835"/>
      <c r="RK33" s="835"/>
      <c r="RL33" s="835"/>
      <c r="RM33" s="835"/>
      <c r="RN33" s="835"/>
      <c r="RO33" s="835"/>
      <c r="RP33" s="835"/>
      <c r="RQ33" s="835"/>
      <c r="RR33" s="835"/>
      <c r="RS33" s="835"/>
      <c r="RT33" s="835"/>
      <c r="RU33" s="835"/>
      <c r="RV33" s="835"/>
      <c r="RW33" s="835"/>
      <c r="RX33" s="835"/>
      <c r="RY33" s="835"/>
      <c r="RZ33" s="835"/>
      <c r="SA33" s="835"/>
      <c r="SB33" s="835"/>
      <c r="SC33" s="835"/>
      <c r="SD33" s="835"/>
      <c r="SE33" s="835"/>
      <c r="SF33" s="835"/>
      <c r="SG33" s="835"/>
      <c r="SH33" s="835"/>
      <c r="SI33" s="835"/>
      <c r="SJ33" s="835"/>
      <c r="SK33" s="835"/>
      <c r="SL33" s="835"/>
      <c r="SM33" s="835"/>
      <c r="SN33" s="835"/>
      <c r="SO33" s="835"/>
      <c r="SP33" s="835"/>
      <c r="SQ33" s="835"/>
      <c r="SR33" s="835"/>
      <c r="SS33" s="835"/>
      <c r="ST33" s="835"/>
      <c r="SU33" s="835"/>
      <c r="SV33" s="835"/>
      <c r="SW33" s="835"/>
      <c r="SX33" s="835"/>
      <c r="SY33" s="835"/>
      <c r="SZ33" s="835"/>
      <c r="TA33" s="835"/>
      <c r="TB33" s="835"/>
      <c r="TC33" s="835"/>
      <c r="TD33" s="835"/>
      <c r="TE33" s="835"/>
      <c r="TF33" s="835"/>
      <c r="TG33" s="835"/>
      <c r="TH33" s="835"/>
      <c r="TI33" s="835"/>
      <c r="TJ33" s="835"/>
      <c r="TK33" s="835"/>
      <c r="TL33" s="835"/>
      <c r="TM33" s="835"/>
      <c r="TN33" s="835"/>
      <c r="TO33" s="835"/>
      <c r="TP33" s="835"/>
      <c r="TQ33" s="835"/>
      <c r="TR33" s="835"/>
      <c r="TS33" s="835"/>
      <c r="TT33" s="835"/>
      <c r="TU33" s="835"/>
      <c r="TV33" s="835"/>
      <c r="TW33" s="835"/>
      <c r="TX33" s="835"/>
      <c r="TY33" s="835"/>
      <c r="TZ33" s="835"/>
      <c r="UA33" s="835"/>
      <c r="UB33" s="835"/>
      <c r="UC33" s="835"/>
      <c r="UD33" s="835"/>
      <c r="UE33" s="835"/>
      <c r="UF33" s="835"/>
      <c r="UG33" s="835"/>
      <c r="UH33" s="835"/>
      <c r="UI33" s="835"/>
      <c r="UJ33" s="835"/>
      <c r="UK33" s="835"/>
      <c r="UL33" s="835"/>
      <c r="UM33" s="835"/>
      <c r="UN33" s="835"/>
      <c r="UO33" s="835"/>
      <c r="UP33" s="835"/>
      <c r="UQ33" s="835"/>
      <c r="UR33" s="835"/>
      <c r="US33" s="835"/>
      <c r="UT33" s="835"/>
      <c r="UU33" s="835"/>
      <c r="UV33" s="835"/>
      <c r="UW33" s="835"/>
      <c r="UX33" s="835"/>
      <c r="UY33" s="835"/>
      <c r="UZ33" s="835"/>
      <c r="VA33" s="835"/>
      <c r="VB33" s="835"/>
      <c r="VC33" s="835"/>
      <c r="VD33" s="835"/>
      <c r="VE33" s="835"/>
      <c r="VF33" s="835"/>
      <c r="VG33" s="835"/>
      <c r="VH33" s="835"/>
      <c r="VI33" s="835"/>
      <c r="VJ33" s="835"/>
      <c r="VK33" s="835"/>
      <c r="VL33" s="835"/>
      <c r="VM33" s="835"/>
      <c r="VN33" s="835"/>
      <c r="VO33" s="835"/>
      <c r="VP33" s="835"/>
      <c r="VQ33" s="835"/>
      <c r="VR33" s="835"/>
      <c r="VS33" s="835"/>
      <c r="VT33" s="835"/>
      <c r="VU33" s="835"/>
      <c r="VV33" s="835"/>
      <c r="VW33" s="835"/>
      <c r="VX33" s="835"/>
      <c r="VY33" s="835"/>
      <c r="VZ33" s="835"/>
      <c r="WA33" s="835"/>
      <c r="WB33" s="835"/>
      <c r="WC33" s="835"/>
      <c r="WD33" s="835"/>
      <c r="WE33" s="835"/>
      <c r="WF33" s="835"/>
      <c r="WG33" s="835"/>
      <c r="WH33" s="835"/>
      <c r="WI33" s="835"/>
      <c r="WJ33" s="835"/>
      <c r="WK33" s="835"/>
      <c r="WL33" s="835"/>
      <c r="WM33" s="835"/>
      <c r="WN33" s="835"/>
      <c r="WO33" s="835"/>
      <c r="WP33" s="835"/>
      <c r="WQ33" s="835"/>
      <c r="WR33" s="835"/>
      <c r="WS33" s="835"/>
      <c r="WT33" s="835"/>
      <c r="WU33" s="835"/>
      <c r="WV33" s="835"/>
      <c r="WW33" s="835"/>
      <c r="WX33" s="835"/>
      <c r="WY33" s="835"/>
      <c r="WZ33" s="835"/>
      <c r="XA33" s="835"/>
      <c r="XB33" s="835"/>
      <c r="XC33" s="835"/>
      <c r="XD33" s="835"/>
      <c r="XE33" s="835"/>
      <c r="XF33" s="835"/>
      <c r="XG33" s="835"/>
      <c r="XH33" s="835"/>
      <c r="XI33" s="835"/>
      <c r="XJ33" s="835"/>
      <c r="XK33" s="835"/>
      <c r="XL33" s="835"/>
      <c r="XM33" s="835"/>
      <c r="XN33" s="835"/>
      <c r="XO33" s="835"/>
      <c r="XP33" s="835"/>
      <c r="XQ33" s="835"/>
      <c r="XR33" s="835"/>
      <c r="XS33" s="835"/>
      <c r="XT33" s="835"/>
      <c r="XU33" s="835"/>
      <c r="XV33" s="835"/>
      <c r="XW33" s="835"/>
      <c r="XX33" s="835"/>
      <c r="XY33" s="835"/>
      <c r="XZ33" s="835"/>
      <c r="YA33" s="835"/>
      <c r="YB33" s="835"/>
      <c r="YC33" s="835"/>
      <c r="YD33" s="835"/>
      <c r="YE33" s="835"/>
      <c r="YF33" s="835"/>
      <c r="YG33" s="835"/>
      <c r="YH33" s="835"/>
      <c r="YI33" s="835"/>
      <c r="YJ33" s="835"/>
      <c r="YK33" s="835"/>
      <c r="YL33" s="835"/>
      <c r="YM33" s="835"/>
      <c r="YN33" s="835"/>
      <c r="YO33" s="835"/>
      <c r="YP33" s="835"/>
      <c r="YQ33" s="835"/>
      <c r="YR33" s="835"/>
      <c r="YS33" s="835"/>
      <c r="YT33" s="835"/>
      <c r="YU33" s="835"/>
      <c r="YV33" s="835"/>
      <c r="YW33" s="835"/>
      <c r="YX33" s="835"/>
      <c r="YY33" s="835"/>
      <c r="YZ33" s="835"/>
      <c r="ZA33" s="835"/>
      <c r="ZB33" s="835"/>
      <c r="ZC33" s="835"/>
      <c r="ZD33" s="835"/>
      <c r="ZE33" s="835"/>
      <c r="ZF33" s="835"/>
      <c r="ZG33" s="835"/>
      <c r="ZH33" s="835"/>
      <c r="ZI33" s="835"/>
      <c r="ZJ33" s="835"/>
      <c r="ZK33" s="835"/>
      <c r="ZL33" s="835"/>
      <c r="ZM33" s="835"/>
      <c r="ZN33" s="835"/>
      <c r="ZO33" s="835"/>
      <c r="ZP33" s="835"/>
      <c r="ZQ33" s="835"/>
      <c r="ZR33" s="835"/>
      <c r="ZS33" s="835"/>
      <c r="ZT33" s="835"/>
      <c r="ZU33" s="835"/>
      <c r="ZV33" s="835"/>
      <c r="ZW33" s="835"/>
      <c r="ZX33" s="835"/>
      <c r="ZY33" s="835"/>
      <c r="ZZ33" s="835"/>
      <c r="AAA33" s="835"/>
      <c r="AAB33" s="835"/>
      <c r="AAC33" s="835"/>
      <c r="AAD33" s="835"/>
      <c r="AAE33" s="835"/>
      <c r="AAF33" s="835"/>
      <c r="AAG33" s="835"/>
      <c r="AAH33" s="835"/>
      <c r="AAI33" s="835"/>
      <c r="AAJ33" s="835"/>
      <c r="AAK33" s="835"/>
      <c r="AAL33" s="835"/>
      <c r="AAM33" s="835"/>
      <c r="AAN33" s="835"/>
      <c r="AAO33" s="835"/>
      <c r="AAP33" s="835"/>
      <c r="AAQ33" s="835"/>
      <c r="AAR33" s="835"/>
      <c r="AAS33" s="835"/>
      <c r="AAT33" s="835"/>
      <c r="AAU33" s="835"/>
      <c r="AAV33" s="835"/>
      <c r="AAW33" s="835"/>
      <c r="AAX33" s="835"/>
      <c r="AAY33" s="835"/>
      <c r="AAZ33" s="835"/>
      <c r="ABA33" s="835"/>
      <c r="ABB33" s="835"/>
      <c r="ABC33" s="835"/>
      <c r="ABD33" s="835"/>
      <c r="ABE33" s="835"/>
      <c r="ABF33" s="835"/>
      <c r="ABG33" s="835"/>
      <c r="ABH33" s="835"/>
      <c r="ABI33" s="835"/>
      <c r="ABJ33" s="835"/>
      <c r="ABK33" s="835"/>
      <c r="ABL33" s="835"/>
      <c r="ABM33" s="835"/>
      <c r="ABN33" s="835"/>
      <c r="ABO33" s="835"/>
      <c r="ABP33" s="835"/>
      <c r="ABQ33" s="835"/>
      <c r="ABR33" s="835"/>
      <c r="ABS33" s="835"/>
      <c r="ABT33" s="835"/>
      <c r="ABU33" s="835"/>
      <c r="ABV33" s="835"/>
      <c r="ABW33" s="835"/>
      <c r="ABX33" s="835"/>
      <c r="ABY33" s="835"/>
      <c r="ABZ33" s="835"/>
      <c r="ACA33" s="835"/>
      <c r="ACB33" s="835"/>
      <c r="ACC33" s="835"/>
      <c r="ACD33" s="835"/>
      <c r="ACE33" s="835"/>
      <c r="ACF33" s="835"/>
      <c r="ACG33" s="835"/>
      <c r="ACH33" s="835"/>
      <c r="ACI33" s="835"/>
      <c r="ACJ33" s="835"/>
      <c r="ACK33" s="835"/>
      <c r="ACL33" s="835"/>
      <c r="ACM33" s="835"/>
      <c r="ACN33" s="835"/>
      <c r="ACO33" s="835"/>
      <c r="ACP33" s="835"/>
      <c r="ACQ33" s="835"/>
      <c r="ACR33" s="835"/>
      <c r="ACS33" s="835"/>
      <c r="ACT33" s="835"/>
      <c r="ACU33" s="835"/>
      <c r="ACV33" s="835"/>
      <c r="ACW33" s="835"/>
      <c r="ACX33" s="835"/>
      <c r="ACY33" s="835"/>
      <c r="ACZ33" s="835"/>
      <c r="ADA33" s="835"/>
      <c r="ADB33" s="835"/>
      <c r="ADC33" s="835"/>
      <c r="ADD33" s="835"/>
      <c r="ADE33" s="835"/>
      <c r="ADF33" s="835"/>
      <c r="ADG33" s="835"/>
      <c r="ADH33" s="835"/>
      <c r="ADI33" s="835"/>
      <c r="ADJ33" s="835"/>
      <c r="ADK33" s="835"/>
      <c r="ADL33" s="835"/>
      <c r="ADM33" s="835"/>
      <c r="ADN33" s="835"/>
      <c r="ADO33" s="835"/>
      <c r="ADP33" s="835"/>
      <c r="ADQ33" s="835"/>
      <c r="ADR33" s="835"/>
      <c r="ADS33" s="835"/>
      <c r="ADT33" s="835"/>
      <c r="ADU33" s="835"/>
      <c r="ADV33" s="835"/>
      <c r="ADW33" s="835"/>
      <c r="ADX33" s="835"/>
      <c r="ADY33" s="835"/>
      <c r="ADZ33" s="835"/>
      <c r="AEA33" s="835"/>
      <c r="AEB33" s="835"/>
      <c r="AEC33" s="835"/>
      <c r="AED33" s="835"/>
      <c r="AEE33" s="835"/>
      <c r="AEF33" s="835"/>
      <c r="AEG33" s="835"/>
      <c r="AEH33" s="835"/>
      <c r="AEI33" s="835"/>
      <c r="AEJ33" s="835"/>
      <c r="AEK33" s="835"/>
      <c r="AEL33" s="835"/>
      <c r="AEM33" s="835"/>
      <c r="AEN33" s="835"/>
      <c r="AEO33" s="835"/>
      <c r="AEP33" s="835"/>
      <c r="AEQ33" s="835"/>
      <c r="AER33" s="835"/>
      <c r="AES33" s="835"/>
      <c r="AET33" s="835"/>
      <c r="AEU33" s="835"/>
      <c r="AEV33" s="835"/>
      <c r="AEW33" s="835"/>
      <c r="AEX33" s="835"/>
      <c r="AEY33" s="835"/>
      <c r="AEZ33" s="835"/>
      <c r="AFA33" s="835"/>
      <c r="AFB33" s="835"/>
      <c r="AFC33" s="835"/>
      <c r="AFD33" s="835"/>
      <c r="AFE33" s="835"/>
      <c r="AFF33" s="835"/>
      <c r="AFG33" s="835"/>
      <c r="AFH33" s="835"/>
      <c r="AFI33" s="835"/>
      <c r="AFJ33" s="835"/>
      <c r="AFK33" s="835"/>
      <c r="AFL33" s="835"/>
      <c r="AFM33" s="835"/>
      <c r="AFN33" s="835"/>
      <c r="AFO33" s="835"/>
      <c r="AFP33" s="835"/>
      <c r="AFQ33" s="835"/>
      <c r="AFR33" s="835"/>
      <c r="AFS33" s="835"/>
      <c r="AFT33" s="835"/>
      <c r="AFU33" s="835"/>
      <c r="AFV33" s="835"/>
      <c r="AFW33" s="835"/>
      <c r="AFX33" s="835"/>
      <c r="AFY33" s="835"/>
      <c r="AFZ33" s="835"/>
      <c r="AGA33" s="835"/>
      <c r="AGB33" s="835"/>
      <c r="AGC33" s="835"/>
      <c r="AGD33" s="835"/>
      <c r="AGE33" s="835"/>
      <c r="AGF33" s="835"/>
      <c r="AGG33" s="835"/>
      <c r="AGH33" s="835"/>
      <c r="AGI33" s="835"/>
      <c r="AGJ33" s="835"/>
      <c r="AGK33" s="835"/>
      <c r="AGL33" s="835"/>
      <c r="AGM33" s="835"/>
      <c r="AGN33" s="835"/>
      <c r="AGO33" s="835"/>
      <c r="AGP33" s="835"/>
      <c r="AGQ33" s="835"/>
      <c r="AGR33" s="835"/>
      <c r="AGS33" s="835"/>
      <c r="AGT33" s="835"/>
      <c r="AGU33" s="835"/>
      <c r="AGV33" s="835"/>
      <c r="AGW33" s="835"/>
      <c r="AGX33" s="835"/>
      <c r="AGY33" s="835"/>
      <c r="AGZ33" s="835"/>
      <c r="AHA33" s="835"/>
      <c r="AHB33" s="835"/>
      <c r="AHC33" s="835"/>
      <c r="AHD33" s="835"/>
      <c r="AHE33" s="835"/>
      <c r="AHF33" s="835"/>
      <c r="AHG33" s="835"/>
      <c r="AHH33" s="835"/>
      <c r="AHI33" s="835"/>
      <c r="AHJ33" s="835"/>
      <c r="AHK33" s="835"/>
      <c r="AHL33" s="835"/>
      <c r="AHM33" s="835"/>
      <c r="AHN33" s="835"/>
      <c r="AHO33" s="835"/>
      <c r="AHP33" s="835"/>
      <c r="AHQ33" s="835"/>
      <c r="AHR33" s="835"/>
      <c r="AHS33" s="835"/>
      <c r="AHT33" s="835"/>
      <c r="AHU33" s="835"/>
      <c r="AHV33" s="835"/>
      <c r="AHW33" s="835"/>
      <c r="AHX33" s="835"/>
      <c r="AHY33" s="835"/>
      <c r="AHZ33" s="835"/>
      <c r="AIA33" s="835"/>
      <c r="AIB33" s="835"/>
      <c r="AIC33" s="835"/>
      <c r="AID33" s="835"/>
      <c r="AIE33" s="835"/>
      <c r="AIF33" s="835"/>
      <c r="AIG33" s="835"/>
      <c r="AIH33" s="835"/>
      <c r="AII33" s="835"/>
      <c r="AIJ33" s="835"/>
      <c r="AIK33" s="835"/>
      <c r="AIL33" s="835"/>
      <c r="AIM33" s="835"/>
      <c r="AIN33" s="835"/>
      <c r="AIO33" s="835"/>
      <c r="AIP33" s="835"/>
      <c r="AIQ33" s="835"/>
      <c r="AIR33" s="835"/>
      <c r="AIS33" s="835"/>
      <c r="AIT33" s="835"/>
      <c r="AIU33" s="835"/>
      <c r="AIV33" s="835"/>
      <c r="AIW33" s="835"/>
      <c r="AIX33" s="835"/>
      <c r="AIY33" s="835"/>
      <c r="AIZ33" s="835"/>
      <c r="AJA33" s="835"/>
      <c r="AJB33" s="835"/>
      <c r="AJC33" s="835"/>
      <c r="AJD33" s="835"/>
      <c r="AJE33" s="835"/>
      <c r="AJF33" s="835"/>
      <c r="AJG33" s="835"/>
      <c r="AJH33" s="835"/>
      <c r="AJI33" s="835"/>
      <c r="AJJ33" s="835"/>
      <c r="AJK33" s="835"/>
      <c r="AJL33" s="835"/>
      <c r="AJM33" s="835"/>
      <c r="AJN33" s="835"/>
      <c r="AJO33" s="835"/>
      <c r="AJP33" s="835"/>
      <c r="AJQ33" s="835"/>
      <c r="AJR33" s="835"/>
      <c r="AJS33" s="835"/>
      <c r="AJT33" s="835"/>
      <c r="AJU33" s="835"/>
      <c r="AJV33" s="835"/>
      <c r="AJW33" s="835"/>
      <c r="AJX33" s="835"/>
      <c r="AJY33" s="835"/>
      <c r="AJZ33" s="835"/>
      <c r="AKA33" s="835"/>
      <c r="AKB33" s="835"/>
      <c r="AKC33" s="835"/>
      <c r="AKD33" s="835"/>
      <c r="AKE33" s="835"/>
      <c r="AKF33" s="835"/>
      <c r="AKG33" s="835"/>
      <c r="AKH33" s="835"/>
      <c r="AKI33" s="835"/>
      <c r="AKJ33" s="835"/>
      <c r="AKK33" s="835"/>
      <c r="AKL33" s="835"/>
      <c r="AKM33" s="835"/>
      <c r="AKN33" s="835"/>
      <c r="AKO33" s="835"/>
      <c r="AKP33" s="835"/>
      <c r="AKQ33" s="835"/>
      <c r="AKR33" s="835"/>
      <c r="AKS33" s="835"/>
      <c r="AKT33" s="835"/>
      <c r="AKU33" s="835"/>
      <c r="AKV33" s="835"/>
      <c r="AKW33" s="835"/>
      <c r="AKX33" s="835"/>
      <c r="AKY33" s="835"/>
      <c r="AKZ33" s="835"/>
      <c r="ALA33" s="835"/>
      <c r="ALB33" s="835"/>
      <c r="ALC33" s="835"/>
      <c r="ALD33" s="835"/>
      <c r="ALE33" s="835"/>
      <c r="ALF33" s="835"/>
      <c r="ALG33" s="835"/>
      <c r="ALH33" s="835"/>
      <c r="ALI33" s="835"/>
      <c r="ALJ33" s="835"/>
      <c r="ALK33" s="835"/>
      <c r="ALL33" s="835"/>
      <c r="ALM33" s="835"/>
      <c r="ALN33" s="835"/>
      <c r="ALO33" s="835"/>
      <c r="ALP33" s="835"/>
      <c r="ALQ33" s="835"/>
      <c r="ALR33" s="835"/>
      <c r="ALS33" s="835"/>
      <c r="ALT33" s="835"/>
      <c r="ALU33" s="835"/>
      <c r="ALV33" s="835"/>
      <c r="ALW33" s="835"/>
      <c r="ALX33" s="835"/>
      <c r="ALY33" s="835"/>
      <c r="ALZ33" s="835"/>
      <c r="AMA33" s="835"/>
      <c r="AMB33" s="835"/>
      <c r="AMC33" s="835"/>
      <c r="AMD33" s="835"/>
      <c r="AME33" s="835"/>
      <c r="AMF33" s="835"/>
      <c r="AMG33" s="835"/>
      <c r="AMH33" s="835"/>
      <c r="AMI33" s="835"/>
      <c r="AMJ33" s="835"/>
      <c r="AMK33" s="835"/>
      <c r="AML33" s="835"/>
      <c r="AMM33" s="835"/>
      <c r="AMN33" s="835"/>
      <c r="AMO33" s="835"/>
      <c r="AMP33" s="835"/>
      <c r="AMQ33" s="835"/>
      <c r="AMR33" s="835"/>
      <c r="AMS33" s="835"/>
      <c r="AMT33" s="835"/>
      <c r="AMU33" s="835"/>
      <c r="AMV33" s="835"/>
      <c r="AMW33" s="835"/>
      <c r="AMX33" s="835"/>
      <c r="AMY33" s="835"/>
      <c r="AMZ33" s="835"/>
      <c r="ANA33" s="835"/>
      <c r="ANB33" s="835"/>
      <c r="ANC33" s="835"/>
      <c r="AND33" s="835"/>
      <c r="ANE33" s="835"/>
      <c r="ANF33" s="835"/>
      <c r="ANG33" s="835"/>
      <c r="ANH33" s="835"/>
      <c r="ANI33" s="835"/>
      <c r="ANJ33" s="835"/>
      <c r="ANK33" s="835"/>
      <c r="ANL33" s="835"/>
      <c r="ANM33" s="835"/>
      <c r="ANN33" s="835"/>
      <c r="ANO33" s="835"/>
      <c r="ANP33" s="835"/>
      <c r="ANQ33" s="835"/>
      <c r="ANR33" s="835"/>
      <c r="ANS33" s="835"/>
      <c r="ANT33" s="835"/>
      <c r="ANU33" s="835"/>
      <c r="ANV33" s="835"/>
      <c r="ANW33" s="835"/>
      <c r="ANX33" s="835"/>
      <c r="ANY33" s="835"/>
      <c r="ANZ33" s="835"/>
      <c r="AOA33" s="835"/>
      <c r="AOB33" s="835"/>
      <c r="AOC33" s="835"/>
      <c r="AOD33" s="835"/>
      <c r="AOE33" s="835"/>
      <c r="AOF33" s="835"/>
      <c r="AOG33" s="835"/>
      <c r="AOH33" s="835"/>
      <c r="AOI33" s="835"/>
      <c r="AOJ33" s="835"/>
      <c r="AOK33" s="835"/>
      <c r="AOL33" s="835"/>
      <c r="AOM33" s="835"/>
      <c r="AON33" s="835"/>
      <c r="AOO33" s="835"/>
      <c r="AOP33" s="835"/>
      <c r="AOQ33" s="835"/>
      <c r="AOR33" s="835"/>
      <c r="AOS33" s="835"/>
      <c r="AOT33" s="835"/>
      <c r="AOU33" s="835"/>
      <c r="AOV33" s="835"/>
      <c r="AOW33" s="835"/>
      <c r="AOX33" s="835"/>
      <c r="AOY33" s="835"/>
      <c r="AOZ33" s="835"/>
      <c r="APA33" s="835"/>
      <c r="APB33" s="835"/>
      <c r="APC33" s="835"/>
      <c r="APD33" s="835"/>
      <c r="APE33" s="835"/>
      <c r="APF33" s="835"/>
      <c r="APG33" s="835"/>
      <c r="APH33" s="835"/>
      <c r="API33" s="835"/>
      <c r="APJ33" s="835"/>
      <c r="APK33" s="835"/>
      <c r="APL33" s="835"/>
      <c r="APM33" s="835"/>
      <c r="APN33" s="835"/>
      <c r="APO33" s="835"/>
      <c r="APP33" s="835"/>
      <c r="APQ33" s="835"/>
      <c r="APR33" s="835"/>
      <c r="APS33" s="835"/>
      <c r="APT33" s="835"/>
      <c r="APU33" s="835"/>
      <c r="APV33" s="835"/>
      <c r="APW33" s="835"/>
      <c r="APX33" s="835"/>
      <c r="APY33" s="835"/>
      <c r="APZ33" s="835"/>
      <c r="AQA33" s="835"/>
      <c r="AQB33" s="835"/>
      <c r="AQC33" s="835"/>
      <c r="AQD33" s="835"/>
      <c r="AQE33" s="835"/>
      <c r="AQF33" s="835"/>
      <c r="AQG33" s="835"/>
      <c r="AQH33" s="835"/>
      <c r="AQI33" s="835"/>
      <c r="AQJ33" s="835"/>
      <c r="AQK33" s="835"/>
      <c r="AQL33" s="835"/>
      <c r="AQM33" s="835"/>
      <c r="AQN33" s="835"/>
      <c r="AQO33" s="835"/>
      <c r="AQP33" s="835"/>
      <c r="AQQ33" s="835"/>
      <c r="AQR33" s="835"/>
      <c r="AQS33" s="835"/>
      <c r="AQT33" s="835"/>
      <c r="AQU33" s="835"/>
      <c r="AQV33" s="835"/>
      <c r="AQW33" s="835"/>
      <c r="AQX33" s="835"/>
      <c r="AQY33" s="835"/>
      <c r="AQZ33" s="835"/>
      <c r="ARA33" s="835"/>
      <c r="ARB33" s="835"/>
      <c r="ARC33" s="835"/>
      <c r="ARD33" s="835"/>
      <c r="ARE33" s="835"/>
      <c r="ARF33" s="835"/>
      <c r="ARG33" s="835"/>
      <c r="ARH33" s="835"/>
      <c r="ARI33" s="835"/>
      <c r="ARJ33" s="835"/>
      <c r="ARK33" s="835"/>
      <c r="ARL33" s="835"/>
      <c r="ARM33" s="835"/>
      <c r="ARN33" s="835"/>
      <c r="ARO33" s="835"/>
      <c r="ARP33" s="835"/>
      <c r="ARQ33" s="835"/>
      <c r="ARR33" s="835"/>
      <c r="ARS33" s="835"/>
      <c r="ART33" s="835"/>
      <c r="ARU33" s="835"/>
      <c r="ARV33" s="835"/>
      <c r="ARW33" s="835"/>
      <c r="ARX33" s="835"/>
      <c r="ARY33" s="835"/>
      <c r="ARZ33" s="835"/>
      <c r="ASA33" s="835"/>
      <c r="ASB33" s="835"/>
      <c r="ASC33" s="835"/>
      <c r="ASD33" s="835"/>
      <c r="ASE33" s="835"/>
      <c r="ASF33" s="835"/>
      <c r="ASG33" s="835"/>
      <c r="ASH33" s="835"/>
      <c r="ASI33" s="835"/>
      <c r="ASJ33" s="835"/>
      <c r="ASK33" s="835"/>
      <c r="ASL33" s="835"/>
      <c r="ASM33" s="835"/>
      <c r="ASN33" s="835"/>
      <c r="ASO33" s="835"/>
      <c r="ASP33" s="835"/>
      <c r="ASQ33" s="835"/>
      <c r="ASR33" s="835"/>
      <c r="ASS33" s="835"/>
      <c r="AST33" s="835"/>
      <c r="ASU33" s="835"/>
      <c r="ASV33" s="835"/>
      <c r="ASW33" s="835"/>
      <c r="ASX33" s="835"/>
      <c r="ASY33" s="835"/>
      <c r="ASZ33" s="835"/>
      <c r="ATA33" s="835"/>
      <c r="ATB33" s="835"/>
      <c r="ATC33" s="835"/>
      <c r="ATD33" s="835"/>
      <c r="ATE33" s="835"/>
      <c r="ATF33" s="835"/>
      <c r="ATG33" s="835"/>
      <c r="ATH33" s="835"/>
      <c r="ATI33" s="835"/>
      <c r="ATJ33" s="835"/>
      <c r="ATK33" s="835"/>
      <c r="ATL33" s="835"/>
      <c r="ATM33" s="835"/>
      <c r="ATN33" s="835"/>
      <c r="ATO33" s="835"/>
      <c r="ATP33" s="835"/>
      <c r="ATQ33" s="835"/>
      <c r="ATR33" s="835"/>
      <c r="ATS33" s="835"/>
      <c r="ATT33" s="835"/>
      <c r="ATU33" s="835"/>
      <c r="ATV33" s="835"/>
      <c r="ATW33" s="835"/>
      <c r="ATX33" s="835"/>
      <c r="ATY33" s="835"/>
      <c r="ATZ33" s="835"/>
      <c r="AUA33" s="835"/>
      <c r="AUB33" s="835"/>
      <c r="AUC33" s="835"/>
      <c r="AUD33" s="835"/>
      <c r="AUE33" s="835"/>
      <c r="AUF33" s="835"/>
      <c r="AUG33" s="835"/>
      <c r="AUH33" s="835"/>
      <c r="AUI33" s="835"/>
      <c r="AUJ33" s="835"/>
      <c r="AUK33" s="835"/>
      <c r="AUL33" s="835"/>
      <c r="AUM33" s="835"/>
      <c r="AUN33" s="835"/>
      <c r="AUO33" s="835"/>
      <c r="AUP33" s="835"/>
      <c r="AUQ33" s="835"/>
      <c r="AUR33" s="835"/>
      <c r="AUS33" s="835"/>
      <c r="AUT33" s="835"/>
      <c r="AUU33" s="835"/>
      <c r="AUV33" s="835"/>
      <c r="AUW33" s="835"/>
      <c r="AUX33" s="835"/>
      <c r="AUY33" s="835"/>
      <c r="AUZ33" s="835"/>
      <c r="AVA33" s="835"/>
      <c r="AVB33" s="835"/>
      <c r="AVC33" s="835"/>
      <c r="AVD33" s="835"/>
      <c r="AVE33" s="835"/>
      <c r="AVF33" s="835"/>
      <c r="AVG33" s="835"/>
      <c r="AVH33" s="835"/>
      <c r="AVI33" s="835"/>
      <c r="AVJ33" s="835"/>
      <c r="AVK33" s="835"/>
      <c r="AVL33" s="835"/>
      <c r="AVM33" s="835"/>
      <c r="AVN33" s="835"/>
      <c r="AVO33" s="835"/>
      <c r="AVP33" s="835"/>
      <c r="AVQ33" s="835"/>
      <c r="AVR33" s="835"/>
      <c r="AVS33" s="835"/>
      <c r="AVT33" s="835"/>
      <c r="AVU33" s="835"/>
      <c r="AVV33" s="835"/>
      <c r="AVW33" s="835"/>
      <c r="AVX33" s="835"/>
      <c r="AVY33" s="835"/>
      <c r="AVZ33" s="835"/>
      <c r="AWA33" s="835"/>
      <c r="AWB33" s="835"/>
      <c r="AWC33" s="835"/>
      <c r="AWD33" s="835"/>
      <c r="AWE33" s="835"/>
      <c r="AWF33" s="835"/>
      <c r="AWG33" s="835"/>
      <c r="AWH33" s="835"/>
      <c r="AWI33" s="835"/>
      <c r="AWJ33" s="835"/>
      <c r="AWK33" s="835"/>
      <c r="AWL33" s="835"/>
      <c r="AWM33" s="835"/>
      <c r="AWN33" s="835"/>
      <c r="AWO33" s="835"/>
      <c r="AWP33" s="835"/>
      <c r="AWQ33" s="835"/>
      <c r="AWR33" s="835"/>
      <c r="AWS33" s="835"/>
      <c r="AWT33" s="835"/>
      <c r="AWU33" s="835"/>
      <c r="AWV33" s="835"/>
      <c r="AWW33" s="835"/>
      <c r="AWX33" s="835"/>
      <c r="AWY33" s="835"/>
      <c r="AWZ33" s="835"/>
      <c r="AXA33" s="835"/>
      <c r="AXB33" s="835"/>
      <c r="AXC33" s="835"/>
      <c r="AXD33" s="835"/>
      <c r="AXE33" s="835"/>
      <c r="AXF33" s="835"/>
      <c r="AXG33" s="835"/>
      <c r="AXH33" s="835"/>
      <c r="AXI33" s="835"/>
      <c r="AXJ33" s="835"/>
      <c r="AXK33" s="835"/>
      <c r="AXL33" s="835"/>
      <c r="AXM33" s="835"/>
      <c r="AXN33" s="835"/>
      <c r="AXO33" s="835"/>
      <c r="AXP33" s="835"/>
      <c r="AXQ33" s="835"/>
      <c r="AXR33" s="835"/>
      <c r="AXS33" s="835"/>
      <c r="AXT33" s="835"/>
      <c r="AXU33" s="835"/>
      <c r="AXV33" s="835"/>
      <c r="AXW33" s="835"/>
      <c r="AXX33" s="835"/>
      <c r="AXY33" s="835"/>
      <c r="AXZ33" s="835"/>
      <c r="AYA33" s="835"/>
      <c r="AYB33" s="835"/>
      <c r="AYC33" s="835"/>
      <c r="AYD33" s="835"/>
      <c r="AYE33" s="835"/>
      <c r="AYF33" s="835"/>
      <c r="AYG33" s="835"/>
      <c r="AYH33" s="835"/>
      <c r="AYI33" s="835"/>
      <c r="AYJ33" s="835"/>
      <c r="AYK33" s="835"/>
      <c r="AYL33" s="835"/>
      <c r="AYM33" s="835"/>
      <c r="AYN33" s="835"/>
      <c r="AYO33" s="835"/>
      <c r="AYP33" s="835"/>
      <c r="AYQ33" s="835"/>
      <c r="AYR33" s="835"/>
      <c r="AYS33" s="835"/>
      <c r="AYT33" s="835"/>
      <c r="AYU33" s="835"/>
      <c r="AYV33" s="835"/>
      <c r="AYW33" s="835"/>
      <c r="AYX33" s="835"/>
      <c r="AYY33" s="835"/>
      <c r="AYZ33" s="835"/>
      <c r="AZA33" s="835"/>
      <c r="AZB33" s="835"/>
      <c r="AZC33" s="835"/>
      <c r="AZD33" s="835"/>
      <c r="AZE33" s="835"/>
      <c r="AZF33" s="835"/>
      <c r="AZG33" s="835"/>
      <c r="AZH33" s="835"/>
      <c r="AZI33" s="835"/>
      <c r="AZJ33" s="835"/>
      <c r="AZK33" s="835"/>
      <c r="AZL33" s="835"/>
      <c r="AZM33" s="835"/>
      <c r="AZN33" s="835"/>
      <c r="AZO33" s="835"/>
      <c r="AZP33" s="835"/>
      <c r="AZQ33" s="835"/>
      <c r="AZR33" s="835"/>
      <c r="AZS33" s="835"/>
      <c r="AZT33" s="835"/>
      <c r="AZU33" s="835"/>
      <c r="AZV33" s="835"/>
      <c r="AZW33" s="835"/>
      <c r="AZX33" s="835"/>
      <c r="AZY33" s="835"/>
      <c r="AZZ33" s="835"/>
      <c r="BAA33" s="835"/>
      <c r="BAB33" s="835"/>
      <c r="BAC33" s="835"/>
      <c r="BAD33" s="835"/>
      <c r="BAE33" s="835"/>
      <c r="BAF33" s="835"/>
      <c r="BAG33" s="835"/>
      <c r="BAH33" s="835"/>
      <c r="BAI33" s="835"/>
      <c r="BAJ33" s="835"/>
      <c r="BAK33" s="835"/>
      <c r="BAL33" s="835"/>
      <c r="BAM33" s="835"/>
      <c r="BAN33" s="835"/>
      <c r="BAO33" s="835"/>
      <c r="BAP33" s="835"/>
      <c r="BAQ33" s="835"/>
      <c r="BAR33" s="835"/>
      <c r="BAS33" s="835"/>
      <c r="BAT33" s="835"/>
      <c r="BAU33" s="835"/>
      <c r="BAV33" s="835"/>
      <c r="BAW33" s="835"/>
      <c r="BAX33" s="835"/>
      <c r="BAY33" s="835"/>
      <c r="BAZ33" s="835"/>
      <c r="BBA33" s="835"/>
      <c r="BBB33" s="835"/>
      <c r="BBC33" s="835"/>
      <c r="BBD33" s="835"/>
      <c r="BBE33" s="835"/>
      <c r="BBF33" s="835"/>
      <c r="BBG33" s="835"/>
      <c r="BBH33" s="835"/>
      <c r="BBI33" s="835"/>
      <c r="BBJ33" s="835"/>
      <c r="BBK33" s="835"/>
      <c r="BBL33" s="835"/>
      <c r="BBM33" s="835"/>
      <c r="BBN33" s="835"/>
      <c r="BBO33" s="835"/>
      <c r="BBP33" s="835"/>
      <c r="BBQ33" s="835"/>
      <c r="BBR33" s="835"/>
      <c r="BBS33" s="835"/>
      <c r="BBT33" s="835"/>
      <c r="BBU33" s="835"/>
      <c r="BBV33" s="835"/>
      <c r="BBW33" s="835"/>
      <c r="BBX33" s="835"/>
      <c r="BBY33" s="835"/>
      <c r="BBZ33" s="835"/>
      <c r="BCA33" s="835"/>
      <c r="BCB33" s="835"/>
      <c r="BCC33" s="835"/>
      <c r="BCD33" s="835"/>
      <c r="BCE33" s="835"/>
      <c r="BCF33" s="835"/>
      <c r="BCG33" s="835"/>
      <c r="BCH33" s="835"/>
      <c r="BCI33" s="835"/>
      <c r="BCJ33" s="835"/>
      <c r="BCK33" s="835"/>
      <c r="BCL33" s="835"/>
      <c r="BCM33" s="835"/>
      <c r="BCN33" s="835"/>
      <c r="BCO33" s="835"/>
      <c r="BCP33" s="835"/>
      <c r="BCQ33" s="835"/>
      <c r="BCR33" s="835"/>
      <c r="BCS33" s="835"/>
      <c r="BCT33" s="835"/>
      <c r="BCU33" s="835"/>
      <c r="BCV33" s="835"/>
      <c r="BCW33" s="835"/>
      <c r="BCX33" s="835"/>
      <c r="BCY33" s="835"/>
      <c r="BCZ33" s="835"/>
      <c r="BDA33" s="835"/>
      <c r="BDB33" s="835"/>
      <c r="BDC33" s="835"/>
      <c r="BDD33" s="835"/>
      <c r="BDE33" s="835"/>
      <c r="BDF33" s="835"/>
      <c r="BDG33" s="835"/>
      <c r="BDH33" s="835"/>
      <c r="BDI33" s="835"/>
      <c r="BDJ33" s="835"/>
      <c r="BDK33" s="835"/>
      <c r="BDL33" s="835"/>
      <c r="BDM33" s="835"/>
      <c r="BDN33" s="835"/>
      <c r="BDO33" s="835"/>
      <c r="BDP33" s="835"/>
      <c r="BDQ33" s="835"/>
      <c r="BDR33" s="835"/>
      <c r="BDS33" s="835"/>
      <c r="BDT33" s="835"/>
      <c r="BDU33" s="835"/>
      <c r="BDV33" s="835"/>
      <c r="BDW33" s="835"/>
      <c r="BDX33" s="835"/>
      <c r="BDY33" s="835"/>
      <c r="BDZ33" s="835"/>
      <c r="BEA33" s="835"/>
      <c r="BEB33" s="835"/>
      <c r="BEC33" s="835"/>
      <c r="BED33" s="835"/>
      <c r="BEE33" s="835"/>
      <c r="BEF33" s="835"/>
      <c r="BEG33" s="835"/>
      <c r="BEH33" s="835"/>
      <c r="BEI33" s="835"/>
      <c r="BEJ33" s="835"/>
      <c r="BEK33" s="835"/>
      <c r="BEL33" s="835"/>
      <c r="BEM33" s="835"/>
      <c r="BEN33" s="835"/>
      <c r="BEO33" s="835"/>
      <c r="BEP33" s="835"/>
      <c r="BEQ33" s="835"/>
      <c r="BER33" s="835"/>
      <c r="BES33" s="835"/>
      <c r="BET33" s="835"/>
      <c r="BEU33" s="835"/>
      <c r="BEV33" s="835"/>
      <c r="BEW33" s="835"/>
      <c r="BEX33" s="835"/>
      <c r="BEY33" s="835"/>
      <c r="BEZ33" s="835"/>
      <c r="BFA33" s="835"/>
      <c r="BFB33" s="835"/>
      <c r="BFC33" s="835"/>
      <c r="BFD33" s="835"/>
      <c r="BFE33" s="835"/>
      <c r="BFF33" s="835"/>
      <c r="BFG33" s="835"/>
      <c r="BFH33" s="835"/>
      <c r="BFI33" s="835"/>
      <c r="BFJ33" s="835"/>
      <c r="BFK33" s="835"/>
      <c r="BFL33" s="835"/>
      <c r="BFM33" s="835"/>
      <c r="BFN33" s="835"/>
      <c r="BFO33" s="835"/>
      <c r="BFP33" s="835"/>
      <c r="BFQ33" s="835"/>
      <c r="BFR33" s="835"/>
      <c r="BFS33" s="835"/>
      <c r="BFT33" s="835"/>
      <c r="BFU33" s="835"/>
      <c r="BFV33" s="835"/>
      <c r="BFW33" s="835"/>
      <c r="BFX33" s="835"/>
      <c r="BFY33" s="835"/>
      <c r="BFZ33" s="835"/>
      <c r="BGA33" s="835"/>
      <c r="BGB33" s="835"/>
      <c r="BGC33" s="835"/>
      <c r="BGD33" s="835"/>
      <c r="BGE33" s="835"/>
      <c r="BGF33" s="835"/>
      <c r="BGG33" s="835"/>
      <c r="BGH33" s="835"/>
      <c r="BGI33" s="835"/>
      <c r="BGJ33" s="835"/>
      <c r="BGK33" s="835"/>
      <c r="BGL33" s="835"/>
      <c r="BGM33" s="835"/>
      <c r="BGN33" s="835"/>
      <c r="BGO33" s="835"/>
      <c r="BGP33" s="835"/>
      <c r="BGQ33" s="835"/>
      <c r="BGR33" s="835"/>
      <c r="BGS33" s="835"/>
      <c r="BGT33" s="835"/>
      <c r="BGU33" s="835"/>
      <c r="BGV33" s="835"/>
      <c r="BGW33" s="835"/>
      <c r="BGX33" s="835"/>
      <c r="BGY33" s="835"/>
      <c r="BGZ33" s="835"/>
      <c r="BHA33" s="835"/>
      <c r="BHB33" s="835"/>
      <c r="BHC33" s="835"/>
      <c r="BHD33" s="835"/>
      <c r="BHE33" s="835"/>
      <c r="BHF33" s="835"/>
      <c r="BHG33" s="835"/>
      <c r="BHH33" s="835"/>
      <c r="BHI33" s="835"/>
      <c r="BHJ33" s="835"/>
      <c r="BHK33" s="835"/>
      <c r="BHL33" s="835"/>
      <c r="BHM33" s="835"/>
      <c r="BHN33" s="835"/>
      <c r="BHO33" s="835"/>
      <c r="BHP33" s="835"/>
      <c r="BHQ33" s="835"/>
      <c r="BHR33" s="835"/>
      <c r="BHS33" s="835"/>
      <c r="BHT33" s="835"/>
      <c r="BHU33" s="835"/>
      <c r="BHV33" s="835"/>
      <c r="BHW33" s="835"/>
      <c r="BHX33" s="835"/>
      <c r="BHY33" s="835"/>
      <c r="BHZ33" s="835"/>
      <c r="BIA33" s="835"/>
      <c r="BIB33" s="835"/>
      <c r="BIC33" s="835"/>
      <c r="BID33" s="835"/>
      <c r="BIE33" s="835"/>
      <c r="BIF33" s="835"/>
      <c r="BIG33" s="835"/>
      <c r="BIH33" s="835"/>
      <c r="BII33" s="835"/>
      <c r="BIJ33" s="835"/>
      <c r="BIK33" s="835"/>
      <c r="BIL33" s="835"/>
      <c r="BIM33" s="835"/>
      <c r="BIN33" s="835"/>
      <c r="BIO33" s="835"/>
      <c r="BIP33" s="835"/>
      <c r="BIQ33" s="835"/>
      <c r="BIR33" s="835"/>
      <c r="BIS33" s="835"/>
      <c r="BIT33" s="835"/>
      <c r="BIU33" s="835"/>
      <c r="BIV33" s="835"/>
      <c r="BIW33" s="835"/>
      <c r="BIX33" s="835"/>
      <c r="BIY33" s="835"/>
      <c r="BIZ33" s="835"/>
      <c r="BJA33" s="835"/>
      <c r="BJB33" s="835"/>
      <c r="BJC33" s="835"/>
      <c r="BJD33" s="835"/>
      <c r="BJE33" s="835"/>
      <c r="BJF33" s="835"/>
      <c r="BJG33" s="835"/>
      <c r="BJH33" s="835"/>
      <c r="BJI33" s="835"/>
      <c r="BJJ33" s="835"/>
      <c r="BJK33" s="835"/>
      <c r="BJL33" s="835"/>
      <c r="BJM33" s="835"/>
      <c r="BJN33" s="835"/>
      <c r="BJO33" s="835"/>
      <c r="BJP33" s="835"/>
      <c r="BJQ33" s="835"/>
      <c r="BJR33" s="835"/>
      <c r="BJS33" s="835"/>
      <c r="BJT33" s="835"/>
      <c r="BJU33" s="835"/>
      <c r="BJV33" s="835"/>
      <c r="BJW33" s="835"/>
      <c r="BJX33" s="835"/>
      <c r="BJY33" s="835"/>
      <c r="BJZ33" s="835"/>
      <c r="BKA33" s="835"/>
      <c r="BKB33" s="835"/>
      <c r="BKC33" s="835"/>
      <c r="BKD33" s="835"/>
      <c r="BKE33" s="835"/>
      <c r="BKF33" s="835"/>
      <c r="BKG33" s="835"/>
      <c r="BKH33" s="835"/>
      <c r="BKI33" s="835"/>
      <c r="BKJ33" s="835"/>
      <c r="BKK33" s="835"/>
      <c r="BKL33" s="835"/>
      <c r="BKM33" s="835"/>
      <c r="BKN33" s="835"/>
      <c r="BKO33" s="835"/>
      <c r="BKP33" s="835"/>
      <c r="BKQ33" s="835"/>
      <c r="BKR33" s="835"/>
      <c r="BKS33" s="835"/>
      <c r="BKT33" s="835"/>
      <c r="BKU33" s="835"/>
      <c r="BKV33" s="835"/>
      <c r="BKW33" s="835"/>
      <c r="BKX33" s="835"/>
      <c r="BKY33" s="835"/>
      <c r="BKZ33" s="835"/>
      <c r="BLA33" s="835"/>
      <c r="BLB33" s="835"/>
      <c r="BLC33" s="835"/>
      <c r="BLD33" s="835"/>
      <c r="BLE33" s="835"/>
      <c r="BLF33" s="835"/>
      <c r="BLG33" s="835"/>
      <c r="BLH33" s="835"/>
      <c r="BLI33" s="835"/>
      <c r="BLJ33" s="835"/>
      <c r="BLK33" s="835"/>
      <c r="BLL33" s="835"/>
      <c r="BLM33" s="835"/>
      <c r="BLN33" s="835"/>
      <c r="BLO33" s="835"/>
      <c r="BLP33" s="835"/>
      <c r="BLQ33" s="835"/>
      <c r="BLR33" s="835"/>
      <c r="BLS33" s="835"/>
      <c r="BLT33" s="835"/>
      <c r="BLU33" s="835"/>
      <c r="BLV33" s="835"/>
      <c r="BLW33" s="835"/>
      <c r="BLX33" s="835"/>
      <c r="BLY33" s="835"/>
      <c r="BLZ33" s="835"/>
      <c r="BMA33" s="835"/>
      <c r="BMB33" s="835"/>
      <c r="BMC33" s="835"/>
      <c r="BMD33" s="835"/>
      <c r="BME33" s="835"/>
      <c r="BMF33" s="835"/>
      <c r="BMG33" s="835"/>
      <c r="BMH33" s="835"/>
      <c r="BMI33" s="835"/>
      <c r="BMJ33" s="835"/>
      <c r="BMK33" s="835"/>
      <c r="BML33" s="835"/>
      <c r="BMM33" s="835"/>
      <c r="BMN33" s="835"/>
      <c r="BMO33" s="835"/>
      <c r="BMP33" s="835"/>
      <c r="BMQ33" s="835"/>
      <c r="BMR33" s="835"/>
      <c r="BMS33" s="835"/>
      <c r="BMT33" s="835"/>
      <c r="BMU33" s="835"/>
      <c r="BMV33" s="835"/>
      <c r="BMW33" s="835"/>
      <c r="BMX33" s="835"/>
      <c r="BMY33" s="835"/>
      <c r="BMZ33" s="835"/>
      <c r="BNA33" s="835"/>
      <c r="BNB33" s="835"/>
      <c r="BNC33" s="835"/>
      <c r="BND33" s="835"/>
      <c r="BNE33" s="835"/>
      <c r="BNF33" s="835"/>
      <c r="BNG33" s="835"/>
      <c r="BNH33" s="835"/>
      <c r="BNI33" s="835"/>
      <c r="BNJ33" s="835"/>
      <c r="BNK33" s="835"/>
      <c r="BNL33" s="835"/>
      <c r="BNM33" s="835"/>
      <c r="BNN33" s="835"/>
      <c r="BNO33" s="835"/>
      <c r="BNP33" s="835"/>
      <c r="BNQ33" s="835"/>
      <c r="BNR33" s="835"/>
      <c r="BNS33" s="835"/>
      <c r="BNT33" s="835"/>
      <c r="BNU33" s="835"/>
      <c r="BNV33" s="835"/>
      <c r="BNW33" s="835"/>
      <c r="BNX33" s="835"/>
      <c r="BNY33" s="835"/>
      <c r="BNZ33" s="835"/>
      <c r="BOA33" s="835"/>
      <c r="BOB33" s="835"/>
      <c r="BOC33" s="835"/>
      <c r="BOD33" s="835"/>
      <c r="BOE33" s="835"/>
      <c r="BOF33" s="835"/>
      <c r="BOG33" s="835"/>
      <c r="BOH33" s="835"/>
      <c r="BOI33" s="835"/>
      <c r="BOJ33" s="835"/>
      <c r="BOK33" s="835"/>
      <c r="BOL33" s="835"/>
      <c r="BOM33" s="835"/>
      <c r="BON33" s="835"/>
      <c r="BOO33" s="835"/>
      <c r="BOP33" s="835"/>
      <c r="BOQ33" s="835"/>
      <c r="BOR33" s="835"/>
      <c r="BOS33" s="835"/>
      <c r="BOT33" s="835"/>
      <c r="BOU33" s="835"/>
      <c r="BOV33" s="835"/>
      <c r="BOW33" s="835"/>
      <c r="BOX33" s="835"/>
      <c r="BOY33" s="835"/>
      <c r="BOZ33" s="835"/>
      <c r="BPA33" s="835"/>
      <c r="BPB33" s="835"/>
      <c r="BPC33" s="835"/>
      <c r="BPD33" s="835"/>
      <c r="BPE33" s="835"/>
      <c r="BPF33" s="835"/>
      <c r="BPG33" s="835"/>
      <c r="BPH33" s="835"/>
      <c r="BPI33" s="835"/>
      <c r="BPJ33" s="835"/>
      <c r="BPK33" s="835"/>
      <c r="BPL33" s="835"/>
      <c r="BPM33" s="835"/>
      <c r="BPN33" s="835"/>
      <c r="BPO33" s="835"/>
      <c r="BPP33" s="835"/>
      <c r="BPQ33" s="835"/>
      <c r="BPR33" s="835"/>
      <c r="BPS33" s="835"/>
      <c r="BPT33" s="835"/>
      <c r="BPU33" s="835"/>
      <c r="BPV33" s="835"/>
      <c r="BPW33" s="835"/>
      <c r="BPX33" s="835"/>
      <c r="BPY33" s="835"/>
      <c r="BPZ33" s="835"/>
      <c r="BQA33" s="835"/>
      <c r="BQB33" s="835"/>
      <c r="BQC33" s="835"/>
      <c r="BQD33" s="835"/>
      <c r="BQE33" s="835"/>
      <c r="BQF33" s="835"/>
      <c r="BQG33" s="835"/>
      <c r="BQH33" s="835"/>
      <c r="BQI33" s="835"/>
      <c r="BQJ33" s="835"/>
      <c r="BQK33" s="835"/>
      <c r="BQL33" s="835"/>
      <c r="BQM33" s="835"/>
      <c r="BQN33" s="835"/>
      <c r="BQO33" s="835"/>
      <c r="BQP33" s="835"/>
      <c r="BQQ33" s="835"/>
      <c r="BQR33" s="835"/>
      <c r="BQS33" s="835"/>
      <c r="BQT33" s="835"/>
      <c r="BQU33" s="835"/>
      <c r="BQV33" s="835"/>
      <c r="BQW33" s="835"/>
      <c r="BQX33" s="835"/>
      <c r="BQY33" s="835"/>
      <c r="BQZ33" s="835"/>
      <c r="BRA33" s="835"/>
      <c r="BRB33" s="835"/>
      <c r="BRC33" s="835"/>
      <c r="BRD33" s="835"/>
      <c r="BRE33" s="835"/>
      <c r="BRF33" s="835"/>
      <c r="BRG33" s="835"/>
      <c r="BRH33" s="835"/>
      <c r="BRI33" s="835"/>
      <c r="BRJ33" s="835"/>
      <c r="BRK33" s="835"/>
      <c r="BRL33" s="835"/>
      <c r="BRM33" s="835"/>
      <c r="BRN33" s="835"/>
      <c r="BRO33" s="835"/>
      <c r="BRP33" s="835"/>
      <c r="BRQ33" s="835"/>
      <c r="BRR33" s="835"/>
      <c r="BRS33" s="835"/>
      <c r="BRT33" s="835"/>
      <c r="BRU33" s="835"/>
      <c r="BRV33" s="835"/>
      <c r="BRW33" s="835"/>
      <c r="BRX33" s="835"/>
      <c r="BRY33" s="835"/>
      <c r="BRZ33" s="835"/>
      <c r="BSA33" s="835"/>
      <c r="BSB33" s="835"/>
      <c r="BSC33" s="835"/>
      <c r="BSD33" s="835"/>
      <c r="BSE33" s="835"/>
      <c r="BSF33" s="835"/>
      <c r="BSG33" s="835"/>
      <c r="BSH33" s="835"/>
      <c r="BSI33" s="835"/>
      <c r="BSJ33" s="835"/>
      <c r="BSK33" s="835"/>
      <c r="BSL33" s="835"/>
      <c r="BSM33" s="835"/>
      <c r="BSN33" s="835"/>
      <c r="BSO33" s="835"/>
      <c r="BSP33" s="835"/>
      <c r="BSQ33" s="835"/>
      <c r="BSR33" s="835"/>
      <c r="BSS33" s="835"/>
      <c r="BST33" s="835"/>
    </row>
    <row r="34" spans="1:1866" s="831" customFormat="1" ht="21.9" customHeight="1" x14ac:dyDescent="0.25">
      <c r="A34" s="835"/>
      <c r="B34" s="3168" t="s">
        <v>843</v>
      </c>
      <c r="C34" s="3169"/>
      <c r="D34" s="3159"/>
      <c r="E34" s="1471"/>
      <c r="F34" s="1471"/>
      <c r="G34" s="1471"/>
      <c r="H34" s="1471"/>
      <c r="I34" s="1471"/>
      <c r="J34" s="1471"/>
      <c r="K34" s="1471"/>
      <c r="L34" s="1471"/>
      <c r="M34" s="1471"/>
      <c r="N34" s="1471"/>
      <c r="O34" s="1471"/>
      <c r="P34" s="1471"/>
      <c r="Q34" s="1471"/>
      <c r="R34" s="1471"/>
      <c r="S34" s="1471"/>
      <c r="T34" s="1471"/>
      <c r="U34" s="1471"/>
      <c r="V34" s="1472"/>
      <c r="W34" s="835"/>
      <c r="X34" s="835"/>
      <c r="Y34" s="835"/>
      <c r="Z34" s="835"/>
      <c r="AA34" s="869"/>
      <c r="AB34" s="835"/>
      <c r="AC34" s="835"/>
      <c r="AD34" s="835"/>
      <c r="AE34" s="835"/>
      <c r="AF34" s="835"/>
      <c r="AG34" s="835"/>
      <c r="AH34" s="835"/>
      <c r="AI34" s="835"/>
      <c r="AJ34" s="835"/>
      <c r="AK34" s="835"/>
      <c r="AL34" s="835"/>
      <c r="AM34" s="835"/>
      <c r="AN34" s="835"/>
      <c r="AO34" s="835"/>
      <c r="AP34" s="835"/>
      <c r="AQ34" s="835"/>
      <c r="AR34" s="835"/>
      <c r="AS34" s="835"/>
      <c r="AT34" s="835"/>
      <c r="AU34" s="835"/>
      <c r="AV34" s="835"/>
      <c r="AW34" s="835"/>
      <c r="AX34" s="835"/>
      <c r="AY34" s="835"/>
      <c r="AZ34" s="835"/>
      <c r="BA34" s="835"/>
      <c r="BB34" s="835"/>
      <c r="BC34" s="835"/>
      <c r="BD34" s="835"/>
      <c r="BE34" s="835"/>
      <c r="BF34" s="835"/>
      <c r="BG34" s="835"/>
      <c r="BH34" s="835"/>
      <c r="BI34" s="835"/>
      <c r="BJ34" s="835"/>
      <c r="BK34" s="835"/>
      <c r="BL34" s="835"/>
      <c r="BM34" s="835"/>
      <c r="BN34" s="835"/>
      <c r="BO34" s="835"/>
      <c r="BP34" s="835"/>
      <c r="BQ34" s="835"/>
      <c r="BR34" s="835"/>
      <c r="BS34" s="835"/>
      <c r="BT34" s="835"/>
      <c r="BU34" s="835"/>
      <c r="BV34" s="835"/>
      <c r="BW34" s="835"/>
      <c r="BX34" s="835"/>
      <c r="BY34" s="835"/>
      <c r="BZ34" s="835"/>
      <c r="CA34" s="835"/>
      <c r="CB34" s="835"/>
      <c r="CC34" s="835"/>
      <c r="CD34" s="835"/>
      <c r="CE34" s="835"/>
      <c r="CF34" s="835"/>
      <c r="CG34" s="835"/>
      <c r="CH34" s="835"/>
      <c r="CI34" s="835"/>
      <c r="CJ34" s="835"/>
      <c r="CK34" s="835"/>
      <c r="CL34" s="835"/>
      <c r="CM34" s="835"/>
      <c r="CN34" s="835"/>
      <c r="CO34" s="835"/>
      <c r="CP34" s="835"/>
      <c r="CQ34" s="835"/>
      <c r="CR34" s="835"/>
      <c r="CS34" s="835"/>
      <c r="CT34" s="835"/>
      <c r="CU34" s="835"/>
      <c r="CV34" s="835"/>
      <c r="CW34" s="835"/>
      <c r="CX34" s="835"/>
      <c r="CY34" s="835"/>
      <c r="CZ34" s="835"/>
      <c r="DA34" s="835"/>
      <c r="DB34" s="835"/>
      <c r="DC34" s="835"/>
      <c r="DD34" s="835"/>
      <c r="DE34" s="835"/>
      <c r="DF34" s="835"/>
      <c r="DG34" s="835"/>
      <c r="DH34" s="835"/>
      <c r="DI34" s="835"/>
      <c r="DJ34" s="835"/>
      <c r="DK34" s="835"/>
      <c r="DL34" s="835"/>
      <c r="DM34" s="835"/>
      <c r="DN34" s="835"/>
      <c r="DO34" s="835"/>
      <c r="DP34" s="835"/>
      <c r="DQ34" s="835"/>
      <c r="DR34" s="835"/>
      <c r="DS34" s="835"/>
      <c r="DT34" s="835"/>
      <c r="DU34" s="835"/>
      <c r="DV34" s="835"/>
      <c r="DW34" s="835"/>
      <c r="DX34" s="835"/>
      <c r="DY34" s="835"/>
      <c r="DZ34" s="835"/>
      <c r="EA34" s="835"/>
      <c r="EB34" s="835"/>
      <c r="EC34" s="835"/>
      <c r="ED34" s="835"/>
      <c r="EE34" s="835"/>
      <c r="EF34" s="835"/>
      <c r="EG34" s="835"/>
      <c r="EH34" s="835"/>
      <c r="EI34" s="835"/>
      <c r="EJ34" s="835"/>
      <c r="EK34" s="835"/>
      <c r="EL34" s="835"/>
      <c r="EM34" s="835"/>
      <c r="EN34" s="835"/>
      <c r="EO34" s="835"/>
      <c r="EP34" s="835"/>
      <c r="EQ34" s="835"/>
      <c r="ER34" s="835"/>
      <c r="ES34" s="835"/>
      <c r="ET34" s="835"/>
      <c r="EU34" s="835"/>
      <c r="EV34" s="835"/>
      <c r="EW34" s="835"/>
      <c r="EX34" s="835"/>
      <c r="EY34" s="835"/>
      <c r="EZ34" s="835"/>
      <c r="FA34" s="835"/>
      <c r="FB34" s="835"/>
      <c r="FC34" s="835"/>
      <c r="FD34" s="835"/>
      <c r="FE34" s="835"/>
      <c r="FF34" s="835"/>
      <c r="FG34" s="835"/>
      <c r="FH34" s="835"/>
      <c r="FI34" s="835"/>
      <c r="FJ34" s="835"/>
      <c r="FK34" s="835"/>
      <c r="FL34" s="835"/>
      <c r="FM34" s="835"/>
      <c r="FN34" s="835"/>
      <c r="FO34" s="835"/>
      <c r="FP34" s="835"/>
      <c r="FQ34" s="835"/>
      <c r="FR34" s="835"/>
      <c r="FS34" s="835"/>
      <c r="FT34" s="835"/>
      <c r="FU34" s="835"/>
      <c r="FV34" s="835"/>
      <c r="FW34" s="835"/>
      <c r="FX34" s="835"/>
      <c r="FY34" s="835"/>
      <c r="FZ34" s="835"/>
      <c r="GA34" s="835"/>
      <c r="GB34" s="835"/>
      <c r="GC34" s="835"/>
      <c r="GD34" s="835"/>
      <c r="GE34" s="835"/>
      <c r="GF34" s="835"/>
      <c r="GG34" s="835"/>
      <c r="GH34" s="835"/>
      <c r="GI34" s="835"/>
      <c r="GJ34" s="835"/>
      <c r="GK34" s="835"/>
      <c r="GL34" s="835"/>
      <c r="GM34" s="835"/>
      <c r="GN34" s="835"/>
      <c r="GO34" s="835"/>
      <c r="GP34" s="835"/>
      <c r="GQ34" s="835"/>
      <c r="GR34" s="835"/>
      <c r="GS34" s="835"/>
      <c r="GT34" s="835"/>
      <c r="GU34" s="835"/>
      <c r="GV34" s="835"/>
      <c r="GW34" s="835"/>
      <c r="GX34" s="835"/>
      <c r="GY34" s="835"/>
      <c r="GZ34" s="835"/>
      <c r="HA34" s="835"/>
      <c r="HB34" s="835"/>
      <c r="HC34" s="835"/>
      <c r="HD34" s="835"/>
      <c r="HE34" s="835"/>
      <c r="HF34" s="835"/>
      <c r="HG34" s="835"/>
      <c r="HH34" s="835"/>
      <c r="HI34" s="835"/>
      <c r="HJ34" s="835"/>
      <c r="HK34" s="835"/>
      <c r="HL34" s="835"/>
      <c r="HM34" s="835"/>
      <c r="HN34" s="835"/>
      <c r="HO34" s="835"/>
      <c r="HP34" s="835"/>
      <c r="HQ34" s="835"/>
      <c r="HR34" s="835"/>
      <c r="HS34" s="835"/>
      <c r="HT34" s="835"/>
      <c r="HU34" s="835"/>
      <c r="HV34" s="835"/>
      <c r="HW34" s="835"/>
      <c r="HX34" s="835"/>
      <c r="HY34" s="835"/>
      <c r="HZ34" s="835"/>
      <c r="IA34" s="835"/>
      <c r="IB34" s="835"/>
      <c r="IC34" s="835"/>
      <c r="ID34" s="835"/>
      <c r="IE34" s="835"/>
      <c r="IF34" s="835"/>
      <c r="IG34" s="835"/>
      <c r="IH34" s="835"/>
      <c r="II34" s="835"/>
      <c r="IJ34" s="835"/>
      <c r="IK34" s="835"/>
      <c r="IL34" s="835"/>
      <c r="IM34" s="835"/>
      <c r="IN34" s="835"/>
      <c r="IO34" s="835"/>
      <c r="IP34" s="835"/>
      <c r="IQ34" s="835"/>
      <c r="IR34" s="835"/>
      <c r="IS34" s="835"/>
      <c r="IT34" s="835"/>
      <c r="IU34" s="835"/>
      <c r="IV34" s="835"/>
      <c r="IW34" s="835"/>
      <c r="IX34" s="835"/>
      <c r="IY34" s="835"/>
      <c r="IZ34" s="835"/>
      <c r="JA34" s="835"/>
      <c r="JB34" s="835"/>
      <c r="JC34" s="835"/>
      <c r="JD34" s="835"/>
      <c r="JE34" s="835"/>
      <c r="JF34" s="835"/>
      <c r="JG34" s="835"/>
      <c r="JH34" s="835"/>
      <c r="JI34" s="835"/>
      <c r="JJ34" s="835"/>
      <c r="JK34" s="835"/>
      <c r="JL34" s="835"/>
      <c r="JM34" s="835"/>
      <c r="JN34" s="835"/>
      <c r="JO34" s="835"/>
      <c r="JP34" s="835"/>
      <c r="JQ34" s="835"/>
      <c r="JR34" s="835"/>
      <c r="JS34" s="835"/>
      <c r="JT34" s="835"/>
      <c r="JU34" s="835"/>
      <c r="JV34" s="835"/>
      <c r="JW34" s="835"/>
      <c r="JX34" s="835"/>
      <c r="JY34" s="835"/>
      <c r="JZ34" s="835"/>
      <c r="KA34" s="835"/>
      <c r="KB34" s="835"/>
      <c r="KC34" s="835"/>
      <c r="KD34" s="835"/>
      <c r="KE34" s="835"/>
      <c r="KF34" s="835"/>
      <c r="KG34" s="835"/>
      <c r="KH34" s="835"/>
      <c r="KI34" s="835"/>
      <c r="KJ34" s="835"/>
      <c r="KK34" s="835"/>
      <c r="KL34" s="835"/>
      <c r="KM34" s="835"/>
      <c r="KN34" s="835"/>
      <c r="KO34" s="835"/>
      <c r="KP34" s="835"/>
      <c r="KQ34" s="835"/>
      <c r="KR34" s="835"/>
      <c r="KS34" s="835"/>
      <c r="KT34" s="835"/>
      <c r="KU34" s="835"/>
      <c r="KV34" s="835"/>
      <c r="KW34" s="835"/>
      <c r="KX34" s="835"/>
      <c r="KY34" s="835"/>
      <c r="KZ34" s="835"/>
      <c r="LA34" s="835"/>
      <c r="LB34" s="835"/>
      <c r="LC34" s="835"/>
      <c r="LD34" s="835"/>
      <c r="LE34" s="835"/>
      <c r="LF34" s="835"/>
      <c r="LG34" s="835"/>
      <c r="LH34" s="835"/>
      <c r="LI34" s="835"/>
      <c r="LJ34" s="835"/>
      <c r="LK34" s="835"/>
      <c r="LL34" s="835"/>
      <c r="LM34" s="835"/>
      <c r="LN34" s="835"/>
      <c r="LO34" s="835"/>
      <c r="LP34" s="835"/>
      <c r="LQ34" s="835"/>
      <c r="LR34" s="835"/>
      <c r="LS34" s="835"/>
      <c r="LT34" s="835"/>
      <c r="LU34" s="835"/>
      <c r="LV34" s="835"/>
      <c r="LW34" s="835"/>
      <c r="LX34" s="835"/>
      <c r="LY34" s="835"/>
      <c r="LZ34" s="835"/>
      <c r="MA34" s="835"/>
      <c r="MB34" s="835"/>
      <c r="MC34" s="835"/>
      <c r="MD34" s="835"/>
      <c r="ME34" s="835"/>
      <c r="MF34" s="835"/>
      <c r="MG34" s="835"/>
      <c r="MH34" s="835"/>
      <c r="MI34" s="835"/>
      <c r="MJ34" s="835"/>
      <c r="MK34" s="835"/>
      <c r="ML34" s="835"/>
      <c r="MM34" s="835"/>
      <c r="MN34" s="835"/>
      <c r="MO34" s="835"/>
      <c r="MP34" s="835"/>
      <c r="MQ34" s="835"/>
      <c r="MR34" s="835"/>
      <c r="MS34" s="835"/>
      <c r="MT34" s="835"/>
      <c r="MU34" s="835"/>
      <c r="MV34" s="835"/>
      <c r="MW34" s="835"/>
      <c r="MX34" s="835"/>
      <c r="MY34" s="835"/>
      <c r="MZ34" s="835"/>
      <c r="NA34" s="835"/>
      <c r="NB34" s="835"/>
      <c r="NC34" s="835"/>
      <c r="ND34" s="835"/>
      <c r="NE34" s="835"/>
      <c r="NF34" s="835"/>
      <c r="NG34" s="835"/>
      <c r="NH34" s="835"/>
      <c r="NI34" s="835"/>
      <c r="NJ34" s="835"/>
      <c r="NK34" s="835"/>
      <c r="NL34" s="835"/>
      <c r="NM34" s="835"/>
      <c r="NN34" s="835"/>
      <c r="NO34" s="835"/>
      <c r="NP34" s="835"/>
      <c r="NQ34" s="835"/>
      <c r="NR34" s="835"/>
      <c r="NS34" s="835"/>
      <c r="NT34" s="835"/>
      <c r="NU34" s="835"/>
      <c r="NV34" s="835"/>
      <c r="NW34" s="835"/>
      <c r="NX34" s="835"/>
      <c r="NY34" s="835"/>
      <c r="NZ34" s="835"/>
      <c r="OA34" s="835"/>
      <c r="OB34" s="835"/>
      <c r="OC34" s="835"/>
      <c r="OD34" s="835"/>
      <c r="OE34" s="835"/>
      <c r="OF34" s="835"/>
      <c r="OG34" s="835"/>
      <c r="OH34" s="835"/>
      <c r="OI34" s="835"/>
      <c r="OJ34" s="835"/>
      <c r="OK34" s="835"/>
      <c r="OL34" s="835"/>
      <c r="OM34" s="835"/>
      <c r="ON34" s="835"/>
      <c r="OO34" s="835"/>
      <c r="OP34" s="835"/>
      <c r="OQ34" s="835"/>
      <c r="OR34" s="835"/>
      <c r="OS34" s="835"/>
      <c r="OT34" s="835"/>
      <c r="OU34" s="835"/>
      <c r="OV34" s="835"/>
      <c r="OW34" s="835"/>
      <c r="OX34" s="835"/>
      <c r="OY34" s="835"/>
      <c r="OZ34" s="835"/>
      <c r="PA34" s="835"/>
      <c r="PB34" s="835"/>
      <c r="PC34" s="835"/>
      <c r="PD34" s="835"/>
      <c r="PE34" s="835"/>
      <c r="PF34" s="835"/>
      <c r="PG34" s="835"/>
      <c r="PH34" s="835"/>
      <c r="PI34" s="835"/>
      <c r="PJ34" s="835"/>
      <c r="PK34" s="835"/>
      <c r="PL34" s="835"/>
      <c r="PM34" s="835"/>
      <c r="PN34" s="835"/>
      <c r="PO34" s="835"/>
      <c r="PP34" s="835"/>
      <c r="PQ34" s="835"/>
      <c r="PR34" s="835"/>
      <c r="PS34" s="835"/>
      <c r="PT34" s="835"/>
      <c r="PU34" s="835"/>
      <c r="PV34" s="835"/>
      <c r="PW34" s="835"/>
      <c r="PX34" s="835"/>
      <c r="PY34" s="835"/>
      <c r="PZ34" s="835"/>
      <c r="QA34" s="835"/>
      <c r="QB34" s="835"/>
      <c r="QC34" s="835"/>
      <c r="QD34" s="835"/>
      <c r="QE34" s="835"/>
      <c r="QF34" s="835"/>
      <c r="QG34" s="835"/>
      <c r="QH34" s="835"/>
      <c r="QI34" s="835"/>
      <c r="QJ34" s="835"/>
      <c r="QK34" s="835"/>
      <c r="QL34" s="835"/>
      <c r="QM34" s="835"/>
      <c r="QN34" s="835"/>
      <c r="QO34" s="835"/>
      <c r="QP34" s="835"/>
      <c r="QQ34" s="835"/>
      <c r="QR34" s="835"/>
      <c r="QS34" s="835"/>
      <c r="QT34" s="835"/>
      <c r="QU34" s="835"/>
      <c r="QV34" s="835"/>
      <c r="QW34" s="835"/>
      <c r="QX34" s="835"/>
      <c r="QY34" s="835"/>
      <c r="QZ34" s="835"/>
      <c r="RA34" s="835"/>
      <c r="RB34" s="835"/>
      <c r="RC34" s="835"/>
      <c r="RD34" s="835"/>
      <c r="RE34" s="835"/>
      <c r="RF34" s="835"/>
      <c r="RG34" s="835"/>
      <c r="RH34" s="835"/>
      <c r="RI34" s="835"/>
      <c r="RJ34" s="835"/>
      <c r="RK34" s="835"/>
      <c r="RL34" s="835"/>
      <c r="RM34" s="835"/>
      <c r="RN34" s="835"/>
      <c r="RO34" s="835"/>
      <c r="RP34" s="835"/>
      <c r="RQ34" s="835"/>
      <c r="RR34" s="835"/>
      <c r="RS34" s="835"/>
      <c r="RT34" s="835"/>
      <c r="RU34" s="835"/>
      <c r="RV34" s="835"/>
      <c r="RW34" s="835"/>
      <c r="RX34" s="835"/>
      <c r="RY34" s="835"/>
      <c r="RZ34" s="835"/>
      <c r="SA34" s="835"/>
      <c r="SB34" s="835"/>
      <c r="SC34" s="835"/>
      <c r="SD34" s="835"/>
      <c r="SE34" s="835"/>
      <c r="SF34" s="835"/>
      <c r="SG34" s="835"/>
      <c r="SH34" s="835"/>
      <c r="SI34" s="835"/>
      <c r="SJ34" s="835"/>
      <c r="SK34" s="835"/>
      <c r="SL34" s="835"/>
      <c r="SM34" s="835"/>
      <c r="SN34" s="835"/>
      <c r="SO34" s="835"/>
      <c r="SP34" s="835"/>
      <c r="SQ34" s="835"/>
      <c r="SR34" s="835"/>
      <c r="SS34" s="835"/>
      <c r="ST34" s="835"/>
      <c r="SU34" s="835"/>
      <c r="SV34" s="835"/>
      <c r="SW34" s="835"/>
      <c r="SX34" s="835"/>
      <c r="SY34" s="835"/>
      <c r="SZ34" s="835"/>
      <c r="TA34" s="835"/>
      <c r="TB34" s="835"/>
      <c r="TC34" s="835"/>
      <c r="TD34" s="835"/>
      <c r="TE34" s="835"/>
      <c r="TF34" s="835"/>
      <c r="TG34" s="835"/>
      <c r="TH34" s="835"/>
      <c r="TI34" s="835"/>
      <c r="TJ34" s="835"/>
      <c r="TK34" s="835"/>
      <c r="TL34" s="835"/>
      <c r="TM34" s="835"/>
      <c r="TN34" s="835"/>
      <c r="TO34" s="835"/>
      <c r="TP34" s="835"/>
      <c r="TQ34" s="835"/>
      <c r="TR34" s="835"/>
      <c r="TS34" s="835"/>
      <c r="TT34" s="835"/>
      <c r="TU34" s="835"/>
      <c r="TV34" s="835"/>
      <c r="TW34" s="835"/>
      <c r="TX34" s="835"/>
      <c r="TY34" s="835"/>
      <c r="TZ34" s="835"/>
      <c r="UA34" s="835"/>
      <c r="UB34" s="835"/>
      <c r="UC34" s="835"/>
      <c r="UD34" s="835"/>
      <c r="UE34" s="835"/>
      <c r="UF34" s="835"/>
      <c r="UG34" s="835"/>
      <c r="UH34" s="835"/>
      <c r="UI34" s="835"/>
      <c r="UJ34" s="835"/>
      <c r="UK34" s="835"/>
      <c r="UL34" s="835"/>
      <c r="UM34" s="835"/>
      <c r="UN34" s="835"/>
      <c r="UO34" s="835"/>
      <c r="UP34" s="835"/>
      <c r="UQ34" s="835"/>
      <c r="UR34" s="835"/>
      <c r="US34" s="835"/>
      <c r="UT34" s="835"/>
      <c r="UU34" s="835"/>
      <c r="UV34" s="835"/>
      <c r="UW34" s="835"/>
      <c r="UX34" s="835"/>
      <c r="UY34" s="835"/>
      <c r="UZ34" s="835"/>
      <c r="VA34" s="835"/>
      <c r="VB34" s="835"/>
      <c r="VC34" s="835"/>
      <c r="VD34" s="835"/>
      <c r="VE34" s="835"/>
      <c r="VF34" s="835"/>
      <c r="VG34" s="835"/>
      <c r="VH34" s="835"/>
      <c r="VI34" s="835"/>
      <c r="VJ34" s="835"/>
      <c r="VK34" s="835"/>
      <c r="VL34" s="835"/>
      <c r="VM34" s="835"/>
      <c r="VN34" s="835"/>
      <c r="VO34" s="835"/>
      <c r="VP34" s="835"/>
      <c r="VQ34" s="835"/>
      <c r="VR34" s="835"/>
      <c r="VS34" s="835"/>
      <c r="VT34" s="835"/>
      <c r="VU34" s="835"/>
      <c r="VV34" s="835"/>
      <c r="VW34" s="835"/>
      <c r="VX34" s="835"/>
      <c r="VY34" s="835"/>
      <c r="VZ34" s="835"/>
      <c r="WA34" s="835"/>
      <c r="WB34" s="835"/>
      <c r="WC34" s="835"/>
      <c r="WD34" s="835"/>
      <c r="WE34" s="835"/>
      <c r="WF34" s="835"/>
      <c r="WG34" s="835"/>
      <c r="WH34" s="835"/>
      <c r="WI34" s="835"/>
      <c r="WJ34" s="835"/>
      <c r="WK34" s="835"/>
      <c r="WL34" s="835"/>
      <c r="WM34" s="835"/>
      <c r="WN34" s="835"/>
      <c r="WO34" s="835"/>
      <c r="WP34" s="835"/>
      <c r="WQ34" s="835"/>
      <c r="WR34" s="835"/>
      <c r="WS34" s="835"/>
      <c r="WT34" s="835"/>
      <c r="WU34" s="835"/>
      <c r="WV34" s="835"/>
      <c r="WW34" s="835"/>
      <c r="WX34" s="835"/>
      <c r="WY34" s="835"/>
      <c r="WZ34" s="835"/>
      <c r="XA34" s="835"/>
      <c r="XB34" s="835"/>
      <c r="XC34" s="835"/>
      <c r="XD34" s="835"/>
      <c r="XE34" s="835"/>
      <c r="XF34" s="835"/>
      <c r="XG34" s="835"/>
      <c r="XH34" s="835"/>
      <c r="XI34" s="835"/>
      <c r="XJ34" s="835"/>
      <c r="XK34" s="835"/>
      <c r="XL34" s="835"/>
      <c r="XM34" s="835"/>
      <c r="XN34" s="835"/>
      <c r="XO34" s="835"/>
      <c r="XP34" s="835"/>
      <c r="XQ34" s="835"/>
      <c r="XR34" s="835"/>
      <c r="XS34" s="835"/>
      <c r="XT34" s="835"/>
      <c r="XU34" s="835"/>
      <c r="XV34" s="835"/>
      <c r="XW34" s="835"/>
      <c r="XX34" s="835"/>
      <c r="XY34" s="835"/>
      <c r="XZ34" s="835"/>
      <c r="YA34" s="835"/>
      <c r="YB34" s="835"/>
      <c r="YC34" s="835"/>
      <c r="YD34" s="835"/>
      <c r="YE34" s="835"/>
      <c r="YF34" s="835"/>
      <c r="YG34" s="835"/>
      <c r="YH34" s="835"/>
      <c r="YI34" s="835"/>
      <c r="YJ34" s="835"/>
      <c r="YK34" s="835"/>
      <c r="YL34" s="835"/>
      <c r="YM34" s="835"/>
      <c r="YN34" s="835"/>
      <c r="YO34" s="835"/>
      <c r="YP34" s="835"/>
      <c r="YQ34" s="835"/>
      <c r="YR34" s="835"/>
      <c r="YS34" s="835"/>
      <c r="YT34" s="835"/>
      <c r="YU34" s="835"/>
      <c r="YV34" s="835"/>
      <c r="YW34" s="835"/>
      <c r="YX34" s="835"/>
      <c r="YY34" s="835"/>
      <c r="YZ34" s="835"/>
      <c r="ZA34" s="835"/>
      <c r="ZB34" s="835"/>
      <c r="ZC34" s="835"/>
      <c r="ZD34" s="835"/>
      <c r="ZE34" s="835"/>
      <c r="ZF34" s="835"/>
      <c r="ZG34" s="835"/>
      <c r="ZH34" s="835"/>
      <c r="ZI34" s="835"/>
      <c r="ZJ34" s="835"/>
      <c r="ZK34" s="835"/>
      <c r="ZL34" s="835"/>
      <c r="ZM34" s="835"/>
      <c r="ZN34" s="835"/>
      <c r="ZO34" s="835"/>
      <c r="ZP34" s="835"/>
      <c r="ZQ34" s="835"/>
      <c r="ZR34" s="835"/>
      <c r="ZS34" s="835"/>
      <c r="ZT34" s="835"/>
      <c r="ZU34" s="835"/>
      <c r="ZV34" s="835"/>
      <c r="ZW34" s="835"/>
      <c r="ZX34" s="835"/>
      <c r="ZY34" s="835"/>
      <c r="ZZ34" s="835"/>
      <c r="AAA34" s="835"/>
      <c r="AAB34" s="835"/>
      <c r="AAC34" s="835"/>
      <c r="AAD34" s="835"/>
      <c r="AAE34" s="835"/>
      <c r="AAF34" s="835"/>
      <c r="AAG34" s="835"/>
      <c r="AAH34" s="835"/>
      <c r="AAI34" s="835"/>
      <c r="AAJ34" s="835"/>
      <c r="AAK34" s="835"/>
      <c r="AAL34" s="835"/>
      <c r="AAM34" s="835"/>
      <c r="AAN34" s="835"/>
      <c r="AAO34" s="835"/>
      <c r="AAP34" s="835"/>
      <c r="AAQ34" s="835"/>
      <c r="AAR34" s="835"/>
      <c r="AAS34" s="835"/>
      <c r="AAT34" s="835"/>
      <c r="AAU34" s="835"/>
      <c r="AAV34" s="835"/>
      <c r="AAW34" s="835"/>
      <c r="AAX34" s="835"/>
      <c r="AAY34" s="835"/>
      <c r="AAZ34" s="835"/>
      <c r="ABA34" s="835"/>
      <c r="ABB34" s="835"/>
      <c r="ABC34" s="835"/>
      <c r="ABD34" s="835"/>
      <c r="ABE34" s="835"/>
      <c r="ABF34" s="835"/>
      <c r="ABG34" s="835"/>
      <c r="ABH34" s="835"/>
      <c r="ABI34" s="835"/>
      <c r="ABJ34" s="835"/>
      <c r="ABK34" s="835"/>
      <c r="ABL34" s="835"/>
      <c r="ABM34" s="835"/>
      <c r="ABN34" s="835"/>
      <c r="ABO34" s="835"/>
      <c r="ABP34" s="835"/>
      <c r="ABQ34" s="835"/>
      <c r="ABR34" s="835"/>
      <c r="ABS34" s="835"/>
      <c r="ABT34" s="835"/>
      <c r="ABU34" s="835"/>
      <c r="ABV34" s="835"/>
      <c r="ABW34" s="835"/>
      <c r="ABX34" s="835"/>
      <c r="ABY34" s="835"/>
      <c r="ABZ34" s="835"/>
      <c r="ACA34" s="835"/>
      <c r="ACB34" s="835"/>
      <c r="ACC34" s="835"/>
      <c r="ACD34" s="835"/>
      <c r="ACE34" s="835"/>
      <c r="ACF34" s="835"/>
      <c r="ACG34" s="835"/>
      <c r="ACH34" s="835"/>
      <c r="ACI34" s="835"/>
      <c r="ACJ34" s="835"/>
      <c r="ACK34" s="835"/>
      <c r="ACL34" s="835"/>
      <c r="ACM34" s="835"/>
      <c r="ACN34" s="835"/>
      <c r="ACO34" s="835"/>
      <c r="ACP34" s="835"/>
      <c r="ACQ34" s="835"/>
      <c r="ACR34" s="835"/>
      <c r="ACS34" s="835"/>
      <c r="ACT34" s="835"/>
      <c r="ACU34" s="835"/>
      <c r="ACV34" s="835"/>
      <c r="ACW34" s="835"/>
      <c r="ACX34" s="835"/>
      <c r="ACY34" s="835"/>
      <c r="ACZ34" s="835"/>
      <c r="ADA34" s="835"/>
      <c r="ADB34" s="835"/>
      <c r="ADC34" s="835"/>
      <c r="ADD34" s="835"/>
      <c r="ADE34" s="835"/>
      <c r="ADF34" s="835"/>
      <c r="ADG34" s="835"/>
      <c r="ADH34" s="835"/>
      <c r="ADI34" s="835"/>
      <c r="ADJ34" s="835"/>
      <c r="ADK34" s="835"/>
      <c r="ADL34" s="835"/>
      <c r="ADM34" s="835"/>
      <c r="ADN34" s="835"/>
      <c r="ADO34" s="835"/>
      <c r="ADP34" s="835"/>
      <c r="ADQ34" s="835"/>
      <c r="ADR34" s="835"/>
      <c r="ADS34" s="835"/>
      <c r="ADT34" s="835"/>
      <c r="ADU34" s="835"/>
      <c r="ADV34" s="835"/>
      <c r="ADW34" s="835"/>
      <c r="ADX34" s="835"/>
      <c r="ADY34" s="835"/>
      <c r="ADZ34" s="835"/>
      <c r="AEA34" s="835"/>
      <c r="AEB34" s="835"/>
      <c r="AEC34" s="835"/>
      <c r="AED34" s="835"/>
      <c r="AEE34" s="835"/>
      <c r="AEF34" s="835"/>
      <c r="AEG34" s="835"/>
      <c r="AEH34" s="835"/>
      <c r="AEI34" s="835"/>
      <c r="AEJ34" s="835"/>
      <c r="AEK34" s="835"/>
      <c r="AEL34" s="835"/>
      <c r="AEM34" s="835"/>
      <c r="AEN34" s="835"/>
      <c r="AEO34" s="835"/>
      <c r="AEP34" s="835"/>
      <c r="AEQ34" s="835"/>
      <c r="AER34" s="835"/>
      <c r="AES34" s="835"/>
      <c r="AET34" s="835"/>
      <c r="AEU34" s="835"/>
      <c r="AEV34" s="835"/>
      <c r="AEW34" s="835"/>
      <c r="AEX34" s="835"/>
      <c r="AEY34" s="835"/>
      <c r="AEZ34" s="835"/>
      <c r="AFA34" s="835"/>
      <c r="AFB34" s="835"/>
      <c r="AFC34" s="835"/>
      <c r="AFD34" s="835"/>
      <c r="AFE34" s="835"/>
      <c r="AFF34" s="835"/>
      <c r="AFG34" s="835"/>
      <c r="AFH34" s="835"/>
      <c r="AFI34" s="835"/>
      <c r="AFJ34" s="835"/>
      <c r="AFK34" s="835"/>
      <c r="AFL34" s="835"/>
      <c r="AFM34" s="835"/>
      <c r="AFN34" s="835"/>
      <c r="AFO34" s="835"/>
      <c r="AFP34" s="835"/>
      <c r="AFQ34" s="835"/>
      <c r="AFR34" s="835"/>
      <c r="AFS34" s="835"/>
      <c r="AFT34" s="835"/>
      <c r="AFU34" s="835"/>
      <c r="AFV34" s="835"/>
      <c r="AFW34" s="835"/>
      <c r="AFX34" s="835"/>
      <c r="AFY34" s="835"/>
      <c r="AFZ34" s="835"/>
      <c r="AGA34" s="835"/>
      <c r="AGB34" s="835"/>
      <c r="AGC34" s="835"/>
      <c r="AGD34" s="835"/>
      <c r="AGE34" s="835"/>
      <c r="AGF34" s="835"/>
      <c r="AGG34" s="835"/>
      <c r="AGH34" s="835"/>
      <c r="AGI34" s="835"/>
      <c r="AGJ34" s="835"/>
      <c r="AGK34" s="835"/>
      <c r="AGL34" s="835"/>
      <c r="AGM34" s="835"/>
      <c r="AGN34" s="835"/>
      <c r="AGO34" s="835"/>
      <c r="AGP34" s="835"/>
      <c r="AGQ34" s="835"/>
      <c r="AGR34" s="835"/>
      <c r="AGS34" s="835"/>
      <c r="AGT34" s="835"/>
      <c r="AGU34" s="835"/>
      <c r="AGV34" s="835"/>
      <c r="AGW34" s="835"/>
      <c r="AGX34" s="835"/>
      <c r="AGY34" s="835"/>
      <c r="AGZ34" s="835"/>
      <c r="AHA34" s="835"/>
      <c r="AHB34" s="835"/>
      <c r="AHC34" s="835"/>
      <c r="AHD34" s="835"/>
      <c r="AHE34" s="835"/>
      <c r="AHF34" s="835"/>
      <c r="AHG34" s="835"/>
      <c r="AHH34" s="835"/>
      <c r="AHI34" s="835"/>
      <c r="AHJ34" s="835"/>
      <c r="AHK34" s="835"/>
      <c r="AHL34" s="835"/>
      <c r="AHM34" s="835"/>
      <c r="AHN34" s="835"/>
      <c r="AHO34" s="835"/>
      <c r="AHP34" s="835"/>
      <c r="AHQ34" s="835"/>
      <c r="AHR34" s="835"/>
      <c r="AHS34" s="835"/>
      <c r="AHT34" s="835"/>
      <c r="AHU34" s="835"/>
      <c r="AHV34" s="835"/>
      <c r="AHW34" s="835"/>
      <c r="AHX34" s="835"/>
      <c r="AHY34" s="835"/>
      <c r="AHZ34" s="835"/>
      <c r="AIA34" s="835"/>
      <c r="AIB34" s="835"/>
      <c r="AIC34" s="835"/>
      <c r="AID34" s="835"/>
      <c r="AIE34" s="835"/>
      <c r="AIF34" s="835"/>
      <c r="AIG34" s="835"/>
      <c r="AIH34" s="835"/>
      <c r="AII34" s="835"/>
      <c r="AIJ34" s="835"/>
      <c r="AIK34" s="835"/>
      <c r="AIL34" s="835"/>
      <c r="AIM34" s="835"/>
      <c r="AIN34" s="835"/>
      <c r="AIO34" s="835"/>
      <c r="AIP34" s="835"/>
      <c r="AIQ34" s="835"/>
      <c r="AIR34" s="835"/>
      <c r="AIS34" s="835"/>
      <c r="AIT34" s="835"/>
      <c r="AIU34" s="835"/>
      <c r="AIV34" s="835"/>
      <c r="AIW34" s="835"/>
      <c r="AIX34" s="835"/>
      <c r="AIY34" s="835"/>
      <c r="AIZ34" s="835"/>
      <c r="AJA34" s="835"/>
      <c r="AJB34" s="835"/>
      <c r="AJC34" s="835"/>
      <c r="AJD34" s="835"/>
      <c r="AJE34" s="835"/>
      <c r="AJF34" s="835"/>
      <c r="AJG34" s="835"/>
      <c r="AJH34" s="835"/>
      <c r="AJI34" s="835"/>
      <c r="AJJ34" s="835"/>
      <c r="AJK34" s="835"/>
      <c r="AJL34" s="835"/>
      <c r="AJM34" s="835"/>
      <c r="AJN34" s="835"/>
      <c r="AJO34" s="835"/>
      <c r="AJP34" s="835"/>
      <c r="AJQ34" s="835"/>
      <c r="AJR34" s="835"/>
      <c r="AJS34" s="835"/>
      <c r="AJT34" s="835"/>
      <c r="AJU34" s="835"/>
      <c r="AJV34" s="835"/>
      <c r="AJW34" s="835"/>
      <c r="AJX34" s="835"/>
      <c r="AJY34" s="835"/>
      <c r="AJZ34" s="835"/>
      <c r="AKA34" s="835"/>
      <c r="AKB34" s="835"/>
      <c r="AKC34" s="835"/>
      <c r="AKD34" s="835"/>
      <c r="AKE34" s="835"/>
      <c r="AKF34" s="835"/>
      <c r="AKG34" s="835"/>
      <c r="AKH34" s="835"/>
      <c r="AKI34" s="835"/>
      <c r="AKJ34" s="835"/>
      <c r="AKK34" s="835"/>
      <c r="AKL34" s="835"/>
      <c r="AKM34" s="835"/>
      <c r="AKN34" s="835"/>
      <c r="AKO34" s="835"/>
      <c r="AKP34" s="835"/>
      <c r="AKQ34" s="835"/>
      <c r="AKR34" s="835"/>
      <c r="AKS34" s="835"/>
      <c r="AKT34" s="835"/>
      <c r="AKU34" s="835"/>
      <c r="AKV34" s="835"/>
      <c r="AKW34" s="835"/>
      <c r="AKX34" s="835"/>
      <c r="AKY34" s="835"/>
      <c r="AKZ34" s="835"/>
      <c r="ALA34" s="835"/>
      <c r="ALB34" s="835"/>
      <c r="ALC34" s="835"/>
      <c r="ALD34" s="835"/>
      <c r="ALE34" s="835"/>
      <c r="ALF34" s="835"/>
      <c r="ALG34" s="835"/>
      <c r="ALH34" s="835"/>
      <c r="ALI34" s="835"/>
      <c r="ALJ34" s="835"/>
      <c r="ALK34" s="835"/>
      <c r="ALL34" s="835"/>
      <c r="ALM34" s="835"/>
      <c r="ALN34" s="835"/>
      <c r="ALO34" s="835"/>
      <c r="ALP34" s="835"/>
      <c r="ALQ34" s="835"/>
      <c r="ALR34" s="835"/>
      <c r="ALS34" s="835"/>
      <c r="ALT34" s="835"/>
      <c r="ALU34" s="835"/>
      <c r="ALV34" s="835"/>
      <c r="ALW34" s="835"/>
      <c r="ALX34" s="835"/>
      <c r="ALY34" s="835"/>
      <c r="ALZ34" s="835"/>
      <c r="AMA34" s="835"/>
      <c r="AMB34" s="835"/>
      <c r="AMC34" s="835"/>
      <c r="AMD34" s="835"/>
      <c r="AME34" s="835"/>
      <c r="AMF34" s="835"/>
      <c r="AMG34" s="835"/>
      <c r="AMH34" s="835"/>
      <c r="AMI34" s="835"/>
      <c r="AMJ34" s="835"/>
      <c r="AMK34" s="835"/>
      <c r="AML34" s="835"/>
      <c r="AMM34" s="835"/>
      <c r="AMN34" s="835"/>
      <c r="AMO34" s="835"/>
      <c r="AMP34" s="835"/>
      <c r="AMQ34" s="835"/>
      <c r="AMR34" s="835"/>
      <c r="AMS34" s="835"/>
      <c r="AMT34" s="835"/>
      <c r="AMU34" s="835"/>
      <c r="AMV34" s="835"/>
      <c r="AMW34" s="835"/>
      <c r="AMX34" s="835"/>
      <c r="AMY34" s="835"/>
      <c r="AMZ34" s="835"/>
      <c r="ANA34" s="835"/>
      <c r="ANB34" s="835"/>
      <c r="ANC34" s="835"/>
      <c r="AND34" s="835"/>
      <c r="ANE34" s="835"/>
      <c r="ANF34" s="835"/>
      <c r="ANG34" s="835"/>
      <c r="ANH34" s="835"/>
      <c r="ANI34" s="835"/>
      <c r="ANJ34" s="835"/>
      <c r="ANK34" s="835"/>
      <c r="ANL34" s="835"/>
      <c r="ANM34" s="835"/>
      <c r="ANN34" s="835"/>
      <c r="ANO34" s="835"/>
      <c r="ANP34" s="835"/>
      <c r="ANQ34" s="835"/>
      <c r="ANR34" s="835"/>
      <c r="ANS34" s="835"/>
      <c r="ANT34" s="835"/>
      <c r="ANU34" s="835"/>
      <c r="ANV34" s="835"/>
      <c r="ANW34" s="835"/>
      <c r="ANX34" s="835"/>
      <c r="ANY34" s="835"/>
      <c r="ANZ34" s="835"/>
      <c r="AOA34" s="835"/>
      <c r="AOB34" s="835"/>
      <c r="AOC34" s="835"/>
      <c r="AOD34" s="835"/>
      <c r="AOE34" s="835"/>
      <c r="AOF34" s="835"/>
      <c r="AOG34" s="835"/>
      <c r="AOH34" s="835"/>
      <c r="AOI34" s="835"/>
      <c r="AOJ34" s="835"/>
      <c r="AOK34" s="835"/>
      <c r="AOL34" s="835"/>
      <c r="AOM34" s="835"/>
      <c r="AON34" s="835"/>
      <c r="AOO34" s="835"/>
      <c r="AOP34" s="835"/>
      <c r="AOQ34" s="835"/>
      <c r="AOR34" s="835"/>
      <c r="AOS34" s="835"/>
      <c r="AOT34" s="835"/>
      <c r="AOU34" s="835"/>
      <c r="AOV34" s="835"/>
      <c r="AOW34" s="835"/>
      <c r="AOX34" s="835"/>
      <c r="AOY34" s="835"/>
      <c r="AOZ34" s="835"/>
      <c r="APA34" s="835"/>
      <c r="APB34" s="835"/>
      <c r="APC34" s="835"/>
      <c r="APD34" s="835"/>
      <c r="APE34" s="835"/>
      <c r="APF34" s="835"/>
      <c r="APG34" s="835"/>
      <c r="APH34" s="835"/>
      <c r="API34" s="835"/>
      <c r="APJ34" s="835"/>
      <c r="APK34" s="835"/>
      <c r="APL34" s="835"/>
      <c r="APM34" s="835"/>
      <c r="APN34" s="835"/>
      <c r="APO34" s="835"/>
      <c r="APP34" s="835"/>
      <c r="APQ34" s="835"/>
      <c r="APR34" s="835"/>
      <c r="APS34" s="835"/>
      <c r="APT34" s="835"/>
      <c r="APU34" s="835"/>
      <c r="APV34" s="835"/>
      <c r="APW34" s="835"/>
      <c r="APX34" s="835"/>
      <c r="APY34" s="835"/>
      <c r="APZ34" s="835"/>
      <c r="AQA34" s="835"/>
      <c r="AQB34" s="835"/>
      <c r="AQC34" s="835"/>
      <c r="AQD34" s="835"/>
      <c r="AQE34" s="835"/>
      <c r="AQF34" s="835"/>
      <c r="AQG34" s="835"/>
      <c r="AQH34" s="835"/>
      <c r="AQI34" s="835"/>
      <c r="AQJ34" s="835"/>
      <c r="AQK34" s="835"/>
      <c r="AQL34" s="835"/>
      <c r="AQM34" s="835"/>
      <c r="AQN34" s="835"/>
      <c r="AQO34" s="835"/>
      <c r="AQP34" s="835"/>
      <c r="AQQ34" s="835"/>
      <c r="AQR34" s="835"/>
      <c r="AQS34" s="835"/>
      <c r="AQT34" s="835"/>
      <c r="AQU34" s="835"/>
      <c r="AQV34" s="835"/>
      <c r="AQW34" s="835"/>
      <c r="AQX34" s="835"/>
      <c r="AQY34" s="835"/>
      <c r="AQZ34" s="835"/>
      <c r="ARA34" s="835"/>
      <c r="ARB34" s="835"/>
      <c r="ARC34" s="835"/>
      <c r="ARD34" s="835"/>
      <c r="ARE34" s="835"/>
      <c r="ARF34" s="835"/>
      <c r="ARG34" s="835"/>
      <c r="ARH34" s="835"/>
      <c r="ARI34" s="835"/>
      <c r="ARJ34" s="835"/>
      <c r="ARK34" s="835"/>
      <c r="ARL34" s="835"/>
      <c r="ARM34" s="835"/>
      <c r="ARN34" s="835"/>
      <c r="ARO34" s="835"/>
      <c r="ARP34" s="835"/>
      <c r="ARQ34" s="835"/>
      <c r="ARR34" s="835"/>
      <c r="ARS34" s="835"/>
      <c r="ART34" s="835"/>
      <c r="ARU34" s="835"/>
      <c r="ARV34" s="835"/>
      <c r="ARW34" s="835"/>
      <c r="ARX34" s="835"/>
      <c r="ARY34" s="835"/>
      <c r="ARZ34" s="835"/>
      <c r="ASA34" s="835"/>
      <c r="ASB34" s="835"/>
      <c r="ASC34" s="835"/>
      <c r="ASD34" s="835"/>
      <c r="ASE34" s="835"/>
      <c r="ASF34" s="835"/>
      <c r="ASG34" s="835"/>
      <c r="ASH34" s="835"/>
      <c r="ASI34" s="835"/>
      <c r="ASJ34" s="835"/>
      <c r="ASK34" s="835"/>
      <c r="ASL34" s="835"/>
      <c r="ASM34" s="835"/>
      <c r="ASN34" s="835"/>
      <c r="ASO34" s="835"/>
      <c r="ASP34" s="835"/>
      <c r="ASQ34" s="835"/>
      <c r="ASR34" s="835"/>
      <c r="ASS34" s="835"/>
      <c r="AST34" s="835"/>
      <c r="ASU34" s="835"/>
      <c r="ASV34" s="835"/>
      <c r="ASW34" s="835"/>
      <c r="ASX34" s="835"/>
      <c r="ASY34" s="835"/>
      <c r="ASZ34" s="835"/>
      <c r="ATA34" s="835"/>
      <c r="ATB34" s="835"/>
      <c r="ATC34" s="835"/>
      <c r="ATD34" s="835"/>
      <c r="ATE34" s="835"/>
      <c r="ATF34" s="835"/>
      <c r="ATG34" s="835"/>
      <c r="ATH34" s="835"/>
      <c r="ATI34" s="835"/>
      <c r="ATJ34" s="835"/>
      <c r="ATK34" s="835"/>
      <c r="ATL34" s="835"/>
      <c r="ATM34" s="835"/>
      <c r="ATN34" s="835"/>
      <c r="ATO34" s="835"/>
      <c r="ATP34" s="835"/>
      <c r="ATQ34" s="835"/>
      <c r="ATR34" s="835"/>
      <c r="ATS34" s="835"/>
      <c r="ATT34" s="835"/>
      <c r="ATU34" s="835"/>
      <c r="ATV34" s="835"/>
      <c r="ATW34" s="835"/>
      <c r="ATX34" s="835"/>
      <c r="ATY34" s="835"/>
      <c r="ATZ34" s="835"/>
      <c r="AUA34" s="835"/>
      <c r="AUB34" s="835"/>
      <c r="AUC34" s="835"/>
      <c r="AUD34" s="835"/>
      <c r="AUE34" s="835"/>
      <c r="AUF34" s="835"/>
      <c r="AUG34" s="835"/>
      <c r="AUH34" s="835"/>
      <c r="AUI34" s="835"/>
      <c r="AUJ34" s="835"/>
      <c r="AUK34" s="835"/>
      <c r="AUL34" s="835"/>
      <c r="AUM34" s="835"/>
      <c r="AUN34" s="835"/>
      <c r="AUO34" s="835"/>
      <c r="AUP34" s="835"/>
      <c r="AUQ34" s="835"/>
      <c r="AUR34" s="835"/>
      <c r="AUS34" s="835"/>
      <c r="AUT34" s="835"/>
      <c r="AUU34" s="835"/>
      <c r="AUV34" s="835"/>
      <c r="AUW34" s="835"/>
      <c r="AUX34" s="835"/>
      <c r="AUY34" s="835"/>
      <c r="AUZ34" s="835"/>
      <c r="AVA34" s="835"/>
      <c r="AVB34" s="835"/>
      <c r="AVC34" s="835"/>
      <c r="AVD34" s="835"/>
      <c r="AVE34" s="835"/>
      <c r="AVF34" s="835"/>
      <c r="AVG34" s="835"/>
      <c r="AVH34" s="835"/>
      <c r="AVI34" s="835"/>
      <c r="AVJ34" s="835"/>
      <c r="AVK34" s="835"/>
      <c r="AVL34" s="835"/>
      <c r="AVM34" s="835"/>
      <c r="AVN34" s="835"/>
      <c r="AVO34" s="835"/>
      <c r="AVP34" s="835"/>
      <c r="AVQ34" s="835"/>
      <c r="AVR34" s="835"/>
      <c r="AVS34" s="835"/>
      <c r="AVT34" s="835"/>
      <c r="AVU34" s="835"/>
      <c r="AVV34" s="835"/>
      <c r="AVW34" s="835"/>
      <c r="AVX34" s="835"/>
      <c r="AVY34" s="835"/>
      <c r="AVZ34" s="835"/>
      <c r="AWA34" s="835"/>
      <c r="AWB34" s="835"/>
      <c r="AWC34" s="835"/>
      <c r="AWD34" s="835"/>
      <c r="AWE34" s="835"/>
      <c r="AWF34" s="835"/>
      <c r="AWG34" s="835"/>
      <c r="AWH34" s="835"/>
      <c r="AWI34" s="835"/>
      <c r="AWJ34" s="835"/>
      <c r="AWK34" s="835"/>
      <c r="AWL34" s="835"/>
      <c r="AWM34" s="835"/>
      <c r="AWN34" s="835"/>
      <c r="AWO34" s="835"/>
      <c r="AWP34" s="835"/>
      <c r="AWQ34" s="835"/>
      <c r="AWR34" s="835"/>
      <c r="AWS34" s="835"/>
      <c r="AWT34" s="835"/>
      <c r="AWU34" s="835"/>
      <c r="AWV34" s="835"/>
      <c r="AWW34" s="835"/>
      <c r="AWX34" s="835"/>
      <c r="AWY34" s="835"/>
      <c r="AWZ34" s="835"/>
      <c r="AXA34" s="835"/>
      <c r="AXB34" s="835"/>
      <c r="AXC34" s="835"/>
      <c r="AXD34" s="835"/>
      <c r="AXE34" s="835"/>
      <c r="AXF34" s="835"/>
      <c r="AXG34" s="835"/>
      <c r="AXH34" s="835"/>
      <c r="AXI34" s="835"/>
      <c r="AXJ34" s="835"/>
      <c r="AXK34" s="835"/>
      <c r="AXL34" s="835"/>
      <c r="AXM34" s="835"/>
      <c r="AXN34" s="835"/>
      <c r="AXO34" s="835"/>
      <c r="AXP34" s="835"/>
      <c r="AXQ34" s="835"/>
      <c r="AXR34" s="835"/>
      <c r="AXS34" s="835"/>
      <c r="AXT34" s="835"/>
      <c r="AXU34" s="835"/>
      <c r="AXV34" s="835"/>
      <c r="AXW34" s="835"/>
      <c r="AXX34" s="835"/>
      <c r="AXY34" s="835"/>
      <c r="AXZ34" s="835"/>
      <c r="AYA34" s="835"/>
      <c r="AYB34" s="835"/>
      <c r="AYC34" s="835"/>
      <c r="AYD34" s="835"/>
      <c r="AYE34" s="835"/>
      <c r="AYF34" s="835"/>
      <c r="AYG34" s="835"/>
      <c r="AYH34" s="835"/>
      <c r="AYI34" s="835"/>
      <c r="AYJ34" s="835"/>
      <c r="AYK34" s="835"/>
      <c r="AYL34" s="835"/>
      <c r="AYM34" s="835"/>
      <c r="AYN34" s="835"/>
      <c r="AYO34" s="835"/>
      <c r="AYP34" s="835"/>
      <c r="AYQ34" s="835"/>
      <c r="AYR34" s="835"/>
      <c r="AYS34" s="835"/>
      <c r="AYT34" s="835"/>
      <c r="AYU34" s="835"/>
      <c r="AYV34" s="835"/>
      <c r="AYW34" s="835"/>
      <c r="AYX34" s="835"/>
      <c r="AYY34" s="835"/>
      <c r="AYZ34" s="835"/>
      <c r="AZA34" s="835"/>
      <c r="AZB34" s="835"/>
      <c r="AZC34" s="835"/>
      <c r="AZD34" s="835"/>
      <c r="AZE34" s="835"/>
      <c r="AZF34" s="835"/>
      <c r="AZG34" s="835"/>
      <c r="AZH34" s="835"/>
      <c r="AZI34" s="835"/>
      <c r="AZJ34" s="835"/>
      <c r="AZK34" s="835"/>
      <c r="AZL34" s="835"/>
      <c r="AZM34" s="835"/>
      <c r="AZN34" s="835"/>
      <c r="AZO34" s="835"/>
      <c r="AZP34" s="835"/>
      <c r="AZQ34" s="835"/>
      <c r="AZR34" s="835"/>
      <c r="AZS34" s="835"/>
      <c r="AZT34" s="835"/>
      <c r="AZU34" s="835"/>
      <c r="AZV34" s="835"/>
      <c r="AZW34" s="835"/>
      <c r="AZX34" s="835"/>
      <c r="AZY34" s="835"/>
      <c r="AZZ34" s="835"/>
      <c r="BAA34" s="835"/>
      <c r="BAB34" s="835"/>
      <c r="BAC34" s="835"/>
      <c r="BAD34" s="835"/>
      <c r="BAE34" s="835"/>
      <c r="BAF34" s="835"/>
      <c r="BAG34" s="835"/>
      <c r="BAH34" s="835"/>
      <c r="BAI34" s="835"/>
      <c r="BAJ34" s="835"/>
      <c r="BAK34" s="835"/>
      <c r="BAL34" s="835"/>
      <c r="BAM34" s="835"/>
      <c r="BAN34" s="835"/>
      <c r="BAO34" s="835"/>
      <c r="BAP34" s="835"/>
      <c r="BAQ34" s="835"/>
      <c r="BAR34" s="835"/>
      <c r="BAS34" s="835"/>
      <c r="BAT34" s="835"/>
      <c r="BAU34" s="835"/>
      <c r="BAV34" s="835"/>
      <c r="BAW34" s="835"/>
      <c r="BAX34" s="835"/>
      <c r="BAY34" s="835"/>
      <c r="BAZ34" s="835"/>
      <c r="BBA34" s="835"/>
      <c r="BBB34" s="835"/>
      <c r="BBC34" s="835"/>
      <c r="BBD34" s="835"/>
      <c r="BBE34" s="835"/>
      <c r="BBF34" s="835"/>
      <c r="BBG34" s="835"/>
      <c r="BBH34" s="835"/>
      <c r="BBI34" s="835"/>
      <c r="BBJ34" s="835"/>
      <c r="BBK34" s="835"/>
      <c r="BBL34" s="835"/>
      <c r="BBM34" s="835"/>
      <c r="BBN34" s="835"/>
      <c r="BBO34" s="835"/>
      <c r="BBP34" s="835"/>
      <c r="BBQ34" s="835"/>
      <c r="BBR34" s="835"/>
      <c r="BBS34" s="835"/>
      <c r="BBT34" s="835"/>
      <c r="BBU34" s="835"/>
      <c r="BBV34" s="835"/>
      <c r="BBW34" s="835"/>
      <c r="BBX34" s="835"/>
      <c r="BBY34" s="835"/>
      <c r="BBZ34" s="835"/>
      <c r="BCA34" s="835"/>
      <c r="BCB34" s="835"/>
      <c r="BCC34" s="835"/>
      <c r="BCD34" s="835"/>
      <c r="BCE34" s="835"/>
      <c r="BCF34" s="835"/>
      <c r="BCG34" s="835"/>
      <c r="BCH34" s="835"/>
      <c r="BCI34" s="835"/>
      <c r="BCJ34" s="835"/>
      <c r="BCK34" s="835"/>
      <c r="BCL34" s="835"/>
      <c r="BCM34" s="835"/>
      <c r="BCN34" s="835"/>
      <c r="BCO34" s="835"/>
      <c r="BCP34" s="835"/>
      <c r="BCQ34" s="835"/>
      <c r="BCR34" s="835"/>
      <c r="BCS34" s="835"/>
      <c r="BCT34" s="835"/>
      <c r="BCU34" s="835"/>
      <c r="BCV34" s="835"/>
      <c r="BCW34" s="835"/>
      <c r="BCX34" s="835"/>
      <c r="BCY34" s="835"/>
      <c r="BCZ34" s="835"/>
      <c r="BDA34" s="835"/>
      <c r="BDB34" s="835"/>
      <c r="BDC34" s="835"/>
      <c r="BDD34" s="835"/>
      <c r="BDE34" s="835"/>
      <c r="BDF34" s="835"/>
      <c r="BDG34" s="835"/>
      <c r="BDH34" s="835"/>
      <c r="BDI34" s="835"/>
      <c r="BDJ34" s="835"/>
      <c r="BDK34" s="835"/>
      <c r="BDL34" s="835"/>
      <c r="BDM34" s="835"/>
      <c r="BDN34" s="835"/>
      <c r="BDO34" s="835"/>
      <c r="BDP34" s="835"/>
      <c r="BDQ34" s="835"/>
      <c r="BDR34" s="835"/>
      <c r="BDS34" s="835"/>
      <c r="BDT34" s="835"/>
      <c r="BDU34" s="835"/>
      <c r="BDV34" s="835"/>
      <c r="BDW34" s="835"/>
      <c r="BDX34" s="835"/>
      <c r="BDY34" s="835"/>
      <c r="BDZ34" s="835"/>
      <c r="BEA34" s="835"/>
      <c r="BEB34" s="835"/>
      <c r="BEC34" s="835"/>
      <c r="BED34" s="835"/>
      <c r="BEE34" s="835"/>
      <c r="BEF34" s="835"/>
      <c r="BEG34" s="835"/>
      <c r="BEH34" s="835"/>
      <c r="BEI34" s="835"/>
      <c r="BEJ34" s="835"/>
      <c r="BEK34" s="835"/>
      <c r="BEL34" s="835"/>
      <c r="BEM34" s="835"/>
      <c r="BEN34" s="835"/>
      <c r="BEO34" s="835"/>
      <c r="BEP34" s="835"/>
      <c r="BEQ34" s="835"/>
      <c r="BER34" s="835"/>
      <c r="BES34" s="835"/>
      <c r="BET34" s="835"/>
      <c r="BEU34" s="835"/>
      <c r="BEV34" s="835"/>
      <c r="BEW34" s="835"/>
      <c r="BEX34" s="835"/>
      <c r="BEY34" s="835"/>
      <c r="BEZ34" s="835"/>
      <c r="BFA34" s="835"/>
      <c r="BFB34" s="835"/>
      <c r="BFC34" s="835"/>
      <c r="BFD34" s="835"/>
      <c r="BFE34" s="835"/>
      <c r="BFF34" s="835"/>
      <c r="BFG34" s="835"/>
      <c r="BFH34" s="835"/>
      <c r="BFI34" s="835"/>
      <c r="BFJ34" s="835"/>
      <c r="BFK34" s="835"/>
      <c r="BFL34" s="835"/>
      <c r="BFM34" s="835"/>
      <c r="BFN34" s="835"/>
      <c r="BFO34" s="835"/>
      <c r="BFP34" s="835"/>
      <c r="BFQ34" s="835"/>
      <c r="BFR34" s="835"/>
      <c r="BFS34" s="835"/>
      <c r="BFT34" s="835"/>
      <c r="BFU34" s="835"/>
      <c r="BFV34" s="835"/>
      <c r="BFW34" s="835"/>
      <c r="BFX34" s="835"/>
      <c r="BFY34" s="835"/>
      <c r="BFZ34" s="835"/>
      <c r="BGA34" s="835"/>
      <c r="BGB34" s="835"/>
      <c r="BGC34" s="835"/>
      <c r="BGD34" s="835"/>
      <c r="BGE34" s="835"/>
      <c r="BGF34" s="835"/>
      <c r="BGG34" s="835"/>
      <c r="BGH34" s="835"/>
      <c r="BGI34" s="835"/>
      <c r="BGJ34" s="835"/>
      <c r="BGK34" s="835"/>
      <c r="BGL34" s="835"/>
      <c r="BGM34" s="835"/>
      <c r="BGN34" s="835"/>
      <c r="BGO34" s="835"/>
      <c r="BGP34" s="835"/>
      <c r="BGQ34" s="835"/>
      <c r="BGR34" s="835"/>
      <c r="BGS34" s="835"/>
      <c r="BGT34" s="835"/>
      <c r="BGU34" s="835"/>
      <c r="BGV34" s="835"/>
      <c r="BGW34" s="835"/>
      <c r="BGX34" s="835"/>
      <c r="BGY34" s="835"/>
      <c r="BGZ34" s="835"/>
      <c r="BHA34" s="835"/>
      <c r="BHB34" s="835"/>
      <c r="BHC34" s="835"/>
      <c r="BHD34" s="835"/>
      <c r="BHE34" s="835"/>
      <c r="BHF34" s="835"/>
      <c r="BHG34" s="835"/>
      <c r="BHH34" s="835"/>
      <c r="BHI34" s="835"/>
      <c r="BHJ34" s="835"/>
      <c r="BHK34" s="835"/>
      <c r="BHL34" s="835"/>
      <c r="BHM34" s="835"/>
      <c r="BHN34" s="835"/>
      <c r="BHO34" s="835"/>
      <c r="BHP34" s="835"/>
      <c r="BHQ34" s="835"/>
      <c r="BHR34" s="835"/>
      <c r="BHS34" s="835"/>
      <c r="BHT34" s="835"/>
      <c r="BHU34" s="835"/>
      <c r="BHV34" s="835"/>
      <c r="BHW34" s="835"/>
      <c r="BHX34" s="835"/>
      <c r="BHY34" s="835"/>
      <c r="BHZ34" s="835"/>
      <c r="BIA34" s="835"/>
      <c r="BIB34" s="835"/>
      <c r="BIC34" s="835"/>
      <c r="BID34" s="835"/>
      <c r="BIE34" s="835"/>
      <c r="BIF34" s="835"/>
      <c r="BIG34" s="835"/>
      <c r="BIH34" s="835"/>
      <c r="BII34" s="835"/>
      <c r="BIJ34" s="835"/>
      <c r="BIK34" s="835"/>
      <c r="BIL34" s="835"/>
      <c r="BIM34" s="835"/>
      <c r="BIN34" s="835"/>
      <c r="BIO34" s="835"/>
      <c r="BIP34" s="835"/>
      <c r="BIQ34" s="835"/>
      <c r="BIR34" s="835"/>
      <c r="BIS34" s="835"/>
      <c r="BIT34" s="835"/>
      <c r="BIU34" s="835"/>
      <c r="BIV34" s="835"/>
      <c r="BIW34" s="835"/>
      <c r="BIX34" s="835"/>
      <c r="BIY34" s="835"/>
      <c r="BIZ34" s="835"/>
      <c r="BJA34" s="835"/>
      <c r="BJB34" s="835"/>
      <c r="BJC34" s="835"/>
      <c r="BJD34" s="835"/>
      <c r="BJE34" s="835"/>
      <c r="BJF34" s="835"/>
      <c r="BJG34" s="835"/>
      <c r="BJH34" s="835"/>
      <c r="BJI34" s="835"/>
      <c r="BJJ34" s="835"/>
      <c r="BJK34" s="835"/>
      <c r="BJL34" s="835"/>
      <c r="BJM34" s="835"/>
      <c r="BJN34" s="835"/>
      <c r="BJO34" s="835"/>
      <c r="BJP34" s="835"/>
      <c r="BJQ34" s="835"/>
      <c r="BJR34" s="835"/>
      <c r="BJS34" s="835"/>
      <c r="BJT34" s="835"/>
      <c r="BJU34" s="835"/>
      <c r="BJV34" s="835"/>
      <c r="BJW34" s="835"/>
      <c r="BJX34" s="835"/>
      <c r="BJY34" s="835"/>
      <c r="BJZ34" s="835"/>
      <c r="BKA34" s="835"/>
      <c r="BKB34" s="835"/>
      <c r="BKC34" s="835"/>
      <c r="BKD34" s="835"/>
      <c r="BKE34" s="835"/>
      <c r="BKF34" s="835"/>
      <c r="BKG34" s="835"/>
      <c r="BKH34" s="835"/>
      <c r="BKI34" s="835"/>
      <c r="BKJ34" s="835"/>
      <c r="BKK34" s="835"/>
      <c r="BKL34" s="835"/>
      <c r="BKM34" s="835"/>
      <c r="BKN34" s="835"/>
      <c r="BKO34" s="835"/>
      <c r="BKP34" s="835"/>
      <c r="BKQ34" s="835"/>
      <c r="BKR34" s="835"/>
      <c r="BKS34" s="835"/>
      <c r="BKT34" s="835"/>
      <c r="BKU34" s="835"/>
      <c r="BKV34" s="835"/>
      <c r="BKW34" s="835"/>
      <c r="BKX34" s="835"/>
      <c r="BKY34" s="835"/>
      <c r="BKZ34" s="835"/>
      <c r="BLA34" s="835"/>
      <c r="BLB34" s="835"/>
      <c r="BLC34" s="835"/>
      <c r="BLD34" s="835"/>
      <c r="BLE34" s="835"/>
      <c r="BLF34" s="835"/>
      <c r="BLG34" s="835"/>
      <c r="BLH34" s="835"/>
      <c r="BLI34" s="835"/>
      <c r="BLJ34" s="835"/>
      <c r="BLK34" s="835"/>
      <c r="BLL34" s="835"/>
      <c r="BLM34" s="835"/>
      <c r="BLN34" s="835"/>
      <c r="BLO34" s="835"/>
      <c r="BLP34" s="835"/>
      <c r="BLQ34" s="835"/>
      <c r="BLR34" s="835"/>
      <c r="BLS34" s="835"/>
      <c r="BLT34" s="835"/>
      <c r="BLU34" s="835"/>
      <c r="BLV34" s="835"/>
      <c r="BLW34" s="835"/>
      <c r="BLX34" s="835"/>
      <c r="BLY34" s="835"/>
      <c r="BLZ34" s="835"/>
      <c r="BMA34" s="835"/>
      <c r="BMB34" s="835"/>
      <c r="BMC34" s="835"/>
      <c r="BMD34" s="835"/>
      <c r="BME34" s="835"/>
      <c r="BMF34" s="835"/>
      <c r="BMG34" s="835"/>
      <c r="BMH34" s="835"/>
      <c r="BMI34" s="835"/>
      <c r="BMJ34" s="835"/>
      <c r="BMK34" s="835"/>
      <c r="BML34" s="835"/>
      <c r="BMM34" s="835"/>
      <c r="BMN34" s="835"/>
      <c r="BMO34" s="835"/>
      <c r="BMP34" s="835"/>
      <c r="BMQ34" s="835"/>
      <c r="BMR34" s="835"/>
      <c r="BMS34" s="835"/>
      <c r="BMT34" s="835"/>
      <c r="BMU34" s="835"/>
      <c r="BMV34" s="835"/>
      <c r="BMW34" s="835"/>
      <c r="BMX34" s="835"/>
      <c r="BMY34" s="835"/>
      <c r="BMZ34" s="835"/>
      <c r="BNA34" s="835"/>
      <c r="BNB34" s="835"/>
      <c r="BNC34" s="835"/>
      <c r="BND34" s="835"/>
      <c r="BNE34" s="835"/>
      <c r="BNF34" s="835"/>
      <c r="BNG34" s="835"/>
      <c r="BNH34" s="835"/>
      <c r="BNI34" s="835"/>
      <c r="BNJ34" s="835"/>
      <c r="BNK34" s="835"/>
      <c r="BNL34" s="835"/>
      <c r="BNM34" s="835"/>
      <c r="BNN34" s="835"/>
      <c r="BNO34" s="835"/>
      <c r="BNP34" s="835"/>
      <c r="BNQ34" s="835"/>
      <c r="BNR34" s="835"/>
      <c r="BNS34" s="835"/>
      <c r="BNT34" s="835"/>
      <c r="BNU34" s="835"/>
      <c r="BNV34" s="835"/>
      <c r="BNW34" s="835"/>
      <c r="BNX34" s="835"/>
      <c r="BNY34" s="835"/>
      <c r="BNZ34" s="835"/>
      <c r="BOA34" s="835"/>
      <c r="BOB34" s="835"/>
      <c r="BOC34" s="835"/>
      <c r="BOD34" s="835"/>
      <c r="BOE34" s="835"/>
      <c r="BOF34" s="835"/>
      <c r="BOG34" s="835"/>
      <c r="BOH34" s="835"/>
      <c r="BOI34" s="835"/>
      <c r="BOJ34" s="835"/>
      <c r="BOK34" s="835"/>
      <c r="BOL34" s="835"/>
      <c r="BOM34" s="835"/>
      <c r="BON34" s="835"/>
      <c r="BOO34" s="835"/>
      <c r="BOP34" s="835"/>
      <c r="BOQ34" s="835"/>
      <c r="BOR34" s="835"/>
      <c r="BOS34" s="835"/>
      <c r="BOT34" s="835"/>
      <c r="BOU34" s="835"/>
      <c r="BOV34" s="835"/>
      <c r="BOW34" s="835"/>
      <c r="BOX34" s="835"/>
      <c r="BOY34" s="835"/>
      <c r="BOZ34" s="835"/>
      <c r="BPA34" s="835"/>
      <c r="BPB34" s="835"/>
      <c r="BPC34" s="835"/>
      <c r="BPD34" s="835"/>
      <c r="BPE34" s="835"/>
      <c r="BPF34" s="835"/>
      <c r="BPG34" s="835"/>
      <c r="BPH34" s="835"/>
      <c r="BPI34" s="835"/>
      <c r="BPJ34" s="835"/>
      <c r="BPK34" s="835"/>
      <c r="BPL34" s="835"/>
      <c r="BPM34" s="835"/>
      <c r="BPN34" s="835"/>
      <c r="BPO34" s="835"/>
      <c r="BPP34" s="835"/>
      <c r="BPQ34" s="835"/>
      <c r="BPR34" s="835"/>
      <c r="BPS34" s="835"/>
      <c r="BPT34" s="835"/>
      <c r="BPU34" s="835"/>
      <c r="BPV34" s="835"/>
      <c r="BPW34" s="835"/>
      <c r="BPX34" s="835"/>
      <c r="BPY34" s="835"/>
      <c r="BPZ34" s="835"/>
      <c r="BQA34" s="835"/>
      <c r="BQB34" s="835"/>
      <c r="BQC34" s="835"/>
      <c r="BQD34" s="835"/>
      <c r="BQE34" s="835"/>
      <c r="BQF34" s="835"/>
      <c r="BQG34" s="835"/>
      <c r="BQH34" s="835"/>
      <c r="BQI34" s="835"/>
      <c r="BQJ34" s="835"/>
      <c r="BQK34" s="835"/>
      <c r="BQL34" s="835"/>
      <c r="BQM34" s="835"/>
      <c r="BQN34" s="835"/>
      <c r="BQO34" s="835"/>
      <c r="BQP34" s="835"/>
      <c r="BQQ34" s="835"/>
      <c r="BQR34" s="835"/>
      <c r="BQS34" s="835"/>
      <c r="BQT34" s="835"/>
      <c r="BQU34" s="835"/>
      <c r="BQV34" s="835"/>
      <c r="BQW34" s="835"/>
      <c r="BQX34" s="835"/>
      <c r="BQY34" s="835"/>
      <c r="BQZ34" s="835"/>
      <c r="BRA34" s="835"/>
      <c r="BRB34" s="835"/>
      <c r="BRC34" s="835"/>
      <c r="BRD34" s="835"/>
      <c r="BRE34" s="835"/>
      <c r="BRF34" s="835"/>
      <c r="BRG34" s="835"/>
      <c r="BRH34" s="835"/>
      <c r="BRI34" s="835"/>
      <c r="BRJ34" s="835"/>
      <c r="BRK34" s="835"/>
      <c r="BRL34" s="835"/>
      <c r="BRM34" s="835"/>
      <c r="BRN34" s="835"/>
      <c r="BRO34" s="835"/>
      <c r="BRP34" s="835"/>
      <c r="BRQ34" s="835"/>
      <c r="BRR34" s="835"/>
      <c r="BRS34" s="835"/>
      <c r="BRT34" s="835"/>
      <c r="BRU34" s="835"/>
      <c r="BRV34" s="835"/>
      <c r="BRW34" s="835"/>
      <c r="BRX34" s="835"/>
      <c r="BRY34" s="835"/>
      <c r="BRZ34" s="835"/>
      <c r="BSA34" s="835"/>
      <c r="BSB34" s="835"/>
      <c r="BSC34" s="835"/>
      <c r="BSD34" s="835"/>
      <c r="BSE34" s="835"/>
      <c r="BSF34" s="835"/>
      <c r="BSG34" s="835"/>
      <c r="BSH34" s="835"/>
      <c r="BSI34" s="835"/>
      <c r="BSJ34" s="835"/>
      <c r="BSK34" s="835"/>
      <c r="BSL34" s="835"/>
      <c r="BSM34" s="835"/>
      <c r="BSN34" s="835"/>
      <c r="BSO34" s="835"/>
      <c r="BSP34" s="835"/>
      <c r="BSQ34" s="835"/>
      <c r="BSR34" s="835"/>
      <c r="BSS34" s="835"/>
      <c r="BST34" s="835"/>
    </row>
    <row r="35" spans="1:1866" s="832" customFormat="1" ht="21.9" customHeight="1" x14ac:dyDescent="0.25">
      <c r="A35" s="836"/>
      <c r="B35" s="3177" t="s">
        <v>73</v>
      </c>
      <c r="C35" s="3178"/>
      <c r="D35" s="3159"/>
      <c r="E35" s="1439"/>
      <c r="F35" s="1439"/>
      <c r="G35" s="1439"/>
      <c r="H35" s="1439"/>
      <c r="I35" s="1439"/>
      <c r="J35" s="1439"/>
      <c r="K35" s="1439"/>
      <c r="L35" s="1439"/>
      <c r="M35" s="1439"/>
      <c r="N35" s="1439"/>
      <c r="O35" s="1439"/>
      <c r="P35" s="1439"/>
      <c r="Q35" s="1439"/>
      <c r="R35" s="1439"/>
      <c r="S35" s="1439"/>
      <c r="T35" s="1439"/>
      <c r="U35" s="1439"/>
      <c r="V35" s="1274"/>
      <c r="W35" s="835"/>
      <c r="X35" s="835"/>
      <c r="Y35" s="835"/>
      <c r="Z35" s="835"/>
      <c r="AA35" s="869"/>
      <c r="AB35" s="835"/>
      <c r="AC35" s="835"/>
      <c r="AD35" s="835"/>
      <c r="AE35" s="835"/>
      <c r="AF35" s="835"/>
      <c r="AG35" s="835"/>
      <c r="AH35" s="835"/>
      <c r="AI35" s="835"/>
      <c r="AJ35" s="835"/>
      <c r="AK35" s="835"/>
      <c r="AL35" s="835"/>
      <c r="AM35" s="836"/>
      <c r="AN35" s="836"/>
      <c r="AO35" s="836"/>
      <c r="AP35" s="836"/>
      <c r="AQ35" s="836"/>
      <c r="AR35" s="836"/>
      <c r="AS35" s="836"/>
      <c r="AT35" s="836"/>
      <c r="AU35" s="836"/>
      <c r="AV35" s="836"/>
      <c r="AW35" s="836"/>
      <c r="AX35" s="836"/>
      <c r="AY35" s="836"/>
      <c r="AZ35" s="836"/>
      <c r="BA35" s="836"/>
      <c r="BB35" s="836"/>
      <c r="BC35" s="836"/>
      <c r="BD35" s="836"/>
      <c r="BE35" s="836"/>
      <c r="BF35" s="836"/>
      <c r="BG35" s="836"/>
      <c r="BH35" s="836"/>
      <c r="BI35" s="836"/>
      <c r="BJ35" s="836"/>
      <c r="BK35" s="836"/>
      <c r="BL35" s="836"/>
      <c r="BM35" s="836"/>
      <c r="BN35" s="836"/>
      <c r="BO35" s="836"/>
      <c r="BP35" s="836"/>
      <c r="BQ35" s="836"/>
      <c r="BR35" s="836"/>
      <c r="BS35" s="836"/>
      <c r="BT35" s="836"/>
      <c r="BU35" s="836"/>
      <c r="BV35" s="836"/>
      <c r="BW35" s="836"/>
      <c r="BX35" s="836"/>
      <c r="BY35" s="836"/>
      <c r="BZ35" s="836"/>
      <c r="CA35" s="836"/>
      <c r="CB35" s="836"/>
      <c r="CC35" s="836"/>
      <c r="CD35" s="836"/>
      <c r="CE35" s="836"/>
      <c r="CF35" s="836"/>
      <c r="CG35" s="836"/>
      <c r="CH35" s="836"/>
      <c r="CI35" s="836"/>
      <c r="CJ35" s="836"/>
      <c r="CK35" s="836"/>
      <c r="CL35" s="836"/>
      <c r="CM35" s="836"/>
      <c r="CN35" s="836"/>
      <c r="CO35" s="836"/>
      <c r="CP35" s="836"/>
      <c r="CQ35" s="836"/>
      <c r="CR35" s="836"/>
      <c r="CS35" s="836"/>
      <c r="CT35" s="836"/>
      <c r="CU35" s="836"/>
      <c r="CV35" s="836"/>
      <c r="CW35" s="836"/>
      <c r="CX35" s="836"/>
      <c r="CY35" s="836"/>
      <c r="CZ35" s="836"/>
      <c r="DA35" s="836"/>
      <c r="DB35" s="836"/>
      <c r="DC35" s="836"/>
      <c r="DD35" s="836"/>
      <c r="DE35" s="836"/>
      <c r="DF35" s="836"/>
      <c r="DG35" s="836"/>
      <c r="DH35" s="836"/>
      <c r="DI35" s="836"/>
      <c r="DJ35" s="836"/>
      <c r="DK35" s="836"/>
      <c r="DL35" s="836"/>
      <c r="DM35" s="836"/>
      <c r="DN35" s="836"/>
      <c r="DO35" s="836"/>
      <c r="DP35" s="836"/>
      <c r="DQ35" s="836"/>
      <c r="DR35" s="836"/>
      <c r="DS35" s="836"/>
      <c r="DT35" s="836"/>
      <c r="DU35" s="836"/>
      <c r="DV35" s="836"/>
      <c r="DW35" s="836"/>
      <c r="DX35" s="836"/>
      <c r="DY35" s="836"/>
      <c r="DZ35" s="836"/>
      <c r="EA35" s="836"/>
      <c r="EB35" s="836"/>
      <c r="EC35" s="836"/>
      <c r="ED35" s="836"/>
      <c r="EE35" s="836"/>
      <c r="EF35" s="836"/>
      <c r="EG35" s="836"/>
      <c r="EH35" s="836"/>
      <c r="EI35" s="836"/>
      <c r="EJ35" s="836"/>
      <c r="EK35" s="836"/>
      <c r="EL35" s="836"/>
      <c r="EM35" s="836"/>
      <c r="EN35" s="836"/>
      <c r="EO35" s="836"/>
      <c r="EP35" s="836"/>
      <c r="EQ35" s="836"/>
      <c r="ER35" s="836"/>
      <c r="ES35" s="836"/>
      <c r="ET35" s="836"/>
      <c r="EU35" s="836"/>
      <c r="EV35" s="836"/>
      <c r="EW35" s="836"/>
      <c r="EX35" s="836"/>
      <c r="EY35" s="836"/>
      <c r="EZ35" s="836"/>
      <c r="FA35" s="836"/>
      <c r="FB35" s="836"/>
      <c r="FC35" s="836"/>
      <c r="FD35" s="836"/>
      <c r="FE35" s="836"/>
      <c r="FF35" s="836"/>
      <c r="FG35" s="836"/>
      <c r="FH35" s="836"/>
      <c r="FI35" s="836"/>
      <c r="FJ35" s="836"/>
      <c r="FK35" s="836"/>
      <c r="FL35" s="836"/>
      <c r="FM35" s="836"/>
      <c r="FN35" s="836"/>
      <c r="FO35" s="836"/>
      <c r="FP35" s="836"/>
      <c r="FQ35" s="836"/>
      <c r="FR35" s="836"/>
      <c r="FS35" s="836"/>
      <c r="FT35" s="836"/>
      <c r="FU35" s="836"/>
      <c r="FV35" s="836"/>
      <c r="FW35" s="836"/>
      <c r="FX35" s="836"/>
      <c r="FY35" s="836"/>
      <c r="FZ35" s="836"/>
      <c r="GA35" s="836"/>
      <c r="GB35" s="836"/>
      <c r="GC35" s="836"/>
      <c r="GD35" s="836"/>
      <c r="GE35" s="836"/>
      <c r="GF35" s="836"/>
      <c r="GG35" s="836"/>
      <c r="GH35" s="836"/>
      <c r="GI35" s="836"/>
      <c r="GJ35" s="836"/>
      <c r="GK35" s="836"/>
      <c r="GL35" s="836"/>
      <c r="GM35" s="836"/>
      <c r="GN35" s="836"/>
      <c r="GO35" s="836"/>
      <c r="GP35" s="836"/>
      <c r="GQ35" s="836"/>
      <c r="GR35" s="836"/>
      <c r="GS35" s="836"/>
      <c r="GT35" s="836"/>
      <c r="GU35" s="836"/>
      <c r="GV35" s="836"/>
      <c r="GW35" s="836"/>
      <c r="GX35" s="836"/>
      <c r="GY35" s="836"/>
      <c r="GZ35" s="836"/>
      <c r="HA35" s="836"/>
      <c r="HB35" s="836"/>
      <c r="HC35" s="836"/>
      <c r="HD35" s="836"/>
      <c r="HE35" s="836"/>
      <c r="HF35" s="836"/>
      <c r="HG35" s="836"/>
      <c r="HH35" s="836"/>
      <c r="HI35" s="836"/>
      <c r="HJ35" s="836"/>
      <c r="HK35" s="836"/>
      <c r="HL35" s="836"/>
      <c r="HM35" s="836"/>
      <c r="HN35" s="836"/>
      <c r="HO35" s="836"/>
      <c r="HP35" s="836"/>
      <c r="HQ35" s="836"/>
      <c r="HR35" s="836"/>
      <c r="HS35" s="836"/>
      <c r="HT35" s="836"/>
      <c r="HU35" s="836"/>
      <c r="HV35" s="836"/>
      <c r="HW35" s="836"/>
      <c r="HX35" s="836"/>
      <c r="HY35" s="836"/>
      <c r="HZ35" s="836"/>
      <c r="IA35" s="836"/>
      <c r="IB35" s="836"/>
      <c r="IC35" s="836"/>
      <c r="ID35" s="836"/>
      <c r="IE35" s="836"/>
      <c r="IF35" s="836"/>
      <c r="IG35" s="836"/>
      <c r="IH35" s="836"/>
      <c r="II35" s="836"/>
      <c r="IJ35" s="836"/>
      <c r="IK35" s="836"/>
      <c r="IL35" s="836"/>
      <c r="IM35" s="836"/>
      <c r="IN35" s="836"/>
      <c r="IO35" s="836"/>
      <c r="IP35" s="836"/>
      <c r="IQ35" s="836"/>
      <c r="IR35" s="836"/>
      <c r="IS35" s="836"/>
      <c r="IT35" s="836"/>
      <c r="IU35" s="836"/>
      <c r="IV35" s="836"/>
      <c r="IW35" s="836"/>
      <c r="IX35" s="836"/>
      <c r="IY35" s="836"/>
      <c r="IZ35" s="836"/>
      <c r="JA35" s="836"/>
      <c r="JB35" s="836"/>
      <c r="JC35" s="836"/>
      <c r="JD35" s="836"/>
      <c r="JE35" s="836"/>
      <c r="JF35" s="836"/>
      <c r="JG35" s="836"/>
      <c r="JH35" s="836"/>
      <c r="JI35" s="836"/>
      <c r="JJ35" s="836"/>
      <c r="JK35" s="836"/>
      <c r="JL35" s="836"/>
      <c r="JM35" s="836"/>
      <c r="JN35" s="836"/>
      <c r="JO35" s="836"/>
      <c r="JP35" s="836"/>
      <c r="JQ35" s="836"/>
      <c r="JR35" s="836"/>
      <c r="JS35" s="836"/>
      <c r="JT35" s="836"/>
      <c r="JU35" s="836"/>
      <c r="JV35" s="836"/>
      <c r="JW35" s="836"/>
      <c r="JX35" s="836"/>
      <c r="JY35" s="836"/>
      <c r="JZ35" s="836"/>
      <c r="KA35" s="836"/>
      <c r="KB35" s="836"/>
      <c r="KC35" s="836"/>
      <c r="KD35" s="836"/>
      <c r="KE35" s="836"/>
      <c r="KF35" s="836"/>
      <c r="KG35" s="836"/>
      <c r="KH35" s="836"/>
      <c r="KI35" s="836"/>
      <c r="KJ35" s="836"/>
      <c r="KK35" s="836"/>
      <c r="KL35" s="836"/>
      <c r="KM35" s="836"/>
      <c r="KN35" s="836"/>
      <c r="KO35" s="836"/>
      <c r="KP35" s="836"/>
      <c r="KQ35" s="836"/>
      <c r="KR35" s="836"/>
      <c r="KS35" s="836"/>
      <c r="KT35" s="836"/>
      <c r="KU35" s="836"/>
      <c r="KV35" s="836"/>
      <c r="KW35" s="836"/>
      <c r="KX35" s="836"/>
      <c r="KY35" s="836"/>
      <c r="KZ35" s="836"/>
      <c r="LA35" s="836"/>
      <c r="LB35" s="836"/>
      <c r="LC35" s="836"/>
      <c r="LD35" s="836"/>
      <c r="LE35" s="836"/>
      <c r="LF35" s="836"/>
      <c r="LG35" s="836"/>
      <c r="LH35" s="836"/>
      <c r="LI35" s="836"/>
      <c r="LJ35" s="836"/>
      <c r="LK35" s="836"/>
      <c r="LL35" s="836"/>
      <c r="LM35" s="836"/>
      <c r="LN35" s="836"/>
      <c r="LO35" s="836"/>
      <c r="LP35" s="836"/>
      <c r="LQ35" s="836"/>
      <c r="LR35" s="836"/>
      <c r="LS35" s="836"/>
      <c r="LT35" s="836"/>
      <c r="LU35" s="836"/>
      <c r="LV35" s="836"/>
      <c r="LW35" s="836"/>
      <c r="LX35" s="836"/>
      <c r="LY35" s="836"/>
      <c r="LZ35" s="836"/>
      <c r="MA35" s="836"/>
      <c r="MB35" s="836"/>
      <c r="MC35" s="836"/>
      <c r="MD35" s="836"/>
      <c r="ME35" s="836"/>
      <c r="MF35" s="836"/>
      <c r="MG35" s="836"/>
      <c r="MH35" s="836"/>
      <c r="MI35" s="836"/>
      <c r="MJ35" s="836"/>
      <c r="MK35" s="836"/>
      <c r="ML35" s="836"/>
      <c r="MM35" s="836"/>
      <c r="MN35" s="836"/>
      <c r="MO35" s="836"/>
      <c r="MP35" s="836"/>
      <c r="MQ35" s="836"/>
      <c r="MR35" s="836"/>
      <c r="MS35" s="836"/>
      <c r="MT35" s="836"/>
      <c r="MU35" s="836"/>
      <c r="MV35" s="836"/>
      <c r="MW35" s="836"/>
      <c r="MX35" s="836"/>
      <c r="MY35" s="836"/>
      <c r="MZ35" s="836"/>
      <c r="NA35" s="836"/>
      <c r="NB35" s="836"/>
      <c r="NC35" s="836"/>
      <c r="ND35" s="836"/>
      <c r="NE35" s="836"/>
      <c r="NF35" s="836"/>
      <c r="NG35" s="836"/>
      <c r="NH35" s="836"/>
      <c r="NI35" s="836"/>
      <c r="NJ35" s="836"/>
      <c r="NK35" s="836"/>
      <c r="NL35" s="836"/>
      <c r="NM35" s="836"/>
      <c r="NN35" s="836"/>
      <c r="NO35" s="836"/>
      <c r="NP35" s="836"/>
      <c r="NQ35" s="836"/>
      <c r="NR35" s="836"/>
      <c r="NS35" s="836"/>
      <c r="NT35" s="836"/>
      <c r="NU35" s="836"/>
      <c r="NV35" s="836"/>
      <c r="NW35" s="836"/>
      <c r="NX35" s="836"/>
      <c r="NY35" s="836"/>
      <c r="NZ35" s="836"/>
      <c r="OA35" s="836"/>
      <c r="OB35" s="836"/>
      <c r="OC35" s="836"/>
      <c r="OD35" s="836"/>
      <c r="OE35" s="836"/>
      <c r="OF35" s="836"/>
      <c r="OG35" s="836"/>
      <c r="OH35" s="836"/>
      <c r="OI35" s="836"/>
      <c r="OJ35" s="836"/>
      <c r="OK35" s="836"/>
      <c r="OL35" s="836"/>
      <c r="OM35" s="836"/>
      <c r="ON35" s="836"/>
      <c r="OO35" s="836"/>
      <c r="OP35" s="836"/>
      <c r="OQ35" s="836"/>
      <c r="OR35" s="836"/>
      <c r="OS35" s="836"/>
      <c r="OT35" s="836"/>
      <c r="OU35" s="836"/>
      <c r="OV35" s="836"/>
      <c r="OW35" s="836"/>
      <c r="OX35" s="836"/>
      <c r="OY35" s="836"/>
      <c r="OZ35" s="836"/>
      <c r="PA35" s="836"/>
      <c r="PB35" s="836"/>
      <c r="PC35" s="836"/>
      <c r="PD35" s="836"/>
      <c r="PE35" s="836"/>
      <c r="PF35" s="836"/>
      <c r="PG35" s="836"/>
      <c r="PH35" s="836"/>
      <c r="PI35" s="836"/>
      <c r="PJ35" s="836"/>
      <c r="PK35" s="836"/>
      <c r="PL35" s="836"/>
      <c r="PM35" s="836"/>
      <c r="PN35" s="836"/>
      <c r="PO35" s="836"/>
      <c r="PP35" s="836"/>
      <c r="PQ35" s="836"/>
      <c r="PR35" s="836"/>
      <c r="PS35" s="836"/>
      <c r="PT35" s="836"/>
      <c r="PU35" s="836"/>
      <c r="PV35" s="836"/>
      <c r="PW35" s="836"/>
      <c r="PX35" s="836"/>
      <c r="PY35" s="836"/>
      <c r="PZ35" s="836"/>
      <c r="QA35" s="836"/>
      <c r="QB35" s="836"/>
      <c r="QC35" s="836"/>
      <c r="QD35" s="836"/>
      <c r="QE35" s="836"/>
      <c r="QF35" s="836"/>
      <c r="QG35" s="836"/>
      <c r="QH35" s="836"/>
      <c r="QI35" s="836"/>
      <c r="QJ35" s="836"/>
      <c r="QK35" s="836"/>
      <c r="QL35" s="836"/>
      <c r="QM35" s="836"/>
      <c r="QN35" s="836"/>
      <c r="QO35" s="836"/>
      <c r="QP35" s="836"/>
      <c r="QQ35" s="836"/>
      <c r="QR35" s="836"/>
      <c r="QS35" s="836"/>
      <c r="QT35" s="836"/>
      <c r="QU35" s="836"/>
      <c r="QV35" s="836"/>
      <c r="QW35" s="836"/>
      <c r="QX35" s="836"/>
      <c r="QY35" s="836"/>
      <c r="QZ35" s="836"/>
      <c r="RA35" s="836"/>
      <c r="RB35" s="836"/>
      <c r="RC35" s="836"/>
      <c r="RD35" s="836"/>
      <c r="RE35" s="836"/>
      <c r="RF35" s="836"/>
      <c r="RG35" s="836"/>
      <c r="RH35" s="836"/>
      <c r="RI35" s="836"/>
      <c r="RJ35" s="836"/>
      <c r="RK35" s="836"/>
      <c r="RL35" s="836"/>
      <c r="RM35" s="836"/>
      <c r="RN35" s="836"/>
      <c r="RO35" s="836"/>
      <c r="RP35" s="836"/>
      <c r="RQ35" s="836"/>
      <c r="RR35" s="836"/>
      <c r="RS35" s="836"/>
      <c r="RT35" s="836"/>
      <c r="RU35" s="836"/>
      <c r="RV35" s="836"/>
      <c r="RW35" s="836"/>
      <c r="RX35" s="836"/>
      <c r="RY35" s="836"/>
      <c r="RZ35" s="836"/>
      <c r="SA35" s="836"/>
      <c r="SB35" s="836"/>
      <c r="SC35" s="836"/>
      <c r="SD35" s="836"/>
      <c r="SE35" s="836"/>
      <c r="SF35" s="836"/>
      <c r="SG35" s="836"/>
      <c r="SH35" s="836"/>
      <c r="SI35" s="836"/>
      <c r="SJ35" s="836"/>
      <c r="SK35" s="836"/>
      <c r="SL35" s="836"/>
      <c r="SM35" s="836"/>
      <c r="SN35" s="836"/>
      <c r="SO35" s="836"/>
      <c r="SP35" s="836"/>
      <c r="SQ35" s="836"/>
      <c r="SR35" s="836"/>
      <c r="SS35" s="836"/>
      <c r="ST35" s="836"/>
      <c r="SU35" s="836"/>
      <c r="SV35" s="836"/>
      <c r="SW35" s="836"/>
      <c r="SX35" s="836"/>
      <c r="SY35" s="836"/>
      <c r="SZ35" s="836"/>
      <c r="TA35" s="836"/>
      <c r="TB35" s="836"/>
      <c r="TC35" s="836"/>
      <c r="TD35" s="836"/>
      <c r="TE35" s="836"/>
      <c r="TF35" s="836"/>
      <c r="TG35" s="836"/>
      <c r="TH35" s="836"/>
      <c r="TI35" s="836"/>
      <c r="TJ35" s="836"/>
      <c r="TK35" s="836"/>
      <c r="TL35" s="836"/>
      <c r="TM35" s="836"/>
      <c r="TN35" s="836"/>
      <c r="TO35" s="836"/>
      <c r="TP35" s="836"/>
      <c r="TQ35" s="836"/>
      <c r="TR35" s="836"/>
      <c r="TS35" s="836"/>
      <c r="TT35" s="836"/>
      <c r="TU35" s="836"/>
      <c r="TV35" s="836"/>
      <c r="TW35" s="836"/>
      <c r="TX35" s="836"/>
      <c r="TY35" s="836"/>
      <c r="TZ35" s="836"/>
      <c r="UA35" s="836"/>
      <c r="UB35" s="836"/>
      <c r="UC35" s="836"/>
      <c r="UD35" s="836"/>
      <c r="UE35" s="836"/>
      <c r="UF35" s="836"/>
      <c r="UG35" s="836"/>
      <c r="UH35" s="836"/>
      <c r="UI35" s="836"/>
      <c r="UJ35" s="836"/>
      <c r="UK35" s="836"/>
      <c r="UL35" s="836"/>
      <c r="UM35" s="836"/>
      <c r="UN35" s="836"/>
      <c r="UO35" s="836"/>
      <c r="UP35" s="836"/>
      <c r="UQ35" s="836"/>
      <c r="UR35" s="836"/>
      <c r="US35" s="836"/>
      <c r="UT35" s="836"/>
      <c r="UU35" s="836"/>
      <c r="UV35" s="836"/>
      <c r="UW35" s="836"/>
      <c r="UX35" s="836"/>
      <c r="UY35" s="836"/>
      <c r="UZ35" s="836"/>
      <c r="VA35" s="836"/>
      <c r="VB35" s="836"/>
      <c r="VC35" s="836"/>
      <c r="VD35" s="836"/>
      <c r="VE35" s="836"/>
      <c r="VF35" s="836"/>
      <c r="VG35" s="836"/>
      <c r="VH35" s="836"/>
      <c r="VI35" s="836"/>
      <c r="VJ35" s="836"/>
      <c r="VK35" s="836"/>
      <c r="VL35" s="836"/>
      <c r="VM35" s="836"/>
      <c r="VN35" s="836"/>
      <c r="VO35" s="836"/>
      <c r="VP35" s="836"/>
      <c r="VQ35" s="836"/>
      <c r="VR35" s="836"/>
      <c r="VS35" s="836"/>
      <c r="VT35" s="836"/>
      <c r="VU35" s="836"/>
      <c r="VV35" s="836"/>
      <c r="VW35" s="836"/>
      <c r="VX35" s="836"/>
      <c r="VY35" s="836"/>
      <c r="VZ35" s="836"/>
      <c r="WA35" s="836"/>
      <c r="WB35" s="836"/>
      <c r="WC35" s="836"/>
      <c r="WD35" s="836"/>
      <c r="WE35" s="836"/>
      <c r="WF35" s="836"/>
      <c r="WG35" s="836"/>
      <c r="WH35" s="836"/>
      <c r="WI35" s="836"/>
      <c r="WJ35" s="836"/>
      <c r="WK35" s="836"/>
      <c r="WL35" s="836"/>
      <c r="WM35" s="836"/>
      <c r="WN35" s="836"/>
      <c r="WO35" s="836"/>
      <c r="WP35" s="836"/>
      <c r="WQ35" s="836"/>
      <c r="WR35" s="836"/>
      <c r="WS35" s="836"/>
      <c r="WT35" s="836"/>
      <c r="WU35" s="836"/>
      <c r="WV35" s="836"/>
      <c r="WW35" s="836"/>
      <c r="WX35" s="836"/>
      <c r="WY35" s="836"/>
      <c r="WZ35" s="836"/>
      <c r="XA35" s="836"/>
      <c r="XB35" s="836"/>
      <c r="XC35" s="836"/>
      <c r="XD35" s="836"/>
      <c r="XE35" s="836"/>
      <c r="XF35" s="836"/>
      <c r="XG35" s="836"/>
      <c r="XH35" s="836"/>
      <c r="XI35" s="836"/>
      <c r="XJ35" s="836"/>
      <c r="XK35" s="836"/>
      <c r="XL35" s="836"/>
      <c r="XM35" s="836"/>
      <c r="XN35" s="836"/>
      <c r="XO35" s="836"/>
      <c r="XP35" s="836"/>
      <c r="XQ35" s="836"/>
      <c r="XR35" s="836"/>
      <c r="XS35" s="836"/>
      <c r="XT35" s="836"/>
      <c r="XU35" s="836"/>
      <c r="XV35" s="836"/>
      <c r="XW35" s="836"/>
      <c r="XX35" s="836"/>
      <c r="XY35" s="836"/>
      <c r="XZ35" s="836"/>
      <c r="YA35" s="836"/>
      <c r="YB35" s="836"/>
      <c r="YC35" s="836"/>
      <c r="YD35" s="836"/>
      <c r="YE35" s="836"/>
      <c r="YF35" s="836"/>
      <c r="YG35" s="836"/>
      <c r="YH35" s="836"/>
      <c r="YI35" s="836"/>
      <c r="YJ35" s="836"/>
      <c r="YK35" s="836"/>
      <c r="YL35" s="836"/>
      <c r="YM35" s="836"/>
      <c r="YN35" s="836"/>
      <c r="YO35" s="836"/>
      <c r="YP35" s="836"/>
      <c r="YQ35" s="836"/>
      <c r="YR35" s="836"/>
      <c r="YS35" s="836"/>
      <c r="YT35" s="836"/>
      <c r="YU35" s="836"/>
      <c r="YV35" s="836"/>
      <c r="YW35" s="836"/>
      <c r="YX35" s="836"/>
      <c r="YY35" s="836"/>
      <c r="YZ35" s="836"/>
      <c r="ZA35" s="836"/>
      <c r="ZB35" s="836"/>
      <c r="ZC35" s="836"/>
      <c r="ZD35" s="836"/>
      <c r="ZE35" s="836"/>
      <c r="ZF35" s="836"/>
      <c r="ZG35" s="836"/>
      <c r="ZH35" s="836"/>
      <c r="ZI35" s="836"/>
      <c r="ZJ35" s="836"/>
      <c r="ZK35" s="836"/>
      <c r="ZL35" s="836"/>
      <c r="ZM35" s="836"/>
      <c r="ZN35" s="836"/>
      <c r="ZO35" s="836"/>
      <c r="ZP35" s="836"/>
      <c r="ZQ35" s="836"/>
      <c r="ZR35" s="836"/>
      <c r="ZS35" s="836"/>
      <c r="ZT35" s="836"/>
      <c r="ZU35" s="836"/>
      <c r="ZV35" s="836"/>
      <c r="ZW35" s="836"/>
      <c r="ZX35" s="836"/>
      <c r="ZY35" s="836"/>
      <c r="ZZ35" s="836"/>
      <c r="AAA35" s="836"/>
      <c r="AAB35" s="836"/>
      <c r="AAC35" s="836"/>
      <c r="AAD35" s="836"/>
      <c r="AAE35" s="836"/>
      <c r="AAF35" s="836"/>
      <c r="AAG35" s="836"/>
      <c r="AAH35" s="836"/>
      <c r="AAI35" s="836"/>
      <c r="AAJ35" s="836"/>
      <c r="AAK35" s="836"/>
      <c r="AAL35" s="836"/>
      <c r="AAM35" s="836"/>
      <c r="AAN35" s="836"/>
      <c r="AAO35" s="836"/>
      <c r="AAP35" s="836"/>
      <c r="AAQ35" s="836"/>
      <c r="AAR35" s="836"/>
      <c r="AAS35" s="836"/>
      <c r="AAT35" s="836"/>
      <c r="AAU35" s="836"/>
      <c r="AAV35" s="836"/>
      <c r="AAW35" s="836"/>
      <c r="AAX35" s="836"/>
      <c r="AAY35" s="836"/>
      <c r="AAZ35" s="836"/>
      <c r="ABA35" s="836"/>
      <c r="ABB35" s="836"/>
      <c r="ABC35" s="836"/>
      <c r="ABD35" s="836"/>
      <c r="ABE35" s="836"/>
      <c r="ABF35" s="836"/>
      <c r="ABG35" s="836"/>
      <c r="ABH35" s="836"/>
      <c r="ABI35" s="836"/>
      <c r="ABJ35" s="836"/>
      <c r="ABK35" s="836"/>
      <c r="ABL35" s="836"/>
      <c r="ABM35" s="836"/>
      <c r="ABN35" s="836"/>
      <c r="ABO35" s="836"/>
      <c r="ABP35" s="836"/>
      <c r="ABQ35" s="836"/>
      <c r="ABR35" s="836"/>
      <c r="ABS35" s="836"/>
      <c r="ABT35" s="836"/>
      <c r="ABU35" s="836"/>
      <c r="ABV35" s="836"/>
      <c r="ABW35" s="836"/>
      <c r="ABX35" s="836"/>
      <c r="ABY35" s="836"/>
      <c r="ABZ35" s="836"/>
      <c r="ACA35" s="836"/>
      <c r="ACB35" s="836"/>
      <c r="ACC35" s="836"/>
      <c r="ACD35" s="836"/>
      <c r="ACE35" s="836"/>
      <c r="ACF35" s="836"/>
      <c r="ACG35" s="836"/>
      <c r="ACH35" s="836"/>
      <c r="ACI35" s="836"/>
      <c r="ACJ35" s="836"/>
      <c r="ACK35" s="836"/>
      <c r="ACL35" s="836"/>
      <c r="ACM35" s="836"/>
      <c r="ACN35" s="836"/>
      <c r="ACO35" s="836"/>
      <c r="ACP35" s="836"/>
      <c r="ACQ35" s="836"/>
      <c r="ACR35" s="836"/>
      <c r="ACS35" s="836"/>
      <c r="ACT35" s="836"/>
      <c r="ACU35" s="836"/>
      <c r="ACV35" s="836"/>
      <c r="ACW35" s="836"/>
      <c r="ACX35" s="836"/>
      <c r="ACY35" s="836"/>
      <c r="ACZ35" s="836"/>
      <c r="ADA35" s="836"/>
      <c r="ADB35" s="836"/>
      <c r="ADC35" s="836"/>
      <c r="ADD35" s="836"/>
      <c r="ADE35" s="836"/>
      <c r="ADF35" s="836"/>
      <c r="ADG35" s="836"/>
      <c r="ADH35" s="836"/>
      <c r="ADI35" s="836"/>
      <c r="ADJ35" s="836"/>
      <c r="ADK35" s="836"/>
      <c r="ADL35" s="836"/>
      <c r="ADM35" s="836"/>
      <c r="ADN35" s="836"/>
      <c r="ADO35" s="836"/>
      <c r="ADP35" s="836"/>
      <c r="ADQ35" s="836"/>
      <c r="ADR35" s="836"/>
      <c r="ADS35" s="836"/>
      <c r="ADT35" s="836"/>
      <c r="ADU35" s="836"/>
      <c r="ADV35" s="836"/>
      <c r="ADW35" s="836"/>
      <c r="ADX35" s="836"/>
      <c r="ADY35" s="836"/>
      <c r="ADZ35" s="836"/>
      <c r="AEA35" s="836"/>
      <c r="AEB35" s="836"/>
      <c r="AEC35" s="836"/>
      <c r="AED35" s="836"/>
      <c r="AEE35" s="836"/>
      <c r="AEF35" s="836"/>
      <c r="AEG35" s="836"/>
      <c r="AEH35" s="836"/>
      <c r="AEI35" s="836"/>
      <c r="AEJ35" s="836"/>
      <c r="AEK35" s="836"/>
      <c r="AEL35" s="836"/>
      <c r="AEM35" s="836"/>
      <c r="AEN35" s="836"/>
      <c r="AEO35" s="836"/>
      <c r="AEP35" s="836"/>
      <c r="AEQ35" s="836"/>
      <c r="AER35" s="836"/>
      <c r="AES35" s="836"/>
      <c r="AET35" s="836"/>
      <c r="AEU35" s="836"/>
      <c r="AEV35" s="836"/>
      <c r="AEW35" s="836"/>
      <c r="AEX35" s="836"/>
      <c r="AEY35" s="836"/>
      <c r="AEZ35" s="836"/>
      <c r="AFA35" s="836"/>
      <c r="AFB35" s="836"/>
      <c r="AFC35" s="836"/>
      <c r="AFD35" s="836"/>
      <c r="AFE35" s="836"/>
      <c r="AFF35" s="836"/>
      <c r="AFG35" s="836"/>
      <c r="AFH35" s="836"/>
      <c r="AFI35" s="836"/>
      <c r="AFJ35" s="836"/>
      <c r="AFK35" s="836"/>
      <c r="AFL35" s="836"/>
      <c r="AFM35" s="836"/>
      <c r="AFN35" s="836"/>
      <c r="AFO35" s="836"/>
      <c r="AFP35" s="836"/>
      <c r="AFQ35" s="836"/>
      <c r="AFR35" s="836"/>
      <c r="AFS35" s="836"/>
      <c r="AFT35" s="836"/>
      <c r="AFU35" s="836"/>
      <c r="AFV35" s="836"/>
      <c r="AFW35" s="836"/>
      <c r="AFX35" s="836"/>
      <c r="AFY35" s="836"/>
      <c r="AFZ35" s="836"/>
      <c r="AGA35" s="836"/>
      <c r="AGB35" s="836"/>
      <c r="AGC35" s="836"/>
      <c r="AGD35" s="836"/>
      <c r="AGE35" s="836"/>
      <c r="AGF35" s="836"/>
      <c r="AGG35" s="836"/>
      <c r="AGH35" s="836"/>
      <c r="AGI35" s="836"/>
      <c r="AGJ35" s="836"/>
      <c r="AGK35" s="836"/>
      <c r="AGL35" s="836"/>
      <c r="AGM35" s="836"/>
      <c r="AGN35" s="836"/>
      <c r="AGO35" s="836"/>
      <c r="AGP35" s="836"/>
      <c r="AGQ35" s="836"/>
      <c r="AGR35" s="836"/>
      <c r="AGS35" s="836"/>
      <c r="AGT35" s="836"/>
      <c r="AGU35" s="836"/>
      <c r="AGV35" s="836"/>
      <c r="AGW35" s="836"/>
      <c r="AGX35" s="836"/>
      <c r="AGY35" s="836"/>
      <c r="AGZ35" s="836"/>
      <c r="AHA35" s="836"/>
      <c r="AHB35" s="836"/>
      <c r="AHC35" s="836"/>
      <c r="AHD35" s="836"/>
      <c r="AHE35" s="836"/>
      <c r="AHF35" s="836"/>
      <c r="AHG35" s="836"/>
      <c r="AHH35" s="836"/>
      <c r="AHI35" s="836"/>
      <c r="AHJ35" s="836"/>
      <c r="AHK35" s="836"/>
      <c r="AHL35" s="836"/>
      <c r="AHM35" s="836"/>
      <c r="AHN35" s="836"/>
      <c r="AHO35" s="836"/>
      <c r="AHP35" s="836"/>
      <c r="AHQ35" s="836"/>
      <c r="AHR35" s="836"/>
      <c r="AHS35" s="836"/>
      <c r="AHT35" s="836"/>
      <c r="AHU35" s="836"/>
      <c r="AHV35" s="836"/>
      <c r="AHW35" s="836"/>
      <c r="AHX35" s="836"/>
      <c r="AHY35" s="836"/>
      <c r="AHZ35" s="836"/>
      <c r="AIA35" s="836"/>
      <c r="AIB35" s="836"/>
      <c r="AIC35" s="836"/>
      <c r="AID35" s="836"/>
      <c r="AIE35" s="836"/>
      <c r="AIF35" s="836"/>
      <c r="AIG35" s="836"/>
      <c r="AIH35" s="836"/>
      <c r="AII35" s="836"/>
      <c r="AIJ35" s="836"/>
      <c r="AIK35" s="836"/>
      <c r="AIL35" s="836"/>
      <c r="AIM35" s="836"/>
      <c r="AIN35" s="836"/>
      <c r="AIO35" s="836"/>
      <c r="AIP35" s="836"/>
      <c r="AIQ35" s="836"/>
      <c r="AIR35" s="836"/>
      <c r="AIS35" s="836"/>
      <c r="AIT35" s="836"/>
      <c r="AIU35" s="836"/>
      <c r="AIV35" s="836"/>
      <c r="AIW35" s="836"/>
      <c r="AIX35" s="836"/>
      <c r="AIY35" s="836"/>
      <c r="AIZ35" s="836"/>
      <c r="AJA35" s="836"/>
      <c r="AJB35" s="836"/>
      <c r="AJC35" s="836"/>
      <c r="AJD35" s="836"/>
      <c r="AJE35" s="836"/>
      <c r="AJF35" s="836"/>
      <c r="AJG35" s="836"/>
      <c r="AJH35" s="836"/>
      <c r="AJI35" s="836"/>
      <c r="AJJ35" s="836"/>
      <c r="AJK35" s="836"/>
      <c r="AJL35" s="836"/>
      <c r="AJM35" s="836"/>
      <c r="AJN35" s="836"/>
      <c r="AJO35" s="836"/>
      <c r="AJP35" s="836"/>
      <c r="AJQ35" s="836"/>
      <c r="AJR35" s="836"/>
      <c r="AJS35" s="836"/>
      <c r="AJT35" s="836"/>
      <c r="AJU35" s="836"/>
      <c r="AJV35" s="836"/>
      <c r="AJW35" s="836"/>
      <c r="AJX35" s="836"/>
      <c r="AJY35" s="836"/>
      <c r="AJZ35" s="836"/>
      <c r="AKA35" s="836"/>
      <c r="AKB35" s="836"/>
      <c r="AKC35" s="836"/>
      <c r="AKD35" s="836"/>
      <c r="AKE35" s="836"/>
      <c r="AKF35" s="836"/>
      <c r="AKG35" s="836"/>
      <c r="AKH35" s="836"/>
      <c r="AKI35" s="836"/>
      <c r="AKJ35" s="836"/>
      <c r="AKK35" s="836"/>
      <c r="AKL35" s="836"/>
      <c r="AKM35" s="836"/>
      <c r="AKN35" s="836"/>
      <c r="AKO35" s="836"/>
      <c r="AKP35" s="836"/>
      <c r="AKQ35" s="836"/>
      <c r="AKR35" s="836"/>
      <c r="AKS35" s="836"/>
      <c r="AKT35" s="836"/>
      <c r="AKU35" s="836"/>
      <c r="AKV35" s="836"/>
      <c r="AKW35" s="836"/>
      <c r="AKX35" s="836"/>
      <c r="AKY35" s="836"/>
      <c r="AKZ35" s="836"/>
      <c r="ALA35" s="836"/>
      <c r="ALB35" s="836"/>
      <c r="ALC35" s="836"/>
      <c r="ALD35" s="836"/>
      <c r="ALE35" s="836"/>
      <c r="ALF35" s="836"/>
      <c r="ALG35" s="836"/>
      <c r="ALH35" s="836"/>
      <c r="ALI35" s="836"/>
      <c r="ALJ35" s="836"/>
      <c r="ALK35" s="836"/>
      <c r="ALL35" s="836"/>
      <c r="ALM35" s="836"/>
      <c r="ALN35" s="836"/>
      <c r="ALO35" s="836"/>
      <c r="ALP35" s="836"/>
      <c r="ALQ35" s="836"/>
      <c r="ALR35" s="836"/>
      <c r="ALS35" s="836"/>
      <c r="ALT35" s="836"/>
      <c r="ALU35" s="836"/>
      <c r="ALV35" s="836"/>
      <c r="ALW35" s="836"/>
      <c r="ALX35" s="836"/>
      <c r="ALY35" s="836"/>
      <c r="ALZ35" s="836"/>
      <c r="AMA35" s="836"/>
      <c r="AMB35" s="836"/>
      <c r="AMC35" s="836"/>
      <c r="AMD35" s="836"/>
      <c r="AME35" s="836"/>
      <c r="AMF35" s="836"/>
      <c r="AMG35" s="836"/>
      <c r="AMH35" s="836"/>
      <c r="AMI35" s="836"/>
      <c r="AMJ35" s="836"/>
      <c r="AMK35" s="836"/>
      <c r="AML35" s="836"/>
      <c r="AMM35" s="836"/>
      <c r="AMN35" s="836"/>
      <c r="AMO35" s="836"/>
      <c r="AMP35" s="836"/>
      <c r="AMQ35" s="836"/>
      <c r="AMR35" s="836"/>
      <c r="AMS35" s="836"/>
      <c r="AMT35" s="836"/>
      <c r="AMU35" s="836"/>
      <c r="AMV35" s="836"/>
      <c r="AMW35" s="836"/>
      <c r="AMX35" s="836"/>
      <c r="AMY35" s="836"/>
      <c r="AMZ35" s="836"/>
      <c r="ANA35" s="836"/>
      <c r="ANB35" s="836"/>
      <c r="ANC35" s="836"/>
      <c r="AND35" s="836"/>
      <c r="ANE35" s="836"/>
      <c r="ANF35" s="836"/>
      <c r="ANG35" s="836"/>
      <c r="ANH35" s="836"/>
      <c r="ANI35" s="836"/>
      <c r="ANJ35" s="836"/>
      <c r="ANK35" s="836"/>
      <c r="ANL35" s="836"/>
      <c r="ANM35" s="836"/>
      <c r="ANN35" s="836"/>
      <c r="ANO35" s="836"/>
      <c r="ANP35" s="836"/>
      <c r="ANQ35" s="836"/>
      <c r="ANR35" s="836"/>
      <c r="ANS35" s="836"/>
      <c r="ANT35" s="836"/>
      <c r="ANU35" s="836"/>
      <c r="ANV35" s="836"/>
      <c r="ANW35" s="836"/>
      <c r="ANX35" s="836"/>
      <c r="ANY35" s="836"/>
      <c r="ANZ35" s="836"/>
      <c r="AOA35" s="836"/>
      <c r="AOB35" s="836"/>
      <c r="AOC35" s="836"/>
      <c r="AOD35" s="836"/>
      <c r="AOE35" s="836"/>
      <c r="AOF35" s="836"/>
      <c r="AOG35" s="836"/>
      <c r="AOH35" s="836"/>
      <c r="AOI35" s="836"/>
      <c r="AOJ35" s="836"/>
      <c r="AOK35" s="836"/>
      <c r="AOL35" s="836"/>
      <c r="AOM35" s="836"/>
      <c r="AON35" s="836"/>
      <c r="AOO35" s="836"/>
      <c r="AOP35" s="836"/>
      <c r="AOQ35" s="836"/>
      <c r="AOR35" s="836"/>
      <c r="AOS35" s="836"/>
      <c r="AOT35" s="836"/>
      <c r="AOU35" s="836"/>
      <c r="AOV35" s="836"/>
      <c r="AOW35" s="836"/>
      <c r="AOX35" s="836"/>
      <c r="AOY35" s="836"/>
      <c r="AOZ35" s="836"/>
      <c r="APA35" s="836"/>
      <c r="APB35" s="836"/>
      <c r="APC35" s="836"/>
      <c r="APD35" s="836"/>
      <c r="APE35" s="836"/>
      <c r="APF35" s="836"/>
      <c r="APG35" s="836"/>
      <c r="APH35" s="836"/>
      <c r="API35" s="836"/>
      <c r="APJ35" s="836"/>
      <c r="APK35" s="836"/>
      <c r="APL35" s="836"/>
      <c r="APM35" s="836"/>
      <c r="APN35" s="836"/>
      <c r="APO35" s="836"/>
      <c r="APP35" s="836"/>
      <c r="APQ35" s="836"/>
      <c r="APR35" s="836"/>
      <c r="APS35" s="836"/>
      <c r="APT35" s="836"/>
      <c r="APU35" s="836"/>
      <c r="APV35" s="836"/>
      <c r="APW35" s="836"/>
      <c r="APX35" s="836"/>
      <c r="APY35" s="836"/>
      <c r="APZ35" s="836"/>
      <c r="AQA35" s="836"/>
      <c r="AQB35" s="836"/>
      <c r="AQC35" s="836"/>
      <c r="AQD35" s="836"/>
      <c r="AQE35" s="836"/>
      <c r="AQF35" s="836"/>
      <c r="AQG35" s="836"/>
      <c r="AQH35" s="836"/>
      <c r="AQI35" s="836"/>
      <c r="AQJ35" s="836"/>
      <c r="AQK35" s="836"/>
      <c r="AQL35" s="836"/>
      <c r="AQM35" s="836"/>
      <c r="AQN35" s="836"/>
      <c r="AQO35" s="836"/>
      <c r="AQP35" s="836"/>
      <c r="AQQ35" s="836"/>
      <c r="AQR35" s="836"/>
      <c r="AQS35" s="836"/>
      <c r="AQT35" s="836"/>
      <c r="AQU35" s="836"/>
      <c r="AQV35" s="836"/>
      <c r="AQW35" s="836"/>
      <c r="AQX35" s="836"/>
      <c r="AQY35" s="836"/>
      <c r="AQZ35" s="836"/>
      <c r="ARA35" s="836"/>
      <c r="ARB35" s="836"/>
      <c r="ARC35" s="836"/>
      <c r="ARD35" s="836"/>
      <c r="ARE35" s="836"/>
      <c r="ARF35" s="836"/>
      <c r="ARG35" s="836"/>
      <c r="ARH35" s="836"/>
      <c r="ARI35" s="836"/>
      <c r="ARJ35" s="836"/>
      <c r="ARK35" s="836"/>
      <c r="ARL35" s="836"/>
      <c r="ARM35" s="836"/>
      <c r="ARN35" s="836"/>
      <c r="ARO35" s="836"/>
      <c r="ARP35" s="836"/>
      <c r="ARQ35" s="836"/>
      <c r="ARR35" s="836"/>
      <c r="ARS35" s="836"/>
      <c r="ART35" s="836"/>
      <c r="ARU35" s="836"/>
      <c r="ARV35" s="836"/>
      <c r="ARW35" s="836"/>
      <c r="ARX35" s="836"/>
      <c r="ARY35" s="836"/>
      <c r="ARZ35" s="836"/>
      <c r="ASA35" s="836"/>
      <c r="ASB35" s="836"/>
      <c r="ASC35" s="836"/>
      <c r="ASD35" s="836"/>
      <c r="ASE35" s="836"/>
      <c r="ASF35" s="836"/>
      <c r="ASG35" s="836"/>
      <c r="ASH35" s="836"/>
      <c r="ASI35" s="836"/>
      <c r="ASJ35" s="836"/>
      <c r="ASK35" s="836"/>
      <c r="ASL35" s="836"/>
      <c r="ASM35" s="836"/>
      <c r="ASN35" s="836"/>
      <c r="ASO35" s="836"/>
      <c r="ASP35" s="836"/>
      <c r="ASQ35" s="836"/>
      <c r="ASR35" s="836"/>
      <c r="ASS35" s="836"/>
      <c r="AST35" s="836"/>
      <c r="ASU35" s="836"/>
      <c r="ASV35" s="836"/>
      <c r="ASW35" s="836"/>
      <c r="ASX35" s="836"/>
      <c r="ASY35" s="836"/>
      <c r="ASZ35" s="836"/>
      <c r="ATA35" s="836"/>
      <c r="ATB35" s="836"/>
      <c r="ATC35" s="836"/>
      <c r="ATD35" s="836"/>
      <c r="ATE35" s="836"/>
      <c r="ATF35" s="836"/>
      <c r="ATG35" s="836"/>
      <c r="ATH35" s="836"/>
      <c r="ATI35" s="836"/>
      <c r="ATJ35" s="836"/>
      <c r="ATK35" s="836"/>
      <c r="ATL35" s="836"/>
      <c r="ATM35" s="836"/>
      <c r="ATN35" s="836"/>
      <c r="ATO35" s="836"/>
      <c r="ATP35" s="836"/>
      <c r="ATQ35" s="836"/>
      <c r="ATR35" s="836"/>
      <c r="ATS35" s="836"/>
      <c r="ATT35" s="836"/>
      <c r="ATU35" s="836"/>
      <c r="ATV35" s="836"/>
      <c r="ATW35" s="836"/>
      <c r="ATX35" s="836"/>
      <c r="ATY35" s="836"/>
      <c r="ATZ35" s="836"/>
      <c r="AUA35" s="836"/>
      <c r="AUB35" s="836"/>
      <c r="AUC35" s="836"/>
      <c r="AUD35" s="836"/>
      <c r="AUE35" s="836"/>
      <c r="AUF35" s="836"/>
      <c r="AUG35" s="836"/>
      <c r="AUH35" s="836"/>
      <c r="AUI35" s="836"/>
      <c r="AUJ35" s="836"/>
      <c r="AUK35" s="836"/>
      <c r="AUL35" s="836"/>
      <c r="AUM35" s="836"/>
      <c r="AUN35" s="836"/>
      <c r="AUO35" s="836"/>
      <c r="AUP35" s="836"/>
      <c r="AUQ35" s="836"/>
      <c r="AUR35" s="836"/>
      <c r="AUS35" s="836"/>
      <c r="AUT35" s="836"/>
      <c r="AUU35" s="836"/>
      <c r="AUV35" s="836"/>
      <c r="AUW35" s="836"/>
      <c r="AUX35" s="836"/>
      <c r="AUY35" s="836"/>
      <c r="AUZ35" s="836"/>
      <c r="AVA35" s="836"/>
      <c r="AVB35" s="836"/>
      <c r="AVC35" s="836"/>
      <c r="AVD35" s="836"/>
      <c r="AVE35" s="836"/>
      <c r="AVF35" s="836"/>
      <c r="AVG35" s="836"/>
      <c r="AVH35" s="836"/>
      <c r="AVI35" s="836"/>
      <c r="AVJ35" s="836"/>
      <c r="AVK35" s="836"/>
      <c r="AVL35" s="836"/>
      <c r="AVM35" s="836"/>
      <c r="AVN35" s="836"/>
      <c r="AVO35" s="836"/>
      <c r="AVP35" s="836"/>
      <c r="AVQ35" s="836"/>
      <c r="AVR35" s="836"/>
      <c r="AVS35" s="836"/>
      <c r="AVT35" s="836"/>
      <c r="AVU35" s="836"/>
      <c r="AVV35" s="836"/>
      <c r="AVW35" s="836"/>
      <c r="AVX35" s="836"/>
      <c r="AVY35" s="836"/>
      <c r="AVZ35" s="836"/>
      <c r="AWA35" s="836"/>
      <c r="AWB35" s="836"/>
      <c r="AWC35" s="836"/>
      <c r="AWD35" s="836"/>
      <c r="AWE35" s="836"/>
      <c r="AWF35" s="836"/>
      <c r="AWG35" s="836"/>
      <c r="AWH35" s="836"/>
      <c r="AWI35" s="836"/>
      <c r="AWJ35" s="836"/>
      <c r="AWK35" s="836"/>
      <c r="AWL35" s="836"/>
      <c r="AWM35" s="836"/>
      <c r="AWN35" s="836"/>
      <c r="AWO35" s="836"/>
      <c r="AWP35" s="836"/>
      <c r="AWQ35" s="836"/>
      <c r="AWR35" s="836"/>
      <c r="AWS35" s="836"/>
      <c r="AWT35" s="836"/>
      <c r="AWU35" s="836"/>
      <c r="AWV35" s="836"/>
      <c r="AWW35" s="836"/>
      <c r="AWX35" s="836"/>
      <c r="AWY35" s="836"/>
      <c r="AWZ35" s="836"/>
      <c r="AXA35" s="836"/>
      <c r="AXB35" s="836"/>
      <c r="AXC35" s="836"/>
      <c r="AXD35" s="836"/>
      <c r="AXE35" s="836"/>
      <c r="AXF35" s="836"/>
      <c r="AXG35" s="836"/>
      <c r="AXH35" s="836"/>
      <c r="AXI35" s="836"/>
      <c r="AXJ35" s="836"/>
      <c r="AXK35" s="836"/>
      <c r="AXL35" s="836"/>
      <c r="AXM35" s="836"/>
      <c r="AXN35" s="836"/>
      <c r="AXO35" s="836"/>
      <c r="AXP35" s="836"/>
      <c r="AXQ35" s="836"/>
      <c r="AXR35" s="836"/>
      <c r="AXS35" s="836"/>
      <c r="AXT35" s="836"/>
      <c r="AXU35" s="836"/>
      <c r="AXV35" s="836"/>
      <c r="AXW35" s="836"/>
      <c r="AXX35" s="836"/>
      <c r="AXY35" s="836"/>
      <c r="AXZ35" s="836"/>
      <c r="AYA35" s="836"/>
      <c r="AYB35" s="836"/>
      <c r="AYC35" s="836"/>
      <c r="AYD35" s="836"/>
      <c r="AYE35" s="836"/>
      <c r="AYF35" s="836"/>
      <c r="AYG35" s="836"/>
      <c r="AYH35" s="836"/>
      <c r="AYI35" s="836"/>
      <c r="AYJ35" s="836"/>
      <c r="AYK35" s="836"/>
      <c r="AYL35" s="836"/>
      <c r="AYM35" s="836"/>
      <c r="AYN35" s="836"/>
      <c r="AYO35" s="836"/>
      <c r="AYP35" s="836"/>
      <c r="AYQ35" s="836"/>
      <c r="AYR35" s="836"/>
      <c r="AYS35" s="836"/>
      <c r="AYT35" s="836"/>
      <c r="AYU35" s="836"/>
      <c r="AYV35" s="836"/>
      <c r="AYW35" s="836"/>
      <c r="AYX35" s="836"/>
      <c r="AYY35" s="836"/>
      <c r="AYZ35" s="836"/>
      <c r="AZA35" s="836"/>
      <c r="AZB35" s="836"/>
      <c r="AZC35" s="836"/>
      <c r="AZD35" s="836"/>
      <c r="AZE35" s="836"/>
      <c r="AZF35" s="836"/>
      <c r="AZG35" s="836"/>
      <c r="AZH35" s="836"/>
      <c r="AZI35" s="836"/>
      <c r="AZJ35" s="836"/>
      <c r="AZK35" s="836"/>
      <c r="AZL35" s="836"/>
      <c r="AZM35" s="836"/>
      <c r="AZN35" s="836"/>
      <c r="AZO35" s="836"/>
      <c r="AZP35" s="836"/>
      <c r="AZQ35" s="836"/>
      <c r="AZR35" s="836"/>
      <c r="AZS35" s="836"/>
      <c r="AZT35" s="836"/>
      <c r="AZU35" s="836"/>
      <c r="AZV35" s="836"/>
      <c r="AZW35" s="836"/>
      <c r="AZX35" s="836"/>
      <c r="AZY35" s="836"/>
      <c r="AZZ35" s="836"/>
      <c r="BAA35" s="836"/>
      <c r="BAB35" s="836"/>
      <c r="BAC35" s="836"/>
      <c r="BAD35" s="836"/>
      <c r="BAE35" s="836"/>
      <c r="BAF35" s="836"/>
      <c r="BAG35" s="836"/>
      <c r="BAH35" s="836"/>
      <c r="BAI35" s="836"/>
      <c r="BAJ35" s="836"/>
      <c r="BAK35" s="836"/>
      <c r="BAL35" s="836"/>
      <c r="BAM35" s="836"/>
      <c r="BAN35" s="836"/>
      <c r="BAO35" s="836"/>
      <c r="BAP35" s="836"/>
      <c r="BAQ35" s="836"/>
      <c r="BAR35" s="836"/>
      <c r="BAS35" s="836"/>
      <c r="BAT35" s="836"/>
      <c r="BAU35" s="836"/>
      <c r="BAV35" s="836"/>
      <c r="BAW35" s="836"/>
      <c r="BAX35" s="836"/>
      <c r="BAY35" s="836"/>
      <c r="BAZ35" s="836"/>
      <c r="BBA35" s="836"/>
      <c r="BBB35" s="836"/>
      <c r="BBC35" s="836"/>
      <c r="BBD35" s="836"/>
      <c r="BBE35" s="836"/>
      <c r="BBF35" s="836"/>
      <c r="BBG35" s="836"/>
      <c r="BBH35" s="836"/>
      <c r="BBI35" s="836"/>
      <c r="BBJ35" s="836"/>
      <c r="BBK35" s="836"/>
      <c r="BBL35" s="836"/>
      <c r="BBM35" s="836"/>
      <c r="BBN35" s="836"/>
      <c r="BBO35" s="836"/>
      <c r="BBP35" s="836"/>
      <c r="BBQ35" s="836"/>
      <c r="BBR35" s="836"/>
      <c r="BBS35" s="836"/>
      <c r="BBT35" s="836"/>
      <c r="BBU35" s="836"/>
      <c r="BBV35" s="836"/>
      <c r="BBW35" s="836"/>
      <c r="BBX35" s="836"/>
      <c r="BBY35" s="836"/>
      <c r="BBZ35" s="836"/>
      <c r="BCA35" s="836"/>
      <c r="BCB35" s="836"/>
      <c r="BCC35" s="836"/>
      <c r="BCD35" s="836"/>
      <c r="BCE35" s="836"/>
      <c r="BCF35" s="836"/>
      <c r="BCG35" s="836"/>
      <c r="BCH35" s="836"/>
      <c r="BCI35" s="836"/>
      <c r="BCJ35" s="836"/>
      <c r="BCK35" s="836"/>
      <c r="BCL35" s="836"/>
      <c r="BCM35" s="836"/>
      <c r="BCN35" s="836"/>
      <c r="BCO35" s="836"/>
      <c r="BCP35" s="836"/>
      <c r="BCQ35" s="836"/>
      <c r="BCR35" s="836"/>
      <c r="BCS35" s="836"/>
      <c r="BCT35" s="836"/>
      <c r="BCU35" s="836"/>
      <c r="BCV35" s="836"/>
      <c r="BCW35" s="836"/>
      <c r="BCX35" s="836"/>
      <c r="BCY35" s="836"/>
      <c r="BCZ35" s="836"/>
      <c r="BDA35" s="836"/>
      <c r="BDB35" s="836"/>
      <c r="BDC35" s="836"/>
      <c r="BDD35" s="836"/>
      <c r="BDE35" s="836"/>
      <c r="BDF35" s="836"/>
      <c r="BDG35" s="836"/>
      <c r="BDH35" s="836"/>
      <c r="BDI35" s="836"/>
      <c r="BDJ35" s="836"/>
      <c r="BDK35" s="836"/>
      <c r="BDL35" s="836"/>
      <c r="BDM35" s="836"/>
      <c r="BDN35" s="836"/>
      <c r="BDO35" s="836"/>
      <c r="BDP35" s="836"/>
      <c r="BDQ35" s="836"/>
      <c r="BDR35" s="836"/>
      <c r="BDS35" s="836"/>
      <c r="BDT35" s="836"/>
      <c r="BDU35" s="836"/>
      <c r="BDV35" s="836"/>
      <c r="BDW35" s="836"/>
      <c r="BDX35" s="836"/>
      <c r="BDY35" s="836"/>
      <c r="BDZ35" s="836"/>
      <c r="BEA35" s="836"/>
      <c r="BEB35" s="836"/>
      <c r="BEC35" s="836"/>
      <c r="BED35" s="836"/>
      <c r="BEE35" s="836"/>
      <c r="BEF35" s="836"/>
      <c r="BEG35" s="836"/>
      <c r="BEH35" s="836"/>
      <c r="BEI35" s="836"/>
      <c r="BEJ35" s="836"/>
      <c r="BEK35" s="836"/>
      <c r="BEL35" s="836"/>
      <c r="BEM35" s="836"/>
      <c r="BEN35" s="836"/>
      <c r="BEO35" s="836"/>
      <c r="BEP35" s="836"/>
      <c r="BEQ35" s="836"/>
      <c r="BER35" s="836"/>
      <c r="BES35" s="836"/>
      <c r="BET35" s="836"/>
      <c r="BEU35" s="836"/>
      <c r="BEV35" s="836"/>
      <c r="BEW35" s="836"/>
      <c r="BEX35" s="836"/>
      <c r="BEY35" s="836"/>
      <c r="BEZ35" s="836"/>
      <c r="BFA35" s="836"/>
      <c r="BFB35" s="836"/>
      <c r="BFC35" s="836"/>
      <c r="BFD35" s="836"/>
      <c r="BFE35" s="836"/>
      <c r="BFF35" s="836"/>
      <c r="BFG35" s="836"/>
      <c r="BFH35" s="836"/>
      <c r="BFI35" s="836"/>
      <c r="BFJ35" s="836"/>
      <c r="BFK35" s="836"/>
      <c r="BFL35" s="836"/>
      <c r="BFM35" s="836"/>
      <c r="BFN35" s="836"/>
      <c r="BFO35" s="836"/>
      <c r="BFP35" s="836"/>
      <c r="BFQ35" s="836"/>
      <c r="BFR35" s="836"/>
      <c r="BFS35" s="836"/>
      <c r="BFT35" s="836"/>
      <c r="BFU35" s="836"/>
      <c r="BFV35" s="836"/>
      <c r="BFW35" s="836"/>
      <c r="BFX35" s="836"/>
      <c r="BFY35" s="836"/>
      <c r="BFZ35" s="836"/>
      <c r="BGA35" s="836"/>
      <c r="BGB35" s="836"/>
      <c r="BGC35" s="836"/>
      <c r="BGD35" s="836"/>
      <c r="BGE35" s="836"/>
      <c r="BGF35" s="836"/>
      <c r="BGG35" s="836"/>
      <c r="BGH35" s="836"/>
      <c r="BGI35" s="836"/>
      <c r="BGJ35" s="836"/>
      <c r="BGK35" s="836"/>
      <c r="BGL35" s="836"/>
      <c r="BGM35" s="836"/>
      <c r="BGN35" s="836"/>
      <c r="BGO35" s="836"/>
      <c r="BGP35" s="836"/>
      <c r="BGQ35" s="836"/>
      <c r="BGR35" s="836"/>
      <c r="BGS35" s="836"/>
      <c r="BGT35" s="836"/>
      <c r="BGU35" s="836"/>
      <c r="BGV35" s="836"/>
      <c r="BGW35" s="836"/>
      <c r="BGX35" s="836"/>
      <c r="BGY35" s="836"/>
      <c r="BGZ35" s="836"/>
      <c r="BHA35" s="836"/>
      <c r="BHB35" s="836"/>
      <c r="BHC35" s="836"/>
      <c r="BHD35" s="836"/>
      <c r="BHE35" s="836"/>
      <c r="BHF35" s="836"/>
      <c r="BHG35" s="836"/>
      <c r="BHH35" s="836"/>
      <c r="BHI35" s="836"/>
      <c r="BHJ35" s="836"/>
      <c r="BHK35" s="836"/>
      <c r="BHL35" s="836"/>
      <c r="BHM35" s="836"/>
      <c r="BHN35" s="836"/>
      <c r="BHO35" s="836"/>
      <c r="BHP35" s="836"/>
      <c r="BHQ35" s="836"/>
      <c r="BHR35" s="836"/>
      <c r="BHS35" s="836"/>
      <c r="BHT35" s="836"/>
      <c r="BHU35" s="836"/>
      <c r="BHV35" s="836"/>
      <c r="BHW35" s="836"/>
      <c r="BHX35" s="836"/>
      <c r="BHY35" s="836"/>
      <c r="BHZ35" s="836"/>
      <c r="BIA35" s="836"/>
      <c r="BIB35" s="836"/>
      <c r="BIC35" s="836"/>
      <c r="BID35" s="836"/>
      <c r="BIE35" s="836"/>
      <c r="BIF35" s="836"/>
      <c r="BIG35" s="836"/>
      <c r="BIH35" s="836"/>
      <c r="BII35" s="836"/>
      <c r="BIJ35" s="836"/>
      <c r="BIK35" s="836"/>
      <c r="BIL35" s="836"/>
      <c r="BIM35" s="836"/>
      <c r="BIN35" s="836"/>
      <c r="BIO35" s="836"/>
      <c r="BIP35" s="836"/>
      <c r="BIQ35" s="836"/>
      <c r="BIR35" s="836"/>
      <c r="BIS35" s="836"/>
      <c r="BIT35" s="836"/>
      <c r="BIU35" s="836"/>
      <c r="BIV35" s="836"/>
      <c r="BIW35" s="836"/>
      <c r="BIX35" s="836"/>
      <c r="BIY35" s="836"/>
      <c r="BIZ35" s="836"/>
      <c r="BJA35" s="836"/>
      <c r="BJB35" s="836"/>
      <c r="BJC35" s="836"/>
      <c r="BJD35" s="836"/>
      <c r="BJE35" s="836"/>
      <c r="BJF35" s="836"/>
      <c r="BJG35" s="836"/>
      <c r="BJH35" s="836"/>
      <c r="BJI35" s="836"/>
      <c r="BJJ35" s="836"/>
      <c r="BJK35" s="836"/>
      <c r="BJL35" s="836"/>
      <c r="BJM35" s="836"/>
      <c r="BJN35" s="836"/>
      <c r="BJO35" s="836"/>
      <c r="BJP35" s="836"/>
      <c r="BJQ35" s="836"/>
      <c r="BJR35" s="836"/>
      <c r="BJS35" s="836"/>
      <c r="BJT35" s="836"/>
      <c r="BJU35" s="836"/>
      <c r="BJV35" s="836"/>
      <c r="BJW35" s="836"/>
      <c r="BJX35" s="836"/>
      <c r="BJY35" s="836"/>
      <c r="BJZ35" s="836"/>
      <c r="BKA35" s="836"/>
      <c r="BKB35" s="836"/>
      <c r="BKC35" s="836"/>
      <c r="BKD35" s="836"/>
      <c r="BKE35" s="836"/>
      <c r="BKF35" s="836"/>
      <c r="BKG35" s="836"/>
      <c r="BKH35" s="836"/>
      <c r="BKI35" s="836"/>
      <c r="BKJ35" s="836"/>
      <c r="BKK35" s="836"/>
      <c r="BKL35" s="836"/>
      <c r="BKM35" s="836"/>
      <c r="BKN35" s="836"/>
      <c r="BKO35" s="836"/>
      <c r="BKP35" s="836"/>
      <c r="BKQ35" s="836"/>
      <c r="BKR35" s="836"/>
      <c r="BKS35" s="836"/>
      <c r="BKT35" s="836"/>
      <c r="BKU35" s="836"/>
      <c r="BKV35" s="836"/>
      <c r="BKW35" s="836"/>
      <c r="BKX35" s="836"/>
      <c r="BKY35" s="836"/>
      <c r="BKZ35" s="836"/>
      <c r="BLA35" s="836"/>
      <c r="BLB35" s="836"/>
      <c r="BLC35" s="836"/>
      <c r="BLD35" s="836"/>
      <c r="BLE35" s="836"/>
      <c r="BLF35" s="836"/>
      <c r="BLG35" s="836"/>
      <c r="BLH35" s="836"/>
      <c r="BLI35" s="836"/>
      <c r="BLJ35" s="836"/>
      <c r="BLK35" s="836"/>
      <c r="BLL35" s="836"/>
      <c r="BLM35" s="836"/>
      <c r="BLN35" s="836"/>
      <c r="BLO35" s="836"/>
      <c r="BLP35" s="836"/>
      <c r="BLQ35" s="836"/>
      <c r="BLR35" s="836"/>
      <c r="BLS35" s="836"/>
      <c r="BLT35" s="836"/>
      <c r="BLU35" s="836"/>
      <c r="BLV35" s="836"/>
      <c r="BLW35" s="836"/>
      <c r="BLX35" s="836"/>
      <c r="BLY35" s="836"/>
      <c r="BLZ35" s="836"/>
      <c r="BMA35" s="836"/>
      <c r="BMB35" s="836"/>
      <c r="BMC35" s="836"/>
      <c r="BMD35" s="836"/>
      <c r="BME35" s="836"/>
      <c r="BMF35" s="836"/>
      <c r="BMG35" s="836"/>
      <c r="BMH35" s="836"/>
      <c r="BMI35" s="836"/>
      <c r="BMJ35" s="836"/>
      <c r="BMK35" s="836"/>
      <c r="BML35" s="836"/>
      <c r="BMM35" s="836"/>
      <c r="BMN35" s="836"/>
      <c r="BMO35" s="836"/>
      <c r="BMP35" s="836"/>
      <c r="BMQ35" s="836"/>
      <c r="BMR35" s="836"/>
      <c r="BMS35" s="836"/>
      <c r="BMT35" s="836"/>
      <c r="BMU35" s="836"/>
      <c r="BMV35" s="836"/>
      <c r="BMW35" s="836"/>
      <c r="BMX35" s="836"/>
      <c r="BMY35" s="836"/>
      <c r="BMZ35" s="836"/>
      <c r="BNA35" s="836"/>
      <c r="BNB35" s="836"/>
      <c r="BNC35" s="836"/>
      <c r="BND35" s="836"/>
      <c r="BNE35" s="836"/>
      <c r="BNF35" s="836"/>
      <c r="BNG35" s="836"/>
      <c r="BNH35" s="836"/>
      <c r="BNI35" s="836"/>
      <c r="BNJ35" s="836"/>
      <c r="BNK35" s="836"/>
      <c r="BNL35" s="836"/>
      <c r="BNM35" s="836"/>
      <c r="BNN35" s="836"/>
      <c r="BNO35" s="836"/>
      <c r="BNP35" s="836"/>
      <c r="BNQ35" s="836"/>
      <c r="BNR35" s="836"/>
      <c r="BNS35" s="836"/>
      <c r="BNT35" s="836"/>
      <c r="BNU35" s="836"/>
      <c r="BNV35" s="836"/>
      <c r="BNW35" s="836"/>
      <c r="BNX35" s="836"/>
      <c r="BNY35" s="836"/>
      <c r="BNZ35" s="836"/>
      <c r="BOA35" s="836"/>
      <c r="BOB35" s="836"/>
      <c r="BOC35" s="836"/>
      <c r="BOD35" s="836"/>
      <c r="BOE35" s="836"/>
      <c r="BOF35" s="836"/>
      <c r="BOG35" s="836"/>
      <c r="BOH35" s="836"/>
      <c r="BOI35" s="836"/>
      <c r="BOJ35" s="836"/>
      <c r="BOK35" s="836"/>
      <c r="BOL35" s="836"/>
      <c r="BOM35" s="836"/>
      <c r="BON35" s="836"/>
      <c r="BOO35" s="836"/>
      <c r="BOP35" s="836"/>
      <c r="BOQ35" s="836"/>
      <c r="BOR35" s="836"/>
      <c r="BOS35" s="836"/>
      <c r="BOT35" s="836"/>
      <c r="BOU35" s="836"/>
      <c r="BOV35" s="836"/>
      <c r="BOW35" s="836"/>
      <c r="BOX35" s="836"/>
      <c r="BOY35" s="836"/>
      <c r="BOZ35" s="836"/>
      <c r="BPA35" s="836"/>
      <c r="BPB35" s="836"/>
      <c r="BPC35" s="836"/>
      <c r="BPD35" s="836"/>
      <c r="BPE35" s="836"/>
      <c r="BPF35" s="836"/>
      <c r="BPG35" s="836"/>
      <c r="BPH35" s="836"/>
      <c r="BPI35" s="836"/>
      <c r="BPJ35" s="836"/>
      <c r="BPK35" s="836"/>
      <c r="BPL35" s="836"/>
      <c r="BPM35" s="836"/>
      <c r="BPN35" s="836"/>
      <c r="BPO35" s="836"/>
      <c r="BPP35" s="836"/>
      <c r="BPQ35" s="836"/>
      <c r="BPR35" s="836"/>
      <c r="BPS35" s="836"/>
      <c r="BPT35" s="836"/>
      <c r="BPU35" s="836"/>
      <c r="BPV35" s="836"/>
      <c r="BPW35" s="836"/>
      <c r="BPX35" s="836"/>
      <c r="BPY35" s="836"/>
      <c r="BPZ35" s="836"/>
      <c r="BQA35" s="836"/>
      <c r="BQB35" s="836"/>
      <c r="BQC35" s="836"/>
      <c r="BQD35" s="836"/>
      <c r="BQE35" s="836"/>
      <c r="BQF35" s="836"/>
      <c r="BQG35" s="836"/>
      <c r="BQH35" s="836"/>
      <c r="BQI35" s="836"/>
      <c r="BQJ35" s="836"/>
      <c r="BQK35" s="836"/>
      <c r="BQL35" s="836"/>
      <c r="BQM35" s="836"/>
      <c r="BQN35" s="836"/>
      <c r="BQO35" s="836"/>
      <c r="BQP35" s="836"/>
      <c r="BQQ35" s="836"/>
      <c r="BQR35" s="836"/>
      <c r="BQS35" s="836"/>
      <c r="BQT35" s="836"/>
      <c r="BQU35" s="836"/>
      <c r="BQV35" s="836"/>
      <c r="BQW35" s="836"/>
      <c r="BQX35" s="836"/>
      <c r="BQY35" s="836"/>
      <c r="BQZ35" s="836"/>
      <c r="BRA35" s="836"/>
      <c r="BRB35" s="836"/>
      <c r="BRC35" s="836"/>
      <c r="BRD35" s="836"/>
      <c r="BRE35" s="836"/>
      <c r="BRF35" s="836"/>
      <c r="BRG35" s="836"/>
      <c r="BRH35" s="836"/>
      <c r="BRI35" s="836"/>
      <c r="BRJ35" s="836"/>
      <c r="BRK35" s="836"/>
      <c r="BRL35" s="836"/>
      <c r="BRM35" s="836"/>
      <c r="BRN35" s="836"/>
      <c r="BRO35" s="836"/>
      <c r="BRP35" s="836"/>
      <c r="BRQ35" s="836"/>
      <c r="BRR35" s="836"/>
      <c r="BRS35" s="836"/>
      <c r="BRT35" s="836"/>
      <c r="BRU35" s="836"/>
      <c r="BRV35" s="836"/>
      <c r="BRW35" s="836"/>
      <c r="BRX35" s="836"/>
      <c r="BRY35" s="836"/>
      <c r="BRZ35" s="836"/>
      <c r="BSA35" s="836"/>
      <c r="BSB35" s="836"/>
      <c r="BSC35" s="836"/>
      <c r="BSD35" s="836"/>
      <c r="BSE35" s="836"/>
      <c r="BSF35" s="836"/>
      <c r="BSG35" s="836"/>
      <c r="BSH35" s="836"/>
      <c r="BSI35" s="836"/>
      <c r="BSJ35" s="836"/>
      <c r="BSK35" s="836"/>
      <c r="BSL35" s="836"/>
      <c r="BSM35" s="836"/>
      <c r="BSN35" s="836"/>
      <c r="BSO35" s="836"/>
      <c r="BSP35" s="836"/>
      <c r="BSQ35" s="836"/>
      <c r="BSR35" s="836"/>
      <c r="BSS35" s="836"/>
      <c r="BST35" s="836"/>
    </row>
    <row r="36" spans="1:1866" s="832" customFormat="1" ht="21.9" customHeight="1" x14ac:dyDescent="0.25">
      <c r="A36" s="836"/>
      <c r="B36" s="3177" t="s">
        <v>844</v>
      </c>
      <c r="C36" s="3178"/>
      <c r="D36" s="3159"/>
      <c r="E36" s="1439"/>
      <c r="F36" s="1439"/>
      <c r="G36" s="1439"/>
      <c r="H36" s="1439"/>
      <c r="I36" s="1439"/>
      <c r="J36" s="1439"/>
      <c r="K36" s="1439"/>
      <c r="L36" s="1439"/>
      <c r="M36" s="1439"/>
      <c r="N36" s="1439"/>
      <c r="O36" s="1439"/>
      <c r="P36" s="1439"/>
      <c r="Q36" s="1439"/>
      <c r="R36" s="1439"/>
      <c r="S36" s="1439"/>
      <c r="T36" s="1439"/>
      <c r="U36" s="1439"/>
      <c r="V36" s="1274"/>
      <c r="W36" s="835"/>
      <c r="X36" s="835"/>
      <c r="Y36" s="835"/>
      <c r="Z36" s="835"/>
      <c r="AA36" s="869"/>
      <c r="AB36" s="835"/>
      <c r="AC36" s="835"/>
      <c r="AD36" s="835"/>
      <c r="AE36" s="835"/>
      <c r="AF36" s="835"/>
      <c r="AG36" s="835"/>
      <c r="AH36" s="835"/>
      <c r="AI36" s="835"/>
      <c r="AJ36" s="835"/>
      <c r="AK36" s="835"/>
      <c r="AL36" s="835"/>
      <c r="AM36" s="836"/>
      <c r="AN36" s="836"/>
      <c r="AO36" s="836"/>
      <c r="AP36" s="836"/>
      <c r="AQ36" s="836"/>
      <c r="AR36" s="836"/>
      <c r="AS36" s="836"/>
      <c r="AT36" s="836"/>
      <c r="AU36" s="836"/>
      <c r="AV36" s="836"/>
      <c r="AW36" s="836"/>
      <c r="AX36" s="836"/>
      <c r="AY36" s="836"/>
      <c r="AZ36" s="836"/>
      <c r="BA36" s="836"/>
      <c r="BB36" s="836"/>
      <c r="BC36" s="836"/>
      <c r="BD36" s="836"/>
      <c r="BE36" s="836"/>
      <c r="BF36" s="836"/>
      <c r="BG36" s="836"/>
      <c r="BH36" s="836"/>
      <c r="BI36" s="836"/>
      <c r="BJ36" s="836"/>
      <c r="BK36" s="836"/>
      <c r="BL36" s="836"/>
      <c r="BM36" s="836"/>
      <c r="BN36" s="836"/>
      <c r="BO36" s="836"/>
      <c r="BP36" s="836"/>
      <c r="BQ36" s="836"/>
      <c r="BR36" s="836"/>
      <c r="BS36" s="836"/>
      <c r="BT36" s="836"/>
      <c r="BU36" s="836"/>
      <c r="BV36" s="836"/>
      <c r="BW36" s="836"/>
      <c r="BX36" s="836"/>
      <c r="BY36" s="836"/>
      <c r="BZ36" s="836"/>
      <c r="CA36" s="836"/>
      <c r="CB36" s="836"/>
      <c r="CC36" s="836"/>
      <c r="CD36" s="836"/>
      <c r="CE36" s="836"/>
      <c r="CF36" s="836"/>
      <c r="CG36" s="836"/>
      <c r="CH36" s="836"/>
      <c r="CI36" s="836"/>
      <c r="CJ36" s="836"/>
      <c r="CK36" s="836"/>
      <c r="CL36" s="836"/>
      <c r="CM36" s="836"/>
      <c r="CN36" s="836"/>
      <c r="CO36" s="836"/>
      <c r="CP36" s="836"/>
      <c r="CQ36" s="836"/>
      <c r="CR36" s="836"/>
      <c r="CS36" s="836"/>
      <c r="CT36" s="836"/>
      <c r="CU36" s="836"/>
      <c r="CV36" s="836"/>
      <c r="CW36" s="836"/>
      <c r="CX36" s="836"/>
      <c r="CY36" s="836"/>
      <c r="CZ36" s="836"/>
      <c r="DA36" s="836"/>
      <c r="DB36" s="836"/>
      <c r="DC36" s="836"/>
      <c r="DD36" s="836"/>
      <c r="DE36" s="836"/>
      <c r="DF36" s="836"/>
      <c r="DG36" s="836"/>
      <c r="DH36" s="836"/>
      <c r="DI36" s="836"/>
      <c r="DJ36" s="836"/>
      <c r="DK36" s="836"/>
      <c r="DL36" s="836"/>
      <c r="DM36" s="836"/>
      <c r="DN36" s="836"/>
      <c r="DO36" s="836"/>
      <c r="DP36" s="836"/>
      <c r="DQ36" s="836"/>
      <c r="DR36" s="836"/>
      <c r="DS36" s="836"/>
      <c r="DT36" s="836"/>
      <c r="DU36" s="836"/>
      <c r="DV36" s="836"/>
      <c r="DW36" s="836"/>
      <c r="DX36" s="836"/>
      <c r="DY36" s="836"/>
      <c r="DZ36" s="836"/>
      <c r="EA36" s="836"/>
      <c r="EB36" s="836"/>
      <c r="EC36" s="836"/>
      <c r="ED36" s="836"/>
      <c r="EE36" s="836"/>
      <c r="EF36" s="836"/>
      <c r="EG36" s="836"/>
      <c r="EH36" s="836"/>
      <c r="EI36" s="836"/>
      <c r="EJ36" s="836"/>
      <c r="EK36" s="836"/>
      <c r="EL36" s="836"/>
      <c r="EM36" s="836"/>
      <c r="EN36" s="836"/>
      <c r="EO36" s="836"/>
      <c r="EP36" s="836"/>
      <c r="EQ36" s="836"/>
      <c r="ER36" s="836"/>
      <c r="ES36" s="836"/>
      <c r="ET36" s="836"/>
      <c r="EU36" s="836"/>
      <c r="EV36" s="836"/>
      <c r="EW36" s="836"/>
      <c r="EX36" s="836"/>
      <c r="EY36" s="836"/>
      <c r="EZ36" s="836"/>
      <c r="FA36" s="836"/>
      <c r="FB36" s="836"/>
      <c r="FC36" s="836"/>
      <c r="FD36" s="836"/>
      <c r="FE36" s="836"/>
      <c r="FF36" s="836"/>
      <c r="FG36" s="836"/>
      <c r="FH36" s="836"/>
      <c r="FI36" s="836"/>
      <c r="FJ36" s="836"/>
      <c r="FK36" s="836"/>
      <c r="FL36" s="836"/>
      <c r="FM36" s="836"/>
      <c r="FN36" s="836"/>
      <c r="FO36" s="836"/>
      <c r="FP36" s="836"/>
      <c r="FQ36" s="836"/>
      <c r="FR36" s="836"/>
      <c r="FS36" s="836"/>
      <c r="FT36" s="836"/>
      <c r="FU36" s="836"/>
      <c r="FV36" s="836"/>
      <c r="FW36" s="836"/>
      <c r="FX36" s="836"/>
      <c r="FY36" s="836"/>
      <c r="FZ36" s="836"/>
      <c r="GA36" s="836"/>
      <c r="GB36" s="836"/>
      <c r="GC36" s="836"/>
      <c r="GD36" s="836"/>
      <c r="GE36" s="836"/>
      <c r="GF36" s="836"/>
      <c r="GG36" s="836"/>
      <c r="GH36" s="836"/>
      <c r="GI36" s="836"/>
      <c r="GJ36" s="836"/>
      <c r="GK36" s="836"/>
      <c r="GL36" s="836"/>
      <c r="GM36" s="836"/>
      <c r="GN36" s="836"/>
      <c r="GO36" s="836"/>
      <c r="GP36" s="836"/>
      <c r="GQ36" s="836"/>
      <c r="GR36" s="836"/>
      <c r="GS36" s="836"/>
      <c r="GT36" s="836"/>
      <c r="GU36" s="836"/>
      <c r="GV36" s="836"/>
      <c r="GW36" s="836"/>
      <c r="GX36" s="836"/>
      <c r="GY36" s="836"/>
      <c r="GZ36" s="836"/>
      <c r="HA36" s="836"/>
      <c r="HB36" s="836"/>
      <c r="HC36" s="836"/>
      <c r="HD36" s="836"/>
      <c r="HE36" s="836"/>
      <c r="HF36" s="836"/>
      <c r="HG36" s="836"/>
      <c r="HH36" s="836"/>
      <c r="HI36" s="836"/>
      <c r="HJ36" s="836"/>
      <c r="HK36" s="836"/>
      <c r="HL36" s="836"/>
      <c r="HM36" s="836"/>
      <c r="HN36" s="836"/>
      <c r="HO36" s="836"/>
      <c r="HP36" s="836"/>
      <c r="HQ36" s="836"/>
      <c r="HR36" s="836"/>
      <c r="HS36" s="836"/>
      <c r="HT36" s="836"/>
      <c r="HU36" s="836"/>
      <c r="HV36" s="836"/>
      <c r="HW36" s="836"/>
      <c r="HX36" s="836"/>
      <c r="HY36" s="836"/>
      <c r="HZ36" s="836"/>
      <c r="IA36" s="836"/>
      <c r="IB36" s="836"/>
      <c r="IC36" s="836"/>
      <c r="ID36" s="836"/>
      <c r="IE36" s="836"/>
      <c r="IF36" s="836"/>
      <c r="IG36" s="836"/>
      <c r="IH36" s="836"/>
      <c r="II36" s="836"/>
      <c r="IJ36" s="836"/>
      <c r="IK36" s="836"/>
      <c r="IL36" s="836"/>
      <c r="IM36" s="836"/>
      <c r="IN36" s="836"/>
      <c r="IO36" s="836"/>
      <c r="IP36" s="836"/>
      <c r="IQ36" s="836"/>
      <c r="IR36" s="836"/>
      <c r="IS36" s="836"/>
      <c r="IT36" s="836"/>
      <c r="IU36" s="836"/>
      <c r="IV36" s="836"/>
      <c r="IW36" s="836"/>
      <c r="IX36" s="836"/>
      <c r="IY36" s="836"/>
      <c r="IZ36" s="836"/>
      <c r="JA36" s="836"/>
      <c r="JB36" s="836"/>
      <c r="JC36" s="836"/>
      <c r="JD36" s="836"/>
      <c r="JE36" s="836"/>
      <c r="JF36" s="836"/>
      <c r="JG36" s="836"/>
      <c r="JH36" s="836"/>
      <c r="JI36" s="836"/>
      <c r="JJ36" s="836"/>
      <c r="JK36" s="836"/>
      <c r="JL36" s="836"/>
      <c r="JM36" s="836"/>
      <c r="JN36" s="836"/>
      <c r="JO36" s="836"/>
      <c r="JP36" s="836"/>
      <c r="JQ36" s="836"/>
      <c r="JR36" s="836"/>
      <c r="JS36" s="836"/>
      <c r="JT36" s="836"/>
      <c r="JU36" s="836"/>
      <c r="JV36" s="836"/>
      <c r="JW36" s="836"/>
      <c r="JX36" s="836"/>
      <c r="JY36" s="836"/>
      <c r="JZ36" s="836"/>
      <c r="KA36" s="836"/>
      <c r="KB36" s="836"/>
      <c r="KC36" s="836"/>
      <c r="KD36" s="836"/>
      <c r="KE36" s="836"/>
      <c r="KF36" s="836"/>
      <c r="KG36" s="836"/>
      <c r="KH36" s="836"/>
      <c r="KI36" s="836"/>
      <c r="KJ36" s="836"/>
      <c r="KK36" s="836"/>
      <c r="KL36" s="836"/>
      <c r="KM36" s="836"/>
      <c r="KN36" s="836"/>
      <c r="KO36" s="836"/>
      <c r="KP36" s="836"/>
      <c r="KQ36" s="836"/>
      <c r="KR36" s="836"/>
      <c r="KS36" s="836"/>
      <c r="KT36" s="836"/>
      <c r="KU36" s="836"/>
      <c r="KV36" s="836"/>
      <c r="KW36" s="836"/>
      <c r="KX36" s="836"/>
      <c r="KY36" s="836"/>
      <c r="KZ36" s="836"/>
      <c r="LA36" s="836"/>
      <c r="LB36" s="836"/>
      <c r="LC36" s="836"/>
      <c r="LD36" s="836"/>
      <c r="LE36" s="836"/>
      <c r="LF36" s="836"/>
      <c r="LG36" s="836"/>
      <c r="LH36" s="836"/>
      <c r="LI36" s="836"/>
      <c r="LJ36" s="836"/>
      <c r="LK36" s="836"/>
      <c r="LL36" s="836"/>
      <c r="LM36" s="836"/>
      <c r="LN36" s="836"/>
      <c r="LO36" s="836"/>
      <c r="LP36" s="836"/>
      <c r="LQ36" s="836"/>
      <c r="LR36" s="836"/>
      <c r="LS36" s="836"/>
      <c r="LT36" s="836"/>
      <c r="LU36" s="836"/>
      <c r="LV36" s="836"/>
      <c r="LW36" s="836"/>
      <c r="LX36" s="836"/>
      <c r="LY36" s="836"/>
      <c r="LZ36" s="836"/>
      <c r="MA36" s="836"/>
      <c r="MB36" s="836"/>
      <c r="MC36" s="836"/>
      <c r="MD36" s="836"/>
      <c r="ME36" s="836"/>
      <c r="MF36" s="836"/>
      <c r="MG36" s="836"/>
      <c r="MH36" s="836"/>
      <c r="MI36" s="836"/>
      <c r="MJ36" s="836"/>
      <c r="MK36" s="836"/>
      <c r="ML36" s="836"/>
      <c r="MM36" s="836"/>
      <c r="MN36" s="836"/>
      <c r="MO36" s="836"/>
      <c r="MP36" s="836"/>
      <c r="MQ36" s="836"/>
      <c r="MR36" s="836"/>
      <c r="MS36" s="836"/>
      <c r="MT36" s="836"/>
      <c r="MU36" s="836"/>
      <c r="MV36" s="836"/>
      <c r="MW36" s="836"/>
      <c r="MX36" s="836"/>
      <c r="MY36" s="836"/>
      <c r="MZ36" s="836"/>
      <c r="NA36" s="836"/>
      <c r="NB36" s="836"/>
      <c r="NC36" s="836"/>
      <c r="ND36" s="836"/>
      <c r="NE36" s="836"/>
      <c r="NF36" s="836"/>
      <c r="NG36" s="836"/>
      <c r="NH36" s="836"/>
      <c r="NI36" s="836"/>
      <c r="NJ36" s="836"/>
      <c r="NK36" s="836"/>
      <c r="NL36" s="836"/>
      <c r="NM36" s="836"/>
      <c r="NN36" s="836"/>
      <c r="NO36" s="836"/>
      <c r="NP36" s="836"/>
      <c r="NQ36" s="836"/>
      <c r="NR36" s="836"/>
      <c r="NS36" s="836"/>
      <c r="NT36" s="836"/>
      <c r="NU36" s="836"/>
      <c r="NV36" s="836"/>
      <c r="NW36" s="836"/>
      <c r="NX36" s="836"/>
      <c r="NY36" s="836"/>
      <c r="NZ36" s="836"/>
      <c r="OA36" s="836"/>
      <c r="OB36" s="836"/>
      <c r="OC36" s="836"/>
      <c r="OD36" s="836"/>
      <c r="OE36" s="836"/>
      <c r="OF36" s="836"/>
      <c r="OG36" s="836"/>
      <c r="OH36" s="836"/>
      <c r="OI36" s="836"/>
      <c r="OJ36" s="836"/>
      <c r="OK36" s="836"/>
      <c r="OL36" s="836"/>
      <c r="OM36" s="836"/>
      <c r="ON36" s="836"/>
      <c r="OO36" s="836"/>
      <c r="OP36" s="836"/>
      <c r="OQ36" s="836"/>
      <c r="OR36" s="836"/>
      <c r="OS36" s="836"/>
      <c r="OT36" s="836"/>
      <c r="OU36" s="836"/>
      <c r="OV36" s="836"/>
      <c r="OW36" s="836"/>
      <c r="OX36" s="836"/>
      <c r="OY36" s="836"/>
      <c r="OZ36" s="836"/>
      <c r="PA36" s="836"/>
      <c r="PB36" s="836"/>
      <c r="PC36" s="836"/>
      <c r="PD36" s="836"/>
      <c r="PE36" s="836"/>
      <c r="PF36" s="836"/>
      <c r="PG36" s="836"/>
      <c r="PH36" s="836"/>
      <c r="PI36" s="836"/>
      <c r="PJ36" s="836"/>
      <c r="PK36" s="836"/>
      <c r="PL36" s="836"/>
      <c r="PM36" s="836"/>
      <c r="PN36" s="836"/>
      <c r="PO36" s="836"/>
      <c r="PP36" s="836"/>
      <c r="PQ36" s="836"/>
      <c r="PR36" s="836"/>
      <c r="PS36" s="836"/>
      <c r="PT36" s="836"/>
      <c r="PU36" s="836"/>
      <c r="PV36" s="836"/>
      <c r="PW36" s="836"/>
      <c r="PX36" s="836"/>
      <c r="PY36" s="836"/>
      <c r="PZ36" s="836"/>
      <c r="QA36" s="836"/>
      <c r="QB36" s="836"/>
      <c r="QC36" s="836"/>
      <c r="QD36" s="836"/>
      <c r="QE36" s="836"/>
      <c r="QF36" s="836"/>
      <c r="QG36" s="836"/>
      <c r="QH36" s="836"/>
      <c r="QI36" s="836"/>
      <c r="QJ36" s="836"/>
      <c r="QK36" s="836"/>
      <c r="QL36" s="836"/>
      <c r="QM36" s="836"/>
      <c r="QN36" s="836"/>
      <c r="QO36" s="836"/>
      <c r="QP36" s="836"/>
      <c r="QQ36" s="836"/>
      <c r="QR36" s="836"/>
      <c r="QS36" s="836"/>
      <c r="QT36" s="836"/>
      <c r="QU36" s="836"/>
      <c r="QV36" s="836"/>
      <c r="QW36" s="836"/>
      <c r="QX36" s="836"/>
      <c r="QY36" s="836"/>
      <c r="QZ36" s="836"/>
      <c r="RA36" s="836"/>
      <c r="RB36" s="836"/>
      <c r="RC36" s="836"/>
      <c r="RD36" s="836"/>
      <c r="RE36" s="836"/>
      <c r="RF36" s="836"/>
      <c r="RG36" s="836"/>
      <c r="RH36" s="836"/>
      <c r="RI36" s="836"/>
      <c r="RJ36" s="836"/>
      <c r="RK36" s="836"/>
      <c r="RL36" s="836"/>
      <c r="RM36" s="836"/>
      <c r="RN36" s="836"/>
      <c r="RO36" s="836"/>
      <c r="RP36" s="836"/>
      <c r="RQ36" s="836"/>
      <c r="RR36" s="836"/>
      <c r="RS36" s="836"/>
      <c r="RT36" s="836"/>
      <c r="RU36" s="836"/>
      <c r="RV36" s="836"/>
      <c r="RW36" s="836"/>
      <c r="RX36" s="836"/>
      <c r="RY36" s="836"/>
      <c r="RZ36" s="836"/>
      <c r="SA36" s="836"/>
      <c r="SB36" s="836"/>
      <c r="SC36" s="836"/>
      <c r="SD36" s="836"/>
      <c r="SE36" s="836"/>
      <c r="SF36" s="836"/>
      <c r="SG36" s="836"/>
      <c r="SH36" s="836"/>
      <c r="SI36" s="836"/>
      <c r="SJ36" s="836"/>
      <c r="SK36" s="836"/>
      <c r="SL36" s="836"/>
      <c r="SM36" s="836"/>
      <c r="SN36" s="836"/>
      <c r="SO36" s="836"/>
      <c r="SP36" s="836"/>
      <c r="SQ36" s="836"/>
      <c r="SR36" s="836"/>
      <c r="SS36" s="836"/>
      <c r="ST36" s="836"/>
      <c r="SU36" s="836"/>
      <c r="SV36" s="836"/>
      <c r="SW36" s="836"/>
      <c r="SX36" s="836"/>
      <c r="SY36" s="836"/>
      <c r="SZ36" s="836"/>
      <c r="TA36" s="836"/>
      <c r="TB36" s="836"/>
      <c r="TC36" s="836"/>
      <c r="TD36" s="836"/>
      <c r="TE36" s="836"/>
      <c r="TF36" s="836"/>
      <c r="TG36" s="836"/>
      <c r="TH36" s="836"/>
      <c r="TI36" s="836"/>
      <c r="TJ36" s="836"/>
      <c r="TK36" s="836"/>
      <c r="TL36" s="836"/>
      <c r="TM36" s="836"/>
      <c r="TN36" s="836"/>
      <c r="TO36" s="836"/>
      <c r="TP36" s="836"/>
      <c r="TQ36" s="836"/>
      <c r="TR36" s="836"/>
      <c r="TS36" s="836"/>
      <c r="TT36" s="836"/>
      <c r="TU36" s="836"/>
      <c r="TV36" s="836"/>
      <c r="TW36" s="836"/>
      <c r="TX36" s="836"/>
      <c r="TY36" s="836"/>
      <c r="TZ36" s="836"/>
      <c r="UA36" s="836"/>
      <c r="UB36" s="836"/>
      <c r="UC36" s="836"/>
      <c r="UD36" s="836"/>
      <c r="UE36" s="836"/>
      <c r="UF36" s="836"/>
      <c r="UG36" s="836"/>
      <c r="UH36" s="836"/>
      <c r="UI36" s="836"/>
      <c r="UJ36" s="836"/>
      <c r="UK36" s="836"/>
      <c r="UL36" s="836"/>
      <c r="UM36" s="836"/>
      <c r="UN36" s="836"/>
      <c r="UO36" s="836"/>
      <c r="UP36" s="836"/>
      <c r="UQ36" s="836"/>
      <c r="UR36" s="836"/>
      <c r="US36" s="836"/>
      <c r="UT36" s="836"/>
      <c r="UU36" s="836"/>
      <c r="UV36" s="836"/>
      <c r="UW36" s="836"/>
      <c r="UX36" s="836"/>
      <c r="UY36" s="836"/>
      <c r="UZ36" s="836"/>
      <c r="VA36" s="836"/>
      <c r="VB36" s="836"/>
      <c r="VC36" s="836"/>
      <c r="VD36" s="836"/>
      <c r="VE36" s="836"/>
      <c r="VF36" s="836"/>
      <c r="VG36" s="836"/>
      <c r="VH36" s="836"/>
      <c r="VI36" s="836"/>
      <c r="VJ36" s="836"/>
      <c r="VK36" s="836"/>
      <c r="VL36" s="836"/>
      <c r="VM36" s="836"/>
      <c r="VN36" s="836"/>
      <c r="VO36" s="836"/>
      <c r="VP36" s="836"/>
      <c r="VQ36" s="836"/>
      <c r="VR36" s="836"/>
      <c r="VS36" s="836"/>
      <c r="VT36" s="836"/>
      <c r="VU36" s="836"/>
      <c r="VV36" s="836"/>
      <c r="VW36" s="836"/>
      <c r="VX36" s="836"/>
      <c r="VY36" s="836"/>
      <c r="VZ36" s="836"/>
      <c r="WA36" s="836"/>
      <c r="WB36" s="836"/>
      <c r="WC36" s="836"/>
      <c r="WD36" s="836"/>
      <c r="WE36" s="836"/>
      <c r="WF36" s="836"/>
      <c r="WG36" s="836"/>
      <c r="WH36" s="836"/>
      <c r="WI36" s="836"/>
      <c r="WJ36" s="836"/>
      <c r="WK36" s="836"/>
      <c r="WL36" s="836"/>
      <c r="WM36" s="836"/>
      <c r="WN36" s="836"/>
      <c r="WO36" s="836"/>
      <c r="WP36" s="836"/>
      <c r="WQ36" s="836"/>
      <c r="WR36" s="836"/>
      <c r="WS36" s="836"/>
      <c r="WT36" s="836"/>
      <c r="WU36" s="836"/>
      <c r="WV36" s="836"/>
      <c r="WW36" s="836"/>
      <c r="WX36" s="836"/>
      <c r="WY36" s="836"/>
      <c r="WZ36" s="836"/>
      <c r="XA36" s="836"/>
      <c r="XB36" s="836"/>
      <c r="XC36" s="836"/>
      <c r="XD36" s="836"/>
      <c r="XE36" s="836"/>
      <c r="XF36" s="836"/>
      <c r="XG36" s="836"/>
      <c r="XH36" s="836"/>
      <c r="XI36" s="836"/>
      <c r="XJ36" s="836"/>
      <c r="XK36" s="836"/>
      <c r="XL36" s="836"/>
      <c r="XM36" s="836"/>
      <c r="XN36" s="836"/>
      <c r="XO36" s="836"/>
      <c r="XP36" s="836"/>
      <c r="XQ36" s="836"/>
      <c r="XR36" s="836"/>
      <c r="XS36" s="836"/>
      <c r="XT36" s="836"/>
      <c r="XU36" s="836"/>
      <c r="XV36" s="836"/>
      <c r="XW36" s="836"/>
      <c r="XX36" s="836"/>
      <c r="XY36" s="836"/>
      <c r="XZ36" s="836"/>
      <c r="YA36" s="836"/>
      <c r="YB36" s="836"/>
      <c r="YC36" s="836"/>
      <c r="YD36" s="836"/>
      <c r="YE36" s="836"/>
      <c r="YF36" s="836"/>
      <c r="YG36" s="836"/>
      <c r="YH36" s="836"/>
      <c r="YI36" s="836"/>
      <c r="YJ36" s="836"/>
      <c r="YK36" s="836"/>
      <c r="YL36" s="836"/>
      <c r="YM36" s="836"/>
      <c r="YN36" s="836"/>
      <c r="YO36" s="836"/>
      <c r="YP36" s="836"/>
      <c r="YQ36" s="836"/>
      <c r="YR36" s="836"/>
      <c r="YS36" s="836"/>
      <c r="YT36" s="836"/>
      <c r="YU36" s="836"/>
      <c r="YV36" s="836"/>
      <c r="YW36" s="836"/>
      <c r="YX36" s="836"/>
      <c r="YY36" s="836"/>
      <c r="YZ36" s="836"/>
      <c r="ZA36" s="836"/>
      <c r="ZB36" s="836"/>
      <c r="ZC36" s="836"/>
      <c r="ZD36" s="836"/>
      <c r="ZE36" s="836"/>
      <c r="ZF36" s="836"/>
      <c r="ZG36" s="836"/>
      <c r="ZH36" s="836"/>
      <c r="ZI36" s="836"/>
      <c r="ZJ36" s="836"/>
      <c r="ZK36" s="836"/>
      <c r="ZL36" s="836"/>
      <c r="ZM36" s="836"/>
      <c r="ZN36" s="836"/>
      <c r="ZO36" s="836"/>
      <c r="ZP36" s="836"/>
      <c r="ZQ36" s="836"/>
      <c r="ZR36" s="836"/>
      <c r="ZS36" s="836"/>
      <c r="ZT36" s="836"/>
      <c r="ZU36" s="836"/>
      <c r="ZV36" s="836"/>
      <c r="ZW36" s="836"/>
      <c r="ZX36" s="836"/>
      <c r="ZY36" s="836"/>
      <c r="ZZ36" s="836"/>
      <c r="AAA36" s="836"/>
      <c r="AAB36" s="836"/>
      <c r="AAC36" s="836"/>
      <c r="AAD36" s="836"/>
      <c r="AAE36" s="836"/>
      <c r="AAF36" s="836"/>
      <c r="AAG36" s="836"/>
      <c r="AAH36" s="836"/>
      <c r="AAI36" s="836"/>
      <c r="AAJ36" s="836"/>
      <c r="AAK36" s="836"/>
      <c r="AAL36" s="836"/>
      <c r="AAM36" s="836"/>
      <c r="AAN36" s="836"/>
      <c r="AAO36" s="836"/>
      <c r="AAP36" s="836"/>
      <c r="AAQ36" s="836"/>
      <c r="AAR36" s="836"/>
      <c r="AAS36" s="836"/>
      <c r="AAT36" s="836"/>
      <c r="AAU36" s="836"/>
      <c r="AAV36" s="836"/>
      <c r="AAW36" s="836"/>
      <c r="AAX36" s="836"/>
      <c r="AAY36" s="836"/>
      <c r="AAZ36" s="836"/>
      <c r="ABA36" s="836"/>
      <c r="ABB36" s="836"/>
      <c r="ABC36" s="836"/>
      <c r="ABD36" s="836"/>
      <c r="ABE36" s="836"/>
      <c r="ABF36" s="836"/>
      <c r="ABG36" s="836"/>
      <c r="ABH36" s="836"/>
      <c r="ABI36" s="836"/>
      <c r="ABJ36" s="836"/>
      <c r="ABK36" s="836"/>
      <c r="ABL36" s="836"/>
      <c r="ABM36" s="836"/>
      <c r="ABN36" s="836"/>
      <c r="ABO36" s="836"/>
      <c r="ABP36" s="836"/>
      <c r="ABQ36" s="836"/>
      <c r="ABR36" s="836"/>
      <c r="ABS36" s="836"/>
      <c r="ABT36" s="836"/>
      <c r="ABU36" s="836"/>
      <c r="ABV36" s="836"/>
      <c r="ABW36" s="836"/>
      <c r="ABX36" s="836"/>
      <c r="ABY36" s="836"/>
      <c r="ABZ36" s="836"/>
      <c r="ACA36" s="836"/>
      <c r="ACB36" s="836"/>
      <c r="ACC36" s="836"/>
      <c r="ACD36" s="836"/>
      <c r="ACE36" s="836"/>
      <c r="ACF36" s="836"/>
      <c r="ACG36" s="836"/>
      <c r="ACH36" s="836"/>
      <c r="ACI36" s="836"/>
      <c r="ACJ36" s="836"/>
      <c r="ACK36" s="836"/>
      <c r="ACL36" s="836"/>
      <c r="ACM36" s="836"/>
      <c r="ACN36" s="836"/>
      <c r="ACO36" s="836"/>
      <c r="ACP36" s="836"/>
      <c r="ACQ36" s="836"/>
      <c r="ACR36" s="836"/>
      <c r="ACS36" s="836"/>
      <c r="ACT36" s="836"/>
      <c r="ACU36" s="836"/>
      <c r="ACV36" s="836"/>
      <c r="ACW36" s="836"/>
      <c r="ACX36" s="836"/>
      <c r="ACY36" s="836"/>
      <c r="ACZ36" s="836"/>
      <c r="ADA36" s="836"/>
      <c r="ADB36" s="836"/>
      <c r="ADC36" s="836"/>
      <c r="ADD36" s="836"/>
      <c r="ADE36" s="836"/>
      <c r="ADF36" s="836"/>
      <c r="ADG36" s="836"/>
      <c r="ADH36" s="836"/>
      <c r="ADI36" s="836"/>
      <c r="ADJ36" s="836"/>
      <c r="ADK36" s="836"/>
      <c r="ADL36" s="836"/>
      <c r="ADM36" s="836"/>
      <c r="ADN36" s="836"/>
      <c r="ADO36" s="836"/>
      <c r="ADP36" s="836"/>
      <c r="ADQ36" s="836"/>
      <c r="ADR36" s="836"/>
      <c r="ADS36" s="836"/>
      <c r="ADT36" s="836"/>
      <c r="ADU36" s="836"/>
      <c r="ADV36" s="836"/>
      <c r="ADW36" s="836"/>
      <c r="ADX36" s="836"/>
      <c r="ADY36" s="836"/>
      <c r="ADZ36" s="836"/>
      <c r="AEA36" s="836"/>
      <c r="AEB36" s="836"/>
      <c r="AEC36" s="836"/>
      <c r="AED36" s="836"/>
      <c r="AEE36" s="836"/>
      <c r="AEF36" s="836"/>
      <c r="AEG36" s="836"/>
      <c r="AEH36" s="836"/>
      <c r="AEI36" s="836"/>
      <c r="AEJ36" s="836"/>
      <c r="AEK36" s="836"/>
      <c r="AEL36" s="836"/>
      <c r="AEM36" s="836"/>
      <c r="AEN36" s="836"/>
      <c r="AEO36" s="836"/>
      <c r="AEP36" s="836"/>
      <c r="AEQ36" s="836"/>
      <c r="AER36" s="836"/>
      <c r="AES36" s="836"/>
      <c r="AET36" s="836"/>
      <c r="AEU36" s="836"/>
      <c r="AEV36" s="836"/>
      <c r="AEW36" s="836"/>
      <c r="AEX36" s="836"/>
      <c r="AEY36" s="836"/>
      <c r="AEZ36" s="836"/>
      <c r="AFA36" s="836"/>
      <c r="AFB36" s="836"/>
      <c r="AFC36" s="836"/>
      <c r="AFD36" s="836"/>
      <c r="AFE36" s="836"/>
      <c r="AFF36" s="836"/>
      <c r="AFG36" s="836"/>
      <c r="AFH36" s="836"/>
      <c r="AFI36" s="836"/>
      <c r="AFJ36" s="836"/>
      <c r="AFK36" s="836"/>
      <c r="AFL36" s="836"/>
      <c r="AFM36" s="836"/>
      <c r="AFN36" s="836"/>
      <c r="AFO36" s="836"/>
      <c r="AFP36" s="836"/>
      <c r="AFQ36" s="836"/>
      <c r="AFR36" s="836"/>
      <c r="AFS36" s="836"/>
      <c r="AFT36" s="836"/>
      <c r="AFU36" s="836"/>
      <c r="AFV36" s="836"/>
      <c r="AFW36" s="836"/>
      <c r="AFX36" s="836"/>
      <c r="AFY36" s="836"/>
      <c r="AFZ36" s="836"/>
      <c r="AGA36" s="836"/>
      <c r="AGB36" s="836"/>
      <c r="AGC36" s="836"/>
      <c r="AGD36" s="836"/>
      <c r="AGE36" s="836"/>
      <c r="AGF36" s="836"/>
      <c r="AGG36" s="836"/>
      <c r="AGH36" s="836"/>
      <c r="AGI36" s="836"/>
      <c r="AGJ36" s="836"/>
      <c r="AGK36" s="836"/>
      <c r="AGL36" s="836"/>
      <c r="AGM36" s="836"/>
      <c r="AGN36" s="836"/>
      <c r="AGO36" s="836"/>
      <c r="AGP36" s="836"/>
      <c r="AGQ36" s="836"/>
      <c r="AGR36" s="836"/>
      <c r="AGS36" s="836"/>
      <c r="AGT36" s="836"/>
      <c r="AGU36" s="836"/>
      <c r="AGV36" s="836"/>
      <c r="AGW36" s="836"/>
      <c r="AGX36" s="836"/>
      <c r="AGY36" s="836"/>
      <c r="AGZ36" s="836"/>
      <c r="AHA36" s="836"/>
      <c r="AHB36" s="836"/>
      <c r="AHC36" s="836"/>
      <c r="AHD36" s="836"/>
      <c r="AHE36" s="836"/>
      <c r="AHF36" s="836"/>
      <c r="AHG36" s="836"/>
      <c r="AHH36" s="836"/>
      <c r="AHI36" s="836"/>
      <c r="AHJ36" s="836"/>
      <c r="AHK36" s="836"/>
      <c r="AHL36" s="836"/>
      <c r="AHM36" s="836"/>
      <c r="AHN36" s="836"/>
      <c r="AHO36" s="836"/>
      <c r="AHP36" s="836"/>
      <c r="AHQ36" s="836"/>
      <c r="AHR36" s="836"/>
      <c r="AHS36" s="836"/>
      <c r="AHT36" s="836"/>
      <c r="AHU36" s="836"/>
      <c r="AHV36" s="836"/>
      <c r="AHW36" s="836"/>
      <c r="AHX36" s="836"/>
      <c r="AHY36" s="836"/>
      <c r="AHZ36" s="836"/>
      <c r="AIA36" s="836"/>
      <c r="AIB36" s="836"/>
      <c r="AIC36" s="836"/>
      <c r="AID36" s="836"/>
      <c r="AIE36" s="836"/>
      <c r="AIF36" s="836"/>
      <c r="AIG36" s="836"/>
      <c r="AIH36" s="836"/>
      <c r="AII36" s="836"/>
      <c r="AIJ36" s="836"/>
      <c r="AIK36" s="836"/>
      <c r="AIL36" s="836"/>
      <c r="AIM36" s="836"/>
      <c r="AIN36" s="836"/>
      <c r="AIO36" s="836"/>
      <c r="AIP36" s="836"/>
      <c r="AIQ36" s="836"/>
      <c r="AIR36" s="836"/>
      <c r="AIS36" s="836"/>
      <c r="AIT36" s="836"/>
      <c r="AIU36" s="836"/>
      <c r="AIV36" s="836"/>
      <c r="AIW36" s="836"/>
      <c r="AIX36" s="836"/>
      <c r="AIY36" s="836"/>
      <c r="AIZ36" s="836"/>
      <c r="AJA36" s="836"/>
      <c r="AJB36" s="836"/>
      <c r="AJC36" s="836"/>
      <c r="AJD36" s="836"/>
      <c r="AJE36" s="836"/>
      <c r="AJF36" s="836"/>
      <c r="AJG36" s="836"/>
      <c r="AJH36" s="836"/>
      <c r="AJI36" s="836"/>
      <c r="AJJ36" s="836"/>
      <c r="AJK36" s="836"/>
      <c r="AJL36" s="836"/>
      <c r="AJM36" s="836"/>
      <c r="AJN36" s="836"/>
      <c r="AJO36" s="836"/>
      <c r="AJP36" s="836"/>
      <c r="AJQ36" s="836"/>
      <c r="AJR36" s="836"/>
      <c r="AJS36" s="836"/>
      <c r="AJT36" s="836"/>
      <c r="AJU36" s="836"/>
      <c r="AJV36" s="836"/>
      <c r="AJW36" s="836"/>
      <c r="AJX36" s="836"/>
      <c r="AJY36" s="836"/>
      <c r="AJZ36" s="836"/>
      <c r="AKA36" s="836"/>
      <c r="AKB36" s="836"/>
      <c r="AKC36" s="836"/>
      <c r="AKD36" s="836"/>
      <c r="AKE36" s="836"/>
      <c r="AKF36" s="836"/>
      <c r="AKG36" s="836"/>
      <c r="AKH36" s="836"/>
      <c r="AKI36" s="836"/>
      <c r="AKJ36" s="836"/>
      <c r="AKK36" s="836"/>
      <c r="AKL36" s="836"/>
      <c r="AKM36" s="836"/>
      <c r="AKN36" s="836"/>
      <c r="AKO36" s="836"/>
      <c r="AKP36" s="836"/>
      <c r="AKQ36" s="836"/>
      <c r="AKR36" s="836"/>
      <c r="AKS36" s="836"/>
      <c r="AKT36" s="836"/>
      <c r="AKU36" s="836"/>
      <c r="AKV36" s="836"/>
      <c r="AKW36" s="836"/>
      <c r="AKX36" s="836"/>
      <c r="AKY36" s="836"/>
      <c r="AKZ36" s="836"/>
      <c r="ALA36" s="836"/>
      <c r="ALB36" s="836"/>
      <c r="ALC36" s="836"/>
      <c r="ALD36" s="836"/>
      <c r="ALE36" s="836"/>
      <c r="ALF36" s="836"/>
      <c r="ALG36" s="836"/>
      <c r="ALH36" s="836"/>
      <c r="ALI36" s="836"/>
      <c r="ALJ36" s="836"/>
      <c r="ALK36" s="836"/>
      <c r="ALL36" s="836"/>
      <c r="ALM36" s="836"/>
      <c r="ALN36" s="836"/>
      <c r="ALO36" s="836"/>
      <c r="ALP36" s="836"/>
      <c r="ALQ36" s="836"/>
      <c r="ALR36" s="836"/>
      <c r="ALS36" s="836"/>
      <c r="ALT36" s="836"/>
      <c r="ALU36" s="836"/>
      <c r="ALV36" s="836"/>
      <c r="ALW36" s="836"/>
      <c r="ALX36" s="836"/>
      <c r="ALY36" s="836"/>
      <c r="ALZ36" s="836"/>
      <c r="AMA36" s="836"/>
      <c r="AMB36" s="836"/>
      <c r="AMC36" s="836"/>
      <c r="AMD36" s="836"/>
      <c r="AME36" s="836"/>
      <c r="AMF36" s="836"/>
      <c r="AMG36" s="836"/>
      <c r="AMH36" s="836"/>
      <c r="AMI36" s="836"/>
      <c r="AMJ36" s="836"/>
      <c r="AMK36" s="836"/>
      <c r="AML36" s="836"/>
      <c r="AMM36" s="836"/>
      <c r="AMN36" s="836"/>
      <c r="AMO36" s="836"/>
      <c r="AMP36" s="836"/>
      <c r="AMQ36" s="836"/>
      <c r="AMR36" s="836"/>
      <c r="AMS36" s="836"/>
      <c r="AMT36" s="836"/>
      <c r="AMU36" s="836"/>
      <c r="AMV36" s="836"/>
      <c r="AMW36" s="836"/>
      <c r="AMX36" s="836"/>
      <c r="AMY36" s="836"/>
      <c r="AMZ36" s="836"/>
      <c r="ANA36" s="836"/>
      <c r="ANB36" s="836"/>
      <c r="ANC36" s="836"/>
      <c r="AND36" s="836"/>
      <c r="ANE36" s="836"/>
      <c r="ANF36" s="836"/>
      <c r="ANG36" s="836"/>
      <c r="ANH36" s="836"/>
      <c r="ANI36" s="836"/>
      <c r="ANJ36" s="836"/>
      <c r="ANK36" s="836"/>
      <c r="ANL36" s="836"/>
      <c r="ANM36" s="836"/>
      <c r="ANN36" s="836"/>
      <c r="ANO36" s="836"/>
      <c r="ANP36" s="836"/>
      <c r="ANQ36" s="836"/>
      <c r="ANR36" s="836"/>
      <c r="ANS36" s="836"/>
      <c r="ANT36" s="836"/>
      <c r="ANU36" s="836"/>
      <c r="ANV36" s="836"/>
      <c r="ANW36" s="836"/>
      <c r="ANX36" s="836"/>
      <c r="ANY36" s="836"/>
      <c r="ANZ36" s="836"/>
      <c r="AOA36" s="836"/>
      <c r="AOB36" s="836"/>
      <c r="AOC36" s="836"/>
      <c r="AOD36" s="836"/>
      <c r="AOE36" s="836"/>
      <c r="AOF36" s="836"/>
      <c r="AOG36" s="836"/>
      <c r="AOH36" s="836"/>
      <c r="AOI36" s="836"/>
      <c r="AOJ36" s="836"/>
      <c r="AOK36" s="836"/>
      <c r="AOL36" s="836"/>
      <c r="AOM36" s="836"/>
      <c r="AON36" s="836"/>
      <c r="AOO36" s="836"/>
      <c r="AOP36" s="836"/>
      <c r="AOQ36" s="836"/>
      <c r="AOR36" s="836"/>
      <c r="AOS36" s="836"/>
      <c r="AOT36" s="836"/>
      <c r="AOU36" s="836"/>
      <c r="AOV36" s="836"/>
      <c r="AOW36" s="836"/>
      <c r="AOX36" s="836"/>
      <c r="AOY36" s="836"/>
      <c r="AOZ36" s="836"/>
      <c r="APA36" s="836"/>
      <c r="APB36" s="836"/>
      <c r="APC36" s="836"/>
      <c r="APD36" s="836"/>
      <c r="APE36" s="836"/>
      <c r="APF36" s="836"/>
      <c r="APG36" s="836"/>
      <c r="APH36" s="836"/>
      <c r="API36" s="836"/>
      <c r="APJ36" s="836"/>
      <c r="APK36" s="836"/>
      <c r="APL36" s="836"/>
      <c r="APM36" s="836"/>
      <c r="APN36" s="836"/>
      <c r="APO36" s="836"/>
      <c r="APP36" s="836"/>
      <c r="APQ36" s="836"/>
      <c r="APR36" s="836"/>
      <c r="APS36" s="836"/>
      <c r="APT36" s="836"/>
      <c r="APU36" s="836"/>
      <c r="APV36" s="836"/>
      <c r="APW36" s="836"/>
      <c r="APX36" s="836"/>
      <c r="APY36" s="836"/>
      <c r="APZ36" s="836"/>
      <c r="AQA36" s="836"/>
      <c r="AQB36" s="836"/>
      <c r="AQC36" s="836"/>
      <c r="AQD36" s="836"/>
      <c r="AQE36" s="836"/>
      <c r="AQF36" s="836"/>
      <c r="AQG36" s="836"/>
      <c r="AQH36" s="836"/>
      <c r="AQI36" s="836"/>
      <c r="AQJ36" s="836"/>
      <c r="AQK36" s="836"/>
      <c r="AQL36" s="836"/>
      <c r="AQM36" s="836"/>
      <c r="AQN36" s="836"/>
      <c r="AQO36" s="836"/>
      <c r="AQP36" s="836"/>
      <c r="AQQ36" s="836"/>
      <c r="AQR36" s="836"/>
      <c r="AQS36" s="836"/>
      <c r="AQT36" s="836"/>
      <c r="AQU36" s="836"/>
      <c r="AQV36" s="836"/>
      <c r="AQW36" s="836"/>
      <c r="AQX36" s="836"/>
      <c r="AQY36" s="836"/>
      <c r="AQZ36" s="836"/>
      <c r="ARA36" s="836"/>
      <c r="ARB36" s="836"/>
      <c r="ARC36" s="836"/>
      <c r="ARD36" s="836"/>
      <c r="ARE36" s="836"/>
      <c r="ARF36" s="836"/>
      <c r="ARG36" s="836"/>
      <c r="ARH36" s="836"/>
      <c r="ARI36" s="836"/>
      <c r="ARJ36" s="836"/>
      <c r="ARK36" s="836"/>
      <c r="ARL36" s="836"/>
      <c r="ARM36" s="836"/>
      <c r="ARN36" s="836"/>
      <c r="ARO36" s="836"/>
      <c r="ARP36" s="836"/>
      <c r="ARQ36" s="836"/>
      <c r="ARR36" s="836"/>
      <c r="ARS36" s="836"/>
      <c r="ART36" s="836"/>
      <c r="ARU36" s="836"/>
      <c r="ARV36" s="836"/>
      <c r="ARW36" s="836"/>
      <c r="ARX36" s="836"/>
      <c r="ARY36" s="836"/>
      <c r="ARZ36" s="836"/>
      <c r="ASA36" s="836"/>
      <c r="ASB36" s="836"/>
      <c r="ASC36" s="836"/>
      <c r="ASD36" s="836"/>
      <c r="ASE36" s="836"/>
      <c r="ASF36" s="836"/>
      <c r="ASG36" s="836"/>
      <c r="ASH36" s="836"/>
      <c r="ASI36" s="836"/>
      <c r="ASJ36" s="836"/>
      <c r="ASK36" s="836"/>
      <c r="ASL36" s="836"/>
      <c r="ASM36" s="836"/>
      <c r="ASN36" s="836"/>
      <c r="ASO36" s="836"/>
      <c r="ASP36" s="836"/>
      <c r="ASQ36" s="836"/>
      <c r="ASR36" s="836"/>
      <c r="ASS36" s="836"/>
      <c r="AST36" s="836"/>
      <c r="ASU36" s="836"/>
      <c r="ASV36" s="836"/>
      <c r="ASW36" s="836"/>
      <c r="ASX36" s="836"/>
      <c r="ASY36" s="836"/>
      <c r="ASZ36" s="836"/>
      <c r="ATA36" s="836"/>
      <c r="ATB36" s="836"/>
      <c r="ATC36" s="836"/>
      <c r="ATD36" s="836"/>
      <c r="ATE36" s="836"/>
      <c r="ATF36" s="836"/>
      <c r="ATG36" s="836"/>
      <c r="ATH36" s="836"/>
      <c r="ATI36" s="836"/>
      <c r="ATJ36" s="836"/>
      <c r="ATK36" s="836"/>
      <c r="ATL36" s="836"/>
      <c r="ATM36" s="836"/>
      <c r="ATN36" s="836"/>
      <c r="ATO36" s="836"/>
      <c r="ATP36" s="836"/>
      <c r="ATQ36" s="836"/>
      <c r="ATR36" s="836"/>
      <c r="ATS36" s="836"/>
      <c r="ATT36" s="836"/>
      <c r="ATU36" s="836"/>
      <c r="ATV36" s="836"/>
      <c r="ATW36" s="836"/>
      <c r="ATX36" s="836"/>
      <c r="ATY36" s="836"/>
      <c r="ATZ36" s="836"/>
      <c r="AUA36" s="836"/>
      <c r="AUB36" s="836"/>
      <c r="AUC36" s="836"/>
      <c r="AUD36" s="836"/>
      <c r="AUE36" s="836"/>
      <c r="AUF36" s="836"/>
      <c r="AUG36" s="836"/>
      <c r="AUH36" s="836"/>
      <c r="AUI36" s="836"/>
      <c r="AUJ36" s="836"/>
      <c r="AUK36" s="836"/>
      <c r="AUL36" s="836"/>
      <c r="AUM36" s="836"/>
      <c r="AUN36" s="836"/>
      <c r="AUO36" s="836"/>
      <c r="AUP36" s="836"/>
      <c r="AUQ36" s="836"/>
      <c r="AUR36" s="836"/>
      <c r="AUS36" s="836"/>
      <c r="AUT36" s="836"/>
      <c r="AUU36" s="836"/>
      <c r="AUV36" s="836"/>
      <c r="AUW36" s="836"/>
      <c r="AUX36" s="836"/>
      <c r="AUY36" s="836"/>
      <c r="AUZ36" s="836"/>
      <c r="AVA36" s="836"/>
      <c r="AVB36" s="836"/>
      <c r="AVC36" s="836"/>
      <c r="AVD36" s="836"/>
      <c r="AVE36" s="836"/>
      <c r="AVF36" s="836"/>
      <c r="AVG36" s="836"/>
      <c r="AVH36" s="836"/>
      <c r="AVI36" s="836"/>
      <c r="AVJ36" s="836"/>
      <c r="AVK36" s="836"/>
      <c r="AVL36" s="836"/>
      <c r="AVM36" s="836"/>
      <c r="AVN36" s="836"/>
      <c r="AVO36" s="836"/>
      <c r="AVP36" s="836"/>
      <c r="AVQ36" s="836"/>
      <c r="AVR36" s="836"/>
      <c r="AVS36" s="836"/>
      <c r="AVT36" s="836"/>
      <c r="AVU36" s="836"/>
      <c r="AVV36" s="836"/>
      <c r="AVW36" s="836"/>
      <c r="AVX36" s="836"/>
      <c r="AVY36" s="836"/>
      <c r="AVZ36" s="836"/>
      <c r="AWA36" s="836"/>
      <c r="AWB36" s="836"/>
      <c r="AWC36" s="836"/>
      <c r="AWD36" s="836"/>
      <c r="AWE36" s="836"/>
      <c r="AWF36" s="836"/>
      <c r="AWG36" s="836"/>
      <c r="AWH36" s="836"/>
      <c r="AWI36" s="836"/>
      <c r="AWJ36" s="836"/>
      <c r="AWK36" s="836"/>
      <c r="AWL36" s="836"/>
      <c r="AWM36" s="836"/>
      <c r="AWN36" s="836"/>
      <c r="AWO36" s="836"/>
      <c r="AWP36" s="836"/>
      <c r="AWQ36" s="836"/>
      <c r="AWR36" s="836"/>
      <c r="AWS36" s="836"/>
      <c r="AWT36" s="836"/>
      <c r="AWU36" s="836"/>
      <c r="AWV36" s="836"/>
      <c r="AWW36" s="836"/>
      <c r="AWX36" s="836"/>
      <c r="AWY36" s="836"/>
      <c r="AWZ36" s="836"/>
      <c r="AXA36" s="836"/>
      <c r="AXB36" s="836"/>
      <c r="AXC36" s="836"/>
      <c r="AXD36" s="836"/>
      <c r="AXE36" s="836"/>
      <c r="AXF36" s="836"/>
      <c r="AXG36" s="836"/>
      <c r="AXH36" s="836"/>
      <c r="AXI36" s="836"/>
      <c r="AXJ36" s="836"/>
      <c r="AXK36" s="836"/>
      <c r="AXL36" s="836"/>
      <c r="AXM36" s="836"/>
      <c r="AXN36" s="836"/>
      <c r="AXO36" s="836"/>
      <c r="AXP36" s="836"/>
      <c r="AXQ36" s="836"/>
      <c r="AXR36" s="836"/>
      <c r="AXS36" s="836"/>
      <c r="AXT36" s="836"/>
      <c r="AXU36" s="836"/>
      <c r="AXV36" s="836"/>
      <c r="AXW36" s="836"/>
      <c r="AXX36" s="836"/>
      <c r="AXY36" s="836"/>
      <c r="AXZ36" s="836"/>
      <c r="AYA36" s="836"/>
      <c r="AYB36" s="836"/>
      <c r="AYC36" s="836"/>
      <c r="AYD36" s="836"/>
      <c r="AYE36" s="836"/>
      <c r="AYF36" s="836"/>
      <c r="AYG36" s="836"/>
      <c r="AYH36" s="836"/>
      <c r="AYI36" s="836"/>
      <c r="AYJ36" s="836"/>
      <c r="AYK36" s="836"/>
      <c r="AYL36" s="836"/>
      <c r="AYM36" s="836"/>
      <c r="AYN36" s="836"/>
      <c r="AYO36" s="836"/>
      <c r="AYP36" s="836"/>
      <c r="AYQ36" s="836"/>
      <c r="AYR36" s="836"/>
      <c r="AYS36" s="836"/>
      <c r="AYT36" s="836"/>
      <c r="AYU36" s="836"/>
      <c r="AYV36" s="836"/>
      <c r="AYW36" s="836"/>
      <c r="AYX36" s="836"/>
      <c r="AYY36" s="836"/>
      <c r="AYZ36" s="836"/>
      <c r="AZA36" s="836"/>
      <c r="AZB36" s="836"/>
      <c r="AZC36" s="836"/>
      <c r="AZD36" s="836"/>
      <c r="AZE36" s="836"/>
      <c r="AZF36" s="836"/>
      <c r="AZG36" s="836"/>
      <c r="AZH36" s="836"/>
      <c r="AZI36" s="836"/>
      <c r="AZJ36" s="836"/>
      <c r="AZK36" s="836"/>
      <c r="AZL36" s="836"/>
      <c r="AZM36" s="836"/>
      <c r="AZN36" s="836"/>
      <c r="AZO36" s="836"/>
      <c r="AZP36" s="836"/>
      <c r="AZQ36" s="836"/>
      <c r="AZR36" s="836"/>
      <c r="AZS36" s="836"/>
      <c r="AZT36" s="836"/>
      <c r="AZU36" s="836"/>
      <c r="AZV36" s="836"/>
      <c r="AZW36" s="836"/>
      <c r="AZX36" s="836"/>
      <c r="AZY36" s="836"/>
      <c r="AZZ36" s="836"/>
      <c r="BAA36" s="836"/>
      <c r="BAB36" s="836"/>
      <c r="BAC36" s="836"/>
      <c r="BAD36" s="836"/>
      <c r="BAE36" s="836"/>
      <c r="BAF36" s="836"/>
      <c r="BAG36" s="836"/>
      <c r="BAH36" s="836"/>
      <c r="BAI36" s="836"/>
      <c r="BAJ36" s="836"/>
      <c r="BAK36" s="836"/>
      <c r="BAL36" s="836"/>
      <c r="BAM36" s="836"/>
      <c r="BAN36" s="836"/>
      <c r="BAO36" s="836"/>
      <c r="BAP36" s="836"/>
      <c r="BAQ36" s="836"/>
      <c r="BAR36" s="836"/>
      <c r="BAS36" s="836"/>
      <c r="BAT36" s="836"/>
      <c r="BAU36" s="836"/>
      <c r="BAV36" s="836"/>
      <c r="BAW36" s="836"/>
      <c r="BAX36" s="836"/>
      <c r="BAY36" s="836"/>
      <c r="BAZ36" s="836"/>
      <c r="BBA36" s="836"/>
      <c r="BBB36" s="836"/>
      <c r="BBC36" s="836"/>
      <c r="BBD36" s="836"/>
      <c r="BBE36" s="836"/>
      <c r="BBF36" s="836"/>
      <c r="BBG36" s="836"/>
      <c r="BBH36" s="836"/>
      <c r="BBI36" s="836"/>
      <c r="BBJ36" s="836"/>
      <c r="BBK36" s="836"/>
      <c r="BBL36" s="836"/>
      <c r="BBM36" s="836"/>
      <c r="BBN36" s="836"/>
      <c r="BBO36" s="836"/>
      <c r="BBP36" s="836"/>
      <c r="BBQ36" s="836"/>
      <c r="BBR36" s="836"/>
      <c r="BBS36" s="836"/>
      <c r="BBT36" s="836"/>
      <c r="BBU36" s="836"/>
      <c r="BBV36" s="836"/>
      <c r="BBW36" s="836"/>
      <c r="BBX36" s="836"/>
      <c r="BBY36" s="836"/>
      <c r="BBZ36" s="836"/>
      <c r="BCA36" s="836"/>
      <c r="BCB36" s="836"/>
      <c r="BCC36" s="836"/>
      <c r="BCD36" s="836"/>
      <c r="BCE36" s="836"/>
      <c r="BCF36" s="836"/>
      <c r="BCG36" s="836"/>
      <c r="BCH36" s="836"/>
      <c r="BCI36" s="836"/>
      <c r="BCJ36" s="836"/>
      <c r="BCK36" s="836"/>
      <c r="BCL36" s="836"/>
      <c r="BCM36" s="836"/>
      <c r="BCN36" s="836"/>
      <c r="BCO36" s="836"/>
      <c r="BCP36" s="836"/>
      <c r="BCQ36" s="836"/>
      <c r="BCR36" s="836"/>
      <c r="BCS36" s="836"/>
      <c r="BCT36" s="836"/>
      <c r="BCU36" s="836"/>
      <c r="BCV36" s="836"/>
      <c r="BCW36" s="836"/>
      <c r="BCX36" s="836"/>
      <c r="BCY36" s="836"/>
      <c r="BCZ36" s="836"/>
      <c r="BDA36" s="836"/>
      <c r="BDB36" s="836"/>
      <c r="BDC36" s="836"/>
      <c r="BDD36" s="836"/>
      <c r="BDE36" s="836"/>
      <c r="BDF36" s="836"/>
      <c r="BDG36" s="836"/>
      <c r="BDH36" s="836"/>
      <c r="BDI36" s="836"/>
      <c r="BDJ36" s="836"/>
      <c r="BDK36" s="836"/>
      <c r="BDL36" s="836"/>
      <c r="BDM36" s="836"/>
      <c r="BDN36" s="836"/>
      <c r="BDO36" s="836"/>
      <c r="BDP36" s="836"/>
      <c r="BDQ36" s="836"/>
      <c r="BDR36" s="836"/>
      <c r="BDS36" s="836"/>
      <c r="BDT36" s="836"/>
      <c r="BDU36" s="836"/>
      <c r="BDV36" s="836"/>
      <c r="BDW36" s="836"/>
      <c r="BDX36" s="836"/>
      <c r="BDY36" s="836"/>
      <c r="BDZ36" s="836"/>
      <c r="BEA36" s="836"/>
      <c r="BEB36" s="836"/>
      <c r="BEC36" s="836"/>
      <c r="BED36" s="836"/>
      <c r="BEE36" s="836"/>
      <c r="BEF36" s="836"/>
      <c r="BEG36" s="836"/>
      <c r="BEH36" s="836"/>
      <c r="BEI36" s="836"/>
      <c r="BEJ36" s="836"/>
      <c r="BEK36" s="836"/>
      <c r="BEL36" s="836"/>
      <c r="BEM36" s="836"/>
      <c r="BEN36" s="836"/>
      <c r="BEO36" s="836"/>
      <c r="BEP36" s="836"/>
      <c r="BEQ36" s="836"/>
      <c r="BER36" s="836"/>
      <c r="BES36" s="836"/>
      <c r="BET36" s="836"/>
      <c r="BEU36" s="836"/>
      <c r="BEV36" s="836"/>
      <c r="BEW36" s="836"/>
      <c r="BEX36" s="836"/>
      <c r="BEY36" s="836"/>
      <c r="BEZ36" s="836"/>
      <c r="BFA36" s="836"/>
      <c r="BFB36" s="836"/>
      <c r="BFC36" s="836"/>
      <c r="BFD36" s="836"/>
      <c r="BFE36" s="836"/>
      <c r="BFF36" s="836"/>
      <c r="BFG36" s="836"/>
      <c r="BFH36" s="836"/>
      <c r="BFI36" s="836"/>
      <c r="BFJ36" s="836"/>
      <c r="BFK36" s="836"/>
      <c r="BFL36" s="836"/>
      <c r="BFM36" s="836"/>
      <c r="BFN36" s="836"/>
      <c r="BFO36" s="836"/>
      <c r="BFP36" s="836"/>
      <c r="BFQ36" s="836"/>
      <c r="BFR36" s="836"/>
      <c r="BFS36" s="836"/>
      <c r="BFT36" s="836"/>
      <c r="BFU36" s="836"/>
      <c r="BFV36" s="836"/>
      <c r="BFW36" s="836"/>
      <c r="BFX36" s="836"/>
      <c r="BFY36" s="836"/>
      <c r="BFZ36" s="836"/>
      <c r="BGA36" s="836"/>
      <c r="BGB36" s="836"/>
      <c r="BGC36" s="836"/>
      <c r="BGD36" s="836"/>
      <c r="BGE36" s="836"/>
      <c r="BGF36" s="836"/>
      <c r="BGG36" s="836"/>
      <c r="BGH36" s="836"/>
      <c r="BGI36" s="836"/>
      <c r="BGJ36" s="836"/>
      <c r="BGK36" s="836"/>
      <c r="BGL36" s="836"/>
      <c r="BGM36" s="836"/>
      <c r="BGN36" s="836"/>
      <c r="BGO36" s="836"/>
      <c r="BGP36" s="836"/>
      <c r="BGQ36" s="836"/>
      <c r="BGR36" s="836"/>
      <c r="BGS36" s="836"/>
      <c r="BGT36" s="836"/>
      <c r="BGU36" s="836"/>
      <c r="BGV36" s="836"/>
      <c r="BGW36" s="836"/>
      <c r="BGX36" s="836"/>
      <c r="BGY36" s="836"/>
      <c r="BGZ36" s="836"/>
      <c r="BHA36" s="836"/>
      <c r="BHB36" s="836"/>
      <c r="BHC36" s="836"/>
      <c r="BHD36" s="836"/>
      <c r="BHE36" s="836"/>
      <c r="BHF36" s="836"/>
      <c r="BHG36" s="836"/>
      <c r="BHH36" s="836"/>
      <c r="BHI36" s="836"/>
      <c r="BHJ36" s="836"/>
      <c r="BHK36" s="836"/>
      <c r="BHL36" s="836"/>
      <c r="BHM36" s="836"/>
      <c r="BHN36" s="836"/>
      <c r="BHO36" s="836"/>
      <c r="BHP36" s="836"/>
      <c r="BHQ36" s="836"/>
      <c r="BHR36" s="836"/>
      <c r="BHS36" s="836"/>
      <c r="BHT36" s="836"/>
      <c r="BHU36" s="836"/>
      <c r="BHV36" s="836"/>
      <c r="BHW36" s="836"/>
      <c r="BHX36" s="836"/>
      <c r="BHY36" s="836"/>
      <c r="BHZ36" s="836"/>
      <c r="BIA36" s="836"/>
      <c r="BIB36" s="836"/>
      <c r="BIC36" s="836"/>
      <c r="BID36" s="836"/>
      <c r="BIE36" s="836"/>
      <c r="BIF36" s="836"/>
      <c r="BIG36" s="836"/>
      <c r="BIH36" s="836"/>
      <c r="BII36" s="836"/>
      <c r="BIJ36" s="836"/>
      <c r="BIK36" s="836"/>
      <c r="BIL36" s="836"/>
      <c r="BIM36" s="836"/>
      <c r="BIN36" s="836"/>
      <c r="BIO36" s="836"/>
      <c r="BIP36" s="836"/>
      <c r="BIQ36" s="836"/>
      <c r="BIR36" s="836"/>
      <c r="BIS36" s="836"/>
      <c r="BIT36" s="836"/>
      <c r="BIU36" s="836"/>
      <c r="BIV36" s="836"/>
      <c r="BIW36" s="836"/>
      <c r="BIX36" s="836"/>
      <c r="BIY36" s="836"/>
      <c r="BIZ36" s="836"/>
      <c r="BJA36" s="836"/>
      <c r="BJB36" s="836"/>
      <c r="BJC36" s="836"/>
      <c r="BJD36" s="836"/>
      <c r="BJE36" s="836"/>
      <c r="BJF36" s="836"/>
      <c r="BJG36" s="836"/>
      <c r="BJH36" s="836"/>
      <c r="BJI36" s="836"/>
      <c r="BJJ36" s="836"/>
      <c r="BJK36" s="836"/>
      <c r="BJL36" s="836"/>
      <c r="BJM36" s="836"/>
      <c r="BJN36" s="836"/>
      <c r="BJO36" s="836"/>
      <c r="BJP36" s="836"/>
      <c r="BJQ36" s="836"/>
      <c r="BJR36" s="836"/>
      <c r="BJS36" s="836"/>
      <c r="BJT36" s="836"/>
      <c r="BJU36" s="836"/>
      <c r="BJV36" s="836"/>
      <c r="BJW36" s="836"/>
      <c r="BJX36" s="836"/>
      <c r="BJY36" s="836"/>
      <c r="BJZ36" s="836"/>
      <c r="BKA36" s="836"/>
      <c r="BKB36" s="836"/>
      <c r="BKC36" s="836"/>
      <c r="BKD36" s="836"/>
      <c r="BKE36" s="836"/>
      <c r="BKF36" s="836"/>
      <c r="BKG36" s="836"/>
      <c r="BKH36" s="836"/>
      <c r="BKI36" s="836"/>
      <c r="BKJ36" s="836"/>
      <c r="BKK36" s="836"/>
      <c r="BKL36" s="836"/>
      <c r="BKM36" s="836"/>
      <c r="BKN36" s="836"/>
      <c r="BKO36" s="836"/>
      <c r="BKP36" s="836"/>
      <c r="BKQ36" s="836"/>
      <c r="BKR36" s="836"/>
      <c r="BKS36" s="836"/>
      <c r="BKT36" s="836"/>
      <c r="BKU36" s="836"/>
      <c r="BKV36" s="836"/>
      <c r="BKW36" s="836"/>
      <c r="BKX36" s="836"/>
      <c r="BKY36" s="836"/>
      <c r="BKZ36" s="836"/>
      <c r="BLA36" s="836"/>
      <c r="BLB36" s="836"/>
      <c r="BLC36" s="836"/>
      <c r="BLD36" s="836"/>
      <c r="BLE36" s="836"/>
      <c r="BLF36" s="836"/>
      <c r="BLG36" s="836"/>
      <c r="BLH36" s="836"/>
      <c r="BLI36" s="836"/>
      <c r="BLJ36" s="836"/>
      <c r="BLK36" s="836"/>
      <c r="BLL36" s="836"/>
      <c r="BLM36" s="836"/>
      <c r="BLN36" s="836"/>
      <c r="BLO36" s="836"/>
      <c r="BLP36" s="836"/>
      <c r="BLQ36" s="836"/>
      <c r="BLR36" s="836"/>
      <c r="BLS36" s="836"/>
      <c r="BLT36" s="836"/>
      <c r="BLU36" s="836"/>
      <c r="BLV36" s="836"/>
      <c r="BLW36" s="836"/>
      <c r="BLX36" s="836"/>
      <c r="BLY36" s="836"/>
      <c r="BLZ36" s="836"/>
      <c r="BMA36" s="836"/>
      <c r="BMB36" s="836"/>
      <c r="BMC36" s="836"/>
      <c r="BMD36" s="836"/>
      <c r="BME36" s="836"/>
      <c r="BMF36" s="836"/>
      <c r="BMG36" s="836"/>
      <c r="BMH36" s="836"/>
      <c r="BMI36" s="836"/>
      <c r="BMJ36" s="836"/>
      <c r="BMK36" s="836"/>
      <c r="BML36" s="836"/>
      <c r="BMM36" s="836"/>
      <c r="BMN36" s="836"/>
      <c r="BMO36" s="836"/>
      <c r="BMP36" s="836"/>
      <c r="BMQ36" s="836"/>
      <c r="BMR36" s="836"/>
      <c r="BMS36" s="836"/>
      <c r="BMT36" s="836"/>
      <c r="BMU36" s="836"/>
      <c r="BMV36" s="836"/>
      <c r="BMW36" s="836"/>
      <c r="BMX36" s="836"/>
      <c r="BMY36" s="836"/>
      <c r="BMZ36" s="836"/>
      <c r="BNA36" s="836"/>
      <c r="BNB36" s="836"/>
      <c r="BNC36" s="836"/>
      <c r="BND36" s="836"/>
      <c r="BNE36" s="836"/>
      <c r="BNF36" s="836"/>
      <c r="BNG36" s="836"/>
      <c r="BNH36" s="836"/>
      <c r="BNI36" s="836"/>
      <c r="BNJ36" s="836"/>
      <c r="BNK36" s="836"/>
      <c r="BNL36" s="836"/>
      <c r="BNM36" s="836"/>
      <c r="BNN36" s="836"/>
      <c r="BNO36" s="836"/>
      <c r="BNP36" s="836"/>
      <c r="BNQ36" s="836"/>
      <c r="BNR36" s="836"/>
      <c r="BNS36" s="836"/>
      <c r="BNT36" s="836"/>
      <c r="BNU36" s="836"/>
      <c r="BNV36" s="836"/>
      <c r="BNW36" s="836"/>
      <c r="BNX36" s="836"/>
      <c r="BNY36" s="836"/>
      <c r="BNZ36" s="836"/>
      <c r="BOA36" s="836"/>
      <c r="BOB36" s="836"/>
      <c r="BOC36" s="836"/>
      <c r="BOD36" s="836"/>
      <c r="BOE36" s="836"/>
      <c r="BOF36" s="836"/>
      <c r="BOG36" s="836"/>
      <c r="BOH36" s="836"/>
      <c r="BOI36" s="836"/>
      <c r="BOJ36" s="836"/>
      <c r="BOK36" s="836"/>
      <c r="BOL36" s="836"/>
      <c r="BOM36" s="836"/>
      <c r="BON36" s="836"/>
      <c r="BOO36" s="836"/>
      <c r="BOP36" s="836"/>
      <c r="BOQ36" s="836"/>
      <c r="BOR36" s="836"/>
      <c r="BOS36" s="836"/>
      <c r="BOT36" s="836"/>
      <c r="BOU36" s="836"/>
      <c r="BOV36" s="836"/>
      <c r="BOW36" s="836"/>
      <c r="BOX36" s="836"/>
      <c r="BOY36" s="836"/>
      <c r="BOZ36" s="836"/>
      <c r="BPA36" s="836"/>
      <c r="BPB36" s="836"/>
      <c r="BPC36" s="836"/>
      <c r="BPD36" s="836"/>
      <c r="BPE36" s="836"/>
      <c r="BPF36" s="836"/>
      <c r="BPG36" s="836"/>
      <c r="BPH36" s="836"/>
      <c r="BPI36" s="836"/>
      <c r="BPJ36" s="836"/>
      <c r="BPK36" s="836"/>
      <c r="BPL36" s="836"/>
      <c r="BPM36" s="836"/>
      <c r="BPN36" s="836"/>
      <c r="BPO36" s="836"/>
      <c r="BPP36" s="836"/>
      <c r="BPQ36" s="836"/>
      <c r="BPR36" s="836"/>
      <c r="BPS36" s="836"/>
      <c r="BPT36" s="836"/>
      <c r="BPU36" s="836"/>
      <c r="BPV36" s="836"/>
      <c r="BPW36" s="836"/>
      <c r="BPX36" s="836"/>
      <c r="BPY36" s="836"/>
      <c r="BPZ36" s="836"/>
      <c r="BQA36" s="836"/>
      <c r="BQB36" s="836"/>
      <c r="BQC36" s="836"/>
      <c r="BQD36" s="836"/>
      <c r="BQE36" s="836"/>
      <c r="BQF36" s="836"/>
      <c r="BQG36" s="836"/>
      <c r="BQH36" s="836"/>
      <c r="BQI36" s="836"/>
      <c r="BQJ36" s="836"/>
      <c r="BQK36" s="836"/>
      <c r="BQL36" s="836"/>
      <c r="BQM36" s="836"/>
      <c r="BQN36" s="836"/>
      <c r="BQO36" s="836"/>
      <c r="BQP36" s="836"/>
      <c r="BQQ36" s="836"/>
      <c r="BQR36" s="836"/>
      <c r="BQS36" s="836"/>
      <c r="BQT36" s="836"/>
      <c r="BQU36" s="836"/>
      <c r="BQV36" s="836"/>
      <c r="BQW36" s="836"/>
      <c r="BQX36" s="836"/>
      <c r="BQY36" s="836"/>
      <c r="BQZ36" s="836"/>
      <c r="BRA36" s="836"/>
      <c r="BRB36" s="836"/>
      <c r="BRC36" s="836"/>
      <c r="BRD36" s="836"/>
      <c r="BRE36" s="836"/>
      <c r="BRF36" s="836"/>
      <c r="BRG36" s="836"/>
      <c r="BRH36" s="836"/>
      <c r="BRI36" s="836"/>
      <c r="BRJ36" s="836"/>
      <c r="BRK36" s="836"/>
      <c r="BRL36" s="836"/>
      <c r="BRM36" s="836"/>
      <c r="BRN36" s="836"/>
      <c r="BRO36" s="836"/>
      <c r="BRP36" s="836"/>
      <c r="BRQ36" s="836"/>
      <c r="BRR36" s="836"/>
      <c r="BRS36" s="836"/>
      <c r="BRT36" s="836"/>
      <c r="BRU36" s="836"/>
      <c r="BRV36" s="836"/>
      <c r="BRW36" s="836"/>
      <c r="BRX36" s="836"/>
      <c r="BRY36" s="836"/>
      <c r="BRZ36" s="836"/>
      <c r="BSA36" s="836"/>
      <c r="BSB36" s="836"/>
      <c r="BSC36" s="836"/>
      <c r="BSD36" s="836"/>
      <c r="BSE36" s="836"/>
      <c r="BSF36" s="836"/>
      <c r="BSG36" s="836"/>
      <c r="BSH36" s="836"/>
      <c r="BSI36" s="836"/>
      <c r="BSJ36" s="836"/>
      <c r="BSK36" s="836"/>
      <c r="BSL36" s="836"/>
      <c r="BSM36" s="836"/>
      <c r="BSN36" s="836"/>
      <c r="BSO36" s="836"/>
      <c r="BSP36" s="836"/>
      <c r="BSQ36" s="836"/>
      <c r="BSR36" s="836"/>
      <c r="BSS36" s="836"/>
      <c r="BST36" s="836"/>
    </row>
    <row r="37" spans="1:1866" s="832" customFormat="1" ht="21.9" customHeight="1" x14ac:dyDescent="0.25">
      <c r="A37" s="836"/>
      <c r="B37" s="3177" t="s">
        <v>845</v>
      </c>
      <c r="C37" s="3178"/>
      <c r="D37" s="3159"/>
      <c r="E37" s="1439"/>
      <c r="F37" s="1439"/>
      <c r="G37" s="1439"/>
      <c r="H37" s="1439"/>
      <c r="I37" s="1439"/>
      <c r="J37" s="1439"/>
      <c r="K37" s="1439"/>
      <c r="L37" s="1439"/>
      <c r="M37" s="1439"/>
      <c r="N37" s="1439"/>
      <c r="O37" s="1439"/>
      <c r="P37" s="1439"/>
      <c r="Q37" s="1439"/>
      <c r="R37" s="1439"/>
      <c r="S37" s="1439"/>
      <c r="T37" s="1439"/>
      <c r="U37" s="1439"/>
      <c r="V37" s="1274"/>
      <c r="W37" s="835"/>
      <c r="X37" s="835"/>
      <c r="Y37" s="835"/>
      <c r="Z37" s="835"/>
      <c r="AA37" s="869"/>
      <c r="AB37" s="835"/>
      <c r="AC37" s="835"/>
      <c r="AD37" s="835"/>
      <c r="AE37" s="835"/>
      <c r="AF37" s="835"/>
      <c r="AG37" s="835"/>
      <c r="AH37" s="835"/>
      <c r="AI37" s="835"/>
      <c r="AJ37" s="835"/>
      <c r="AK37" s="835"/>
      <c r="AL37" s="835"/>
      <c r="AM37" s="836"/>
      <c r="AN37" s="836"/>
      <c r="AO37" s="836"/>
      <c r="AP37" s="836"/>
      <c r="AQ37" s="836"/>
      <c r="AR37" s="836"/>
      <c r="AS37" s="836"/>
      <c r="AT37" s="836"/>
      <c r="AU37" s="836"/>
      <c r="AV37" s="836"/>
      <c r="AW37" s="836"/>
      <c r="AX37" s="836"/>
      <c r="AY37" s="836"/>
      <c r="AZ37" s="836"/>
      <c r="BA37" s="836"/>
      <c r="BB37" s="836"/>
      <c r="BC37" s="836"/>
      <c r="BD37" s="836"/>
      <c r="BE37" s="836"/>
      <c r="BF37" s="836"/>
      <c r="BG37" s="836"/>
      <c r="BH37" s="836"/>
      <c r="BI37" s="836"/>
      <c r="BJ37" s="836"/>
      <c r="BK37" s="836"/>
      <c r="BL37" s="836"/>
      <c r="BM37" s="836"/>
      <c r="BN37" s="836"/>
      <c r="BO37" s="836"/>
      <c r="BP37" s="836"/>
      <c r="BQ37" s="836"/>
      <c r="BR37" s="836"/>
      <c r="BS37" s="836"/>
      <c r="BT37" s="836"/>
      <c r="BU37" s="836"/>
      <c r="BV37" s="836"/>
      <c r="BW37" s="836"/>
      <c r="BX37" s="836"/>
      <c r="BY37" s="836"/>
      <c r="BZ37" s="836"/>
      <c r="CA37" s="836"/>
      <c r="CB37" s="836"/>
      <c r="CC37" s="836"/>
      <c r="CD37" s="836"/>
      <c r="CE37" s="836"/>
      <c r="CF37" s="836"/>
      <c r="CG37" s="836"/>
      <c r="CH37" s="836"/>
      <c r="CI37" s="836"/>
      <c r="CJ37" s="836"/>
      <c r="CK37" s="836"/>
      <c r="CL37" s="836"/>
      <c r="CM37" s="836"/>
      <c r="CN37" s="836"/>
      <c r="CO37" s="836"/>
      <c r="CP37" s="836"/>
      <c r="CQ37" s="836"/>
      <c r="CR37" s="836"/>
      <c r="CS37" s="836"/>
      <c r="CT37" s="836"/>
      <c r="CU37" s="836"/>
      <c r="CV37" s="836"/>
      <c r="CW37" s="836"/>
      <c r="CX37" s="836"/>
      <c r="CY37" s="836"/>
      <c r="CZ37" s="836"/>
      <c r="DA37" s="836"/>
      <c r="DB37" s="836"/>
      <c r="DC37" s="836"/>
      <c r="DD37" s="836"/>
      <c r="DE37" s="836"/>
      <c r="DF37" s="836"/>
      <c r="DG37" s="836"/>
      <c r="DH37" s="836"/>
      <c r="DI37" s="836"/>
      <c r="DJ37" s="836"/>
      <c r="DK37" s="836"/>
      <c r="DL37" s="836"/>
      <c r="DM37" s="836"/>
      <c r="DN37" s="836"/>
      <c r="DO37" s="836"/>
      <c r="DP37" s="836"/>
      <c r="DQ37" s="836"/>
      <c r="DR37" s="836"/>
      <c r="DS37" s="836"/>
      <c r="DT37" s="836"/>
      <c r="DU37" s="836"/>
      <c r="DV37" s="836"/>
      <c r="DW37" s="836"/>
      <c r="DX37" s="836"/>
      <c r="DY37" s="836"/>
      <c r="DZ37" s="836"/>
      <c r="EA37" s="836"/>
      <c r="EB37" s="836"/>
      <c r="EC37" s="836"/>
      <c r="ED37" s="836"/>
      <c r="EE37" s="836"/>
      <c r="EF37" s="836"/>
      <c r="EG37" s="836"/>
      <c r="EH37" s="836"/>
      <c r="EI37" s="836"/>
      <c r="EJ37" s="836"/>
      <c r="EK37" s="836"/>
      <c r="EL37" s="836"/>
      <c r="EM37" s="836"/>
      <c r="EN37" s="836"/>
      <c r="EO37" s="836"/>
      <c r="EP37" s="836"/>
      <c r="EQ37" s="836"/>
      <c r="ER37" s="836"/>
      <c r="ES37" s="836"/>
      <c r="ET37" s="836"/>
      <c r="EU37" s="836"/>
      <c r="EV37" s="836"/>
      <c r="EW37" s="836"/>
      <c r="EX37" s="836"/>
      <c r="EY37" s="836"/>
      <c r="EZ37" s="836"/>
      <c r="FA37" s="836"/>
      <c r="FB37" s="836"/>
      <c r="FC37" s="836"/>
      <c r="FD37" s="836"/>
      <c r="FE37" s="836"/>
      <c r="FF37" s="836"/>
      <c r="FG37" s="836"/>
      <c r="FH37" s="836"/>
      <c r="FI37" s="836"/>
      <c r="FJ37" s="836"/>
      <c r="FK37" s="836"/>
      <c r="FL37" s="836"/>
      <c r="FM37" s="836"/>
      <c r="FN37" s="836"/>
      <c r="FO37" s="836"/>
      <c r="FP37" s="836"/>
      <c r="FQ37" s="836"/>
      <c r="FR37" s="836"/>
      <c r="FS37" s="836"/>
      <c r="FT37" s="836"/>
      <c r="FU37" s="836"/>
      <c r="FV37" s="836"/>
      <c r="FW37" s="836"/>
      <c r="FX37" s="836"/>
      <c r="FY37" s="836"/>
      <c r="FZ37" s="836"/>
      <c r="GA37" s="836"/>
      <c r="GB37" s="836"/>
      <c r="GC37" s="836"/>
      <c r="GD37" s="836"/>
      <c r="GE37" s="836"/>
      <c r="GF37" s="836"/>
      <c r="GG37" s="836"/>
      <c r="GH37" s="836"/>
      <c r="GI37" s="836"/>
      <c r="GJ37" s="836"/>
      <c r="GK37" s="836"/>
      <c r="GL37" s="836"/>
      <c r="GM37" s="836"/>
      <c r="GN37" s="836"/>
      <c r="GO37" s="836"/>
      <c r="GP37" s="836"/>
      <c r="GQ37" s="836"/>
      <c r="GR37" s="836"/>
      <c r="GS37" s="836"/>
      <c r="GT37" s="836"/>
      <c r="GU37" s="836"/>
      <c r="GV37" s="836"/>
      <c r="GW37" s="836"/>
      <c r="GX37" s="836"/>
      <c r="GY37" s="836"/>
      <c r="GZ37" s="836"/>
      <c r="HA37" s="836"/>
      <c r="HB37" s="836"/>
      <c r="HC37" s="836"/>
      <c r="HD37" s="836"/>
      <c r="HE37" s="836"/>
      <c r="HF37" s="836"/>
      <c r="HG37" s="836"/>
      <c r="HH37" s="836"/>
      <c r="HI37" s="836"/>
      <c r="HJ37" s="836"/>
      <c r="HK37" s="836"/>
      <c r="HL37" s="836"/>
      <c r="HM37" s="836"/>
      <c r="HN37" s="836"/>
      <c r="HO37" s="836"/>
      <c r="HP37" s="836"/>
      <c r="HQ37" s="836"/>
      <c r="HR37" s="836"/>
      <c r="HS37" s="836"/>
      <c r="HT37" s="836"/>
      <c r="HU37" s="836"/>
      <c r="HV37" s="836"/>
      <c r="HW37" s="836"/>
      <c r="HX37" s="836"/>
      <c r="HY37" s="836"/>
      <c r="HZ37" s="836"/>
      <c r="IA37" s="836"/>
      <c r="IB37" s="836"/>
      <c r="IC37" s="836"/>
      <c r="ID37" s="836"/>
      <c r="IE37" s="836"/>
      <c r="IF37" s="836"/>
      <c r="IG37" s="836"/>
      <c r="IH37" s="836"/>
      <c r="II37" s="836"/>
      <c r="IJ37" s="836"/>
      <c r="IK37" s="836"/>
      <c r="IL37" s="836"/>
      <c r="IM37" s="836"/>
      <c r="IN37" s="836"/>
      <c r="IO37" s="836"/>
      <c r="IP37" s="836"/>
      <c r="IQ37" s="836"/>
      <c r="IR37" s="836"/>
      <c r="IS37" s="836"/>
      <c r="IT37" s="836"/>
      <c r="IU37" s="836"/>
      <c r="IV37" s="836"/>
      <c r="IW37" s="836"/>
      <c r="IX37" s="836"/>
      <c r="IY37" s="836"/>
      <c r="IZ37" s="836"/>
      <c r="JA37" s="836"/>
      <c r="JB37" s="836"/>
      <c r="JC37" s="836"/>
      <c r="JD37" s="836"/>
      <c r="JE37" s="836"/>
      <c r="JF37" s="836"/>
      <c r="JG37" s="836"/>
      <c r="JH37" s="836"/>
      <c r="JI37" s="836"/>
      <c r="JJ37" s="836"/>
      <c r="JK37" s="836"/>
      <c r="JL37" s="836"/>
      <c r="JM37" s="836"/>
      <c r="JN37" s="836"/>
      <c r="JO37" s="836"/>
      <c r="JP37" s="836"/>
      <c r="JQ37" s="836"/>
      <c r="JR37" s="836"/>
      <c r="JS37" s="836"/>
      <c r="JT37" s="836"/>
      <c r="JU37" s="836"/>
      <c r="JV37" s="836"/>
      <c r="JW37" s="836"/>
      <c r="JX37" s="836"/>
      <c r="JY37" s="836"/>
      <c r="JZ37" s="836"/>
      <c r="KA37" s="836"/>
      <c r="KB37" s="836"/>
      <c r="KC37" s="836"/>
      <c r="KD37" s="836"/>
      <c r="KE37" s="836"/>
      <c r="KF37" s="836"/>
      <c r="KG37" s="836"/>
      <c r="KH37" s="836"/>
      <c r="KI37" s="836"/>
      <c r="KJ37" s="836"/>
      <c r="KK37" s="836"/>
      <c r="KL37" s="836"/>
      <c r="KM37" s="836"/>
      <c r="KN37" s="836"/>
      <c r="KO37" s="836"/>
      <c r="KP37" s="836"/>
      <c r="KQ37" s="836"/>
      <c r="KR37" s="836"/>
      <c r="KS37" s="836"/>
      <c r="KT37" s="836"/>
      <c r="KU37" s="836"/>
      <c r="KV37" s="836"/>
      <c r="KW37" s="836"/>
      <c r="KX37" s="836"/>
      <c r="KY37" s="836"/>
      <c r="KZ37" s="836"/>
      <c r="LA37" s="836"/>
      <c r="LB37" s="836"/>
      <c r="LC37" s="836"/>
      <c r="LD37" s="836"/>
      <c r="LE37" s="836"/>
      <c r="LF37" s="836"/>
      <c r="LG37" s="836"/>
      <c r="LH37" s="836"/>
      <c r="LI37" s="836"/>
      <c r="LJ37" s="836"/>
      <c r="LK37" s="836"/>
      <c r="LL37" s="836"/>
      <c r="LM37" s="836"/>
      <c r="LN37" s="836"/>
      <c r="LO37" s="836"/>
      <c r="LP37" s="836"/>
      <c r="LQ37" s="836"/>
      <c r="LR37" s="836"/>
      <c r="LS37" s="836"/>
      <c r="LT37" s="836"/>
      <c r="LU37" s="836"/>
      <c r="LV37" s="836"/>
      <c r="LW37" s="836"/>
      <c r="LX37" s="836"/>
      <c r="LY37" s="836"/>
      <c r="LZ37" s="836"/>
      <c r="MA37" s="836"/>
      <c r="MB37" s="836"/>
      <c r="MC37" s="836"/>
      <c r="MD37" s="836"/>
      <c r="ME37" s="836"/>
      <c r="MF37" s="836"/>
      <c r="MG37" s="836"/>
      <c r="MH37" s="836"/>
      <c r="MI37" s="836"/>
      <c r="MJ37" s="836"/>
      <c r="MK37" s="836"/>
      <c r="ML37" s="836"/>
      <c r="MM37" s="836"/>
      <c r="MN37" s="836"/>
      <c r="MO37" s="836"/>
      <c r="MP37" s="836"/>
      <c r="MQ37" s="836"/>
      <c r="MR37" s="836"/>
      <c r="MS37" s="836"/>
      <c r="MT37" s="836"/>
      <c r="MU37" s="836"/>
      <c r="MV37" s="836"/>
      <c r="MW37" s="836"/>
      <c r="MX37" s="836"/>
      <c r="MY37" s="836"/>
      <c r="MZ37" s="836"/>
      <c r="NA37" s="836"/>
      <c r="NB37" s="836"/>
      <c r="NC37" s="836"/>
      <c r="ND37" s="836"/>
      <c r="NE37" s="836"/>
      <c r="NF37" s="836"/>
      <c r="NG37" s="836"/>
      <c r="NH37" s="836"/>
      <c r="NI37" s="836"/>
      <c r="NJ37" s="836"/>
      <c r="NK37" s="836"/>
      <c r="NL37" s="836"/>
      <c r="NM37" s="836"/>
      <c r="NN37" s="836"/>
      <c r="NO37" s="836"/>
      <c r="NP37" s="836"/>
      <c r="NQ37" s="836"/>
      <c r="NR37" s="836"/>
      <c r="NS37" s="836"/>
      <c r="NT37" s="836"/>
      <c r="NU37" s="836"/>
      <c r="NV37" s="836"/>
      <c r="NW37" s="836"/>
      <c r="NX37" s="836"/>
      <c r="NY37" s="836"/>
      <c r="NZ37" s="836"/>
      <c r="OA37" s="836"/>
      <c r="OB37" s="836"/>
      <c r="OC37" s="836"/>
      <c r="OD37" s="836"/>
      <c r="OE37" s="836"/>
      <c r="OF37" s="836"/>
      <c r="OG37" s="836"/>
      <c r="OH37" s="836"/>
      <c r="OI37" s="836"/>
      <c r="OJ37" s="836"/>
      <c r="OK37" s="836"/>
      <c r="OL37" s="836"/>
      <c r="OM37" s="836"/>
      <c r="ON37" s="836"/>
      <c r="OO37" s="836"/>
      <c r="OP37" s="836"/>
      <c r="OQ37" s="836"/>
      <c r="OR37" s="836"/>
      <c r="OS37" s="836"/>
      <c r="OT37" s="836"/>
      <c r="OU37" s="836"/>
      <c r="OV37" s="836"/>
      <c r="OW37" s="836"/>
      <c r="OX37" s="836"/>
      <c r="OY37" s="836"/>
      <c r="OZ37" s="836"/>
      <c r="PA37" s="836"/>
      <c r="PB37" s="836"/>
      <c r="PC37" s="836"/>
      <c r="PD37" s="836"/>
      <c r="PE37" s="836"/>
      <c r="PF37" s="836"/>
      <c r="PG37" s="836"/>
      <c r="PH37" s="836"/>
      <c r="PI37" s="836"/>
      <c r="PJ37" s="836"/>
      <c r="PK37" s="836"/>
      <c r="PL37" s="836"/>
      <c r="PM37" s="836"/>
      <c r="PN37" s="836"/>
      <c r="PO37" s="836"/>
      <c r="PP37" s="836"/>
      <c r="PQ37" s="836"/>
      <c r="PR37" s="836"/>
      <c r="PS37" s="836"/>
      <c r="PT37" s="836"/>
      <c r="PU37" s="836"/>
      <c r="PV37" s="836"/>
      <c r="PW37" s="836"/>
      <c r="PX37" s="836"/>
      <c r="PY37" s="836"/>
      <c r="PZ37" s="836"/>
      <c r="QA37" s="836"/>
      <c r="QB37" s="836"/>
      <c r="QC37" s="836"/>
      <c r="QD37" s="836"/>
      <c r="QE37" s="836"/>
      <c r="QF37" s="836"/>
      <c r="QG37" s="836"/>
      <c r="QH37" s="836"/>
      <c r="QI37" s="836"/>
      <c r="QJ37" s="836"/>
      <c r="QK37" s="836"/>
      <c r="QL37" s="836"/>
      <c r="QM37" s="836"/>
      <c r="QN37" s="836"/>
      <c r="QO37" s="836"/>
      <c r="QP37" s="836"/>
      <c r="QQ37" s="836"/>
      <c r="QR37" s="836"/>
      <c r="QS37" s="836"/>
      <c r="QT37" s="836"/>
      <c r="QU37" s="836"/>
      <c r="QV37" s="836"/>
      <c r="QW37" s="836"/>
      <c r="QX37" s="836"/>
      <c r="QY37" s="836"/>
      <c r="QZ37" s="836"/>
      <c r="RA37" s="836"/>
      <c r="RB37" s="836"/>
      <c r="RC37" s="836"/>
      <c r="RD37" s="836"/>
      <c r="RE37" s="836"/>
      <c r="RF37" s="836"/>
      <c r="RG37" s="836"/>
      <c r="RH37" s="836"/>
      <c r="RI37" s="836"/>
      <c r="RJ37" s="836"/>
      <c r="RK37" s="836"/>
      <c r="RL37" s="836"/>
      <c r="RM37" s="836"/>
      <c r="RN37" s="836"/>
      <c r="RO37" s="836"/>
      <c r="RP37" s="836"/>
      <c r="RQ37" s="836"/>
      <c r="RR37" s="836"/>
      <c r="RS37" s="836"/>
      <c r="RT37" s="836"/>
      <c r="RU37" s="836"/>
      <c r="RV37" s="836"/>
      <c r="RW37" s="836"/>
      <c r="RX37" s="836"/>
      <c r="RY37" s="836"/>
      <c r="RZ37" s="836"/>
      <c r="SA37" s="836"/>
      <c r="SB37" s="836"/>
      <c r="SC37" s="836"/>
      <c r="SD37" s="836"/>
      <c r="SE37" s="836"/>
      <c r="SF37" s="836"/>
      <c r="SG37" s="836"/>
      <c r="SH37" s="836"/>
      <c r="SI37" s="836"/>
      <c r="SJ37" s="836"/>
      <c r="SK37" s="836"/>
      <c r="SL37" s="836"/>
      <c r="SM37" s="836"/>
      <c r="SN37" s="836"/>
      <c r="SO37" s="836"/>
      <c r="SP37" s="836"/>
      <c r="SQ37" s="836"/>
      <c r="SR37" s="836"/>
      <c r="SS37" s="836"/>
      <c r="ST37" s="836"/>
      <c r="SU37" s="836"/>
      <c r="SV37" s="836"/>
      <c r="SW37" s="836"/>
      <c r="SX37" s="836"/>
      <c r="SY37" s="836"/>
      <c r="SZ37" s="836"/>
      <c r="TA37" s="836"/>
      <c r="TB37" s="836"/>
      <c r="TC37" s="836"/>
      <c r="TD37" s="836"/>
      <c r="TE37" s="836"/>
      <c r="TF37" s="836"/>
      <c r="TG37" s="836"/>
      <c r="TH37" s="836"/>
      <c r="TI37" s="836"/>
      <c r="TJ37" s="836"/>
      <c r="TK37" s="836"/>
      <c r="TL37" s="836"/>
      <c r="TM37" s="836"/>
      <c r="TN37" s="836"/>
      <c r="TO37" s="836"/>
      <c r="TP37" s="836"/>
      <c r="TQ37" s="836"/>
      <c r="TR37" s="836"/>
      <c r="TS37" s="836"/>
      <c r="TT37" s="836"/>
      <c r="TU37" s="836"/>
      <c r="TV37" s="836"/>
      <c r="TW37" s="836"/>
      <c r="TX37" s="836"/>
      <c r="TY37" s="836"/>
      <c r="TZ37" s="836"/>
      <c r="UA37" s="836"/>
      <c r="UB37" s="836"/>
      <c r="UC37" s="836"/>
      <c r="UD37" s="836"/>
      <c r="UE37" s="836"/>
      <c r="UF37" s="836"/>
      <c r="UG37" s="836"/>
      <c r="UH37" s="836"/>
      <c r="UI37" s="836"/>
      <c r="UJ37" s="836"/>
      <c r="UK37" s="836"/>
      <c r="UL37" s="836"/>
      <c r="UM37" s="836"/>
      <c r="UN37" s="836"/>
      <c r="UO37" s="836"/>
      <c r="UP37" s="836"/>
      <c r="UQ37" s="836"/>
      <c r="UR37" s="836"/>
      <c r="US37" s="836"/>
      <c r="UT37" s="836"/>
      <c r="UU37" s="836"/>
      <c r="UV37" s="836"/>
      <c r="UW37" s="836"/>
      <c r="UX37" s="836"/>
      <c r="UY37" s="836"/>
      <c r="UZ37" s="836"/>
      <c r="VA37" s="836"/>
      <c r="VB37" s="836"/>
      <c r="VC37" s="836"/>
      <c r="VD37" s="836"/>
      <c r="VE37" s="836"/>
      <c r="VF37" s="836"/>
      <c r="VG37" s="836"/>
      <c r="VH37" s="836"/>
      <c r="VI37" s="836"/>
      <c r="VJ37" s="836"/>
      <c r="VK37" s="836"/>
      <c r="VL37" s="836"/>
      <c r="VM37" s="836"/>
      <c r="VN37" s="836"/>
      <c r="VO37" s="836"/>
      <c r="VP37" s="836"/>
      <c r="VQ37" s="836"/>
      <c r="VR37" s="836"/>
      <c r="VS37" s="836"/>
      <c r="VT37" s="836"/>
      <c r="VU37" s="836"/>
      <c r="VV37" s="836"/>
      <c r="VW37" s="836"/>
      <c r="VX37" s="836"/>
      <c r="VY37" s="836"/>
      <c r="VZ37" s="836"/>
      <c r="WA37" s="836"/>
      <c r="WB37" s="836"/>
      <c r="WC37" s="836"/>
      <c r="WD37" s="836"/>
      <c r="WE37" s="836"/>
      <c r="WF37" s="836"/>
      <c r="WG37" s="836"/>
      <c r="WH37" s="836"/>
      <c r="WI37" s="836"/>
      <c r="WJ37" s="836"/>
      <c r="WK37" s="836"/>
      <c r="WL37" s="836"/>
      <c r="WM37" s="836"/>
      <c r="WN37" s="836"/>
      <c r="WO37" s="836"/>
      <c r="WP37" s="836"/>
      <c r="WQ37" s="836"/>
      <c r="WR37" s="836"/>
      <c r="WS37" s="836"/>
      <c r="WT37" s="836"/>
      <c r="WU37" s="836"/>
      <c r="WV37" s="836"/>
      <c r="WW37" s="836"/>
      <c r="WX37" s="836"/>
      <c r="WY37" s="836"/>
      <c r="WZ37" s="836"/>
      <c r="XA37" s="836"/>
      <c r="XB37" s="836"/>
      <c r="XC37" s="836"/>
      <c r="XD37" s="836"/>
      <c r="XE37" s="836"/>
      <c r="XF37" s="836"/>
      <c r="XG37" s="836"/>
      <c r="XH37" s="836"/>
      <c r="XI37" s="836"/>
      <c r="XJ37" s="836"/>
      <c r="XK37" s="836"/>
      <c r="XL37" s="836"/>
      <c r="XM37" s="836"/>
      <c r="XN37" s="836"/>
      <c r="XO37" s="836"/>
      <c r="XP37" s="836"/>
      <c r="XQ37" s="836"/>
      <c r="XR37" s="836"/>
      <c r="XS37" s="836"/>
      <c r="XT37" s="836"/>
      <c r="XU37" s="836"/>
      <c r="XV37" s="836"/>
      <c r="XW37" s="836"/>
      <c r="XX37" s="836"/>
      <c r="XY37" s="836"/>
      <c r="XZ37" s="836"/>
      <c r="YA37" s="836"/>
      <c r="YB37" s="836"/>
      <c r="YC37" s="836"/>
      <c r="YD37" s="836"/>
      <c r="YE37" s="836"/>
      <c r="YF37" s="836"/>
      <c r="YG37" s="836"/>
      <c r="YH37" s="836"/>
      <c r="YI37" s="836"/>
      <c r="YJ37" s="836"/>
      <c r="YK37" s="836"/>
      <c r="YL37" s="836"/>
      <c r="YM37" s="836"/>
      <c r="YN37" s="836"/>
      <c r="YO37" s="836"/>
      <c r="YP37" s="836"/>
      <c r="YQ37" s="836"/>
      <c r="YR37" s="836"/>
      <c r="YS37" s="836"/>
      <c r="YT37" s="836"/>
      <c r="YU37" s="836"/>
      <c r="YV37" s="836"/>
      <c r="YW37" s="836"/>
      <c r="YX37" s="836"/>
      <c r="YY37" s="836"/>
      <c r="YZ37" s="836"/>
      <c r="ZA37" s="836"/>
      <c r="ZB37" s="836"/>
      <c r="ZC37" s="836"/>
      <c r="ZD37" s="836"/>
      <c r="ZE37" s="836"/>
      <c r="ZF37" s="836"/>
      <c r="ZG37" s="836"/>
      <c r="ZH37" s="836"/>
      <c r="ZI37" s="836"/>
      <c r="ZJ37" s="836"/>
      <c r="ZK37" s="836"/>
      <c r="ZL37" s="836"/>
      <c r="ZM37" s="836"/>
      <c r="ZN37" s="836"/>
      <c r="ZO37" s="836"/>
      <c r="ZP37" s="836"/>
      <c r="ZQ37" s="836"/>
      <c r="ZR37" s="836"/>
      <c r="ZS37" s="836"/>
      <c r="ZT37" s="836"/>
      <c r="ZU37" s="836"/>
      <c r="ZV37" s="836"/>
      <c r="ZW37" s="836"/>
      <c r="ZX37" s="836"/>
      <c r="ZY37" s="836"/>
      <c r="ZZ37" s="836"/>
      <c r="AAA37" s="836"/>
      <c r="AAB37" s="836"/>
      <c r="AAC37" s="836"/>
      <c r="AAD37" s="836"/>
      <c r="AAE37" s="836"/>
      <c r="AAF37" s="836"/>
      <c r="AAG37" s="836"/>
      <c r="AAH37" s="836"/>
      <c r="AAI37" s="836"/>
      <c r="AAJ37" s="836"/>
      <c r="AAK37" s="836"/>
      <c r="AAL37" s="836"/>
      <c r="AAM37" s="836"/>
      <c r="AAN37" s="836"/>
      <c r="AAO37" s="836"/>
      <c r="AAP37" s="836"/>
      <c r="AAQ37" s="836"/>
      <c r="AAR37" s="836"/>
      <c r="AAS37" s="836"/>
      <c r="AAT37" s="836"/>
      <c r="AAU37" s="836"/>
      <c r="AAV37" s="836"/>
      <c r="AAW37" s="836"/>
      <c r="AAX37" s="836"/>
      <c r="AAY37" s="836"/>
      <c r="AAZ37" s="836"/>
      <c r="ABA37" s="836"/>
      <c r="ABB37" s="836"/>
      <c r="ABC37" s="836"/>
      <c r="ABD37" s="836"/>
      <c r="ABE37" s="836"/>
      <c r="ABF37" s="836"/>
      <c r="ABG37" s="836"/>
      <c r="ABH37" s="836"/>
      <c r="ABI37" s="836"/>
      <c r="ABJ37" s="836"/>
      <c r="ABK37" s="836"/>
      <c r="ABL37" s="836"/>
      <c r="ABM37" s="836"/>
      <c r="ABN37" s="836"/>
      <c r="ABO37" s="836"/>
      <c r="ABP37" s="836"/>
      <c r="ABQ37" s="836"/>
      <c r="ABR37" s="836"/>
      <c r="ABS37" s="836"/>
      <c r="ABT37" s="836"/>
      <c r="ABU37" s="836"/>
      <c r="ABV37" s="836"/>
      <c r="ABW37" s="836"/>
      <c r="ABX37" s="836"/>
      <c r="ABY37" s="836"/>
      <c r="ABZ37" s="836"/>
      <c r="ACA37" s="836"/>
      <c r="ACB37" s="836"/>
      <c r="ACC37" s="836"/>
      <c r="ACD37" s="836"/>
      <c r="ACE37" s="836"/>
      <c r="ACF37" s="836"/>
      <c r="ACG37" s="836"/>
      <c r="ACH37" s="836"/>
      <c r="ACI37" s="836"/>
      <c r="ACJ37" s="836"/>
      <c r="ACK37" s="836"/>
      <c r="ACL37" s="836"/>
      <c r="ACM37" s="836"/>
      <c r="ACN37" s="836"/>
      <c r="ACO37" s="836"/>
      <c r="ACP37" s="836"/>
      <c r="ACQ37" s="836"/>
      <c r="ACR37" s="836"/>
      <c r="ACS37" s="836"/>
      <c r="ACT37" s="836"/>
      <c r="ACU37" s="836"/>
      <c r="ACV37" s="836"/>
      <c r="ACW37" s="836"/>
      <c r="ACX37" s="836"/>
      <c r="ACY37" s="836"/>
      <c r="ACZ37" s="836"/>
      <c r="ADA37" s="836"/>
      <c r="ADB37" s="836"/>
      <c r="ADC37" s="836"/>
      <c r="ADD37" s="836"/>
      <c r="ADE37" s="836"/>
      <c r="ADF37" s="836"/>
      <c r="ADG37" s="836"/>
      <c r="ADH37" s="836"/>
      <c r="ADI37" s="836"/>
      <c r="ADJ37" s="836"/>
      <c r="ADK37" s="836"/>
      <c r="ADL37" s="836"/>
      <c r="ADM37" s="836"/>
      <c r="ADN37" s="836"/>
      <c r="ADO37" s="836"/>
      <c r="ADP37" s="836"/>
      <c r="ADQ37" s="836"/>
      <c r="ADR37" s="836"/>
      <c r="ADS37" s="836"/>
      <c r="ADT37" s="836"/>
      <c r="ADU37" s="836"/>
      <c r="ADV37" s="836"/>
      <c r="ADW37" s="836"/>
      <c r="ADX37" s="836"/>
      <c r="ADY37" s="836"/>
      <c r="ADZ37" s="836"/>
      <c r="AEA37" s="836"/>
      <c r="AEB37" s="836"/>
      <c r="AEC37" s="836"/>
      <c r="AED37" s="836"/>
      <c r="AEE37" s="836"/>
      <c r="AEF37" s="836"/>
      <c r="AEG37" s="836"/>
      <c r="AEH37" s="836"/>
      <c r="AEI37" s="836"/>
      <c r="AEJ37" s="836"/>
      <c r="AEK37" s="836"/>
      <c r="AEL37" s="836"/>
      <c r="AEM37" s="836"/>
      <c r="AEN37" s="836"/>
      <c r="AEO37" s="836"/>
      <c r="AEP37" s="836"/>
      <c r="AEQ37" s="836"/>
      <c r="AER37" s="836"/>
      <c r="AES37" s="836"/>
      <c r="AET37" s="836"/>
      <c r="AEU37" s="836"/>
      <c r="AEV37" s="836"/>
      <c r="AEW37" s="836"/>
      <c r="AEX37" s="836"/>
      <c r="AEY37" s="836"/>
      <c r="AEZ37" s="836"/>
      <c r="AFA37" s="836"/>
      <c r="AFB37" s="836"/>
      <c r="AFC37" s="836"/>
      <c r="AFD37" s="836"/>
      <c r="AFE37" s="836"/>
      <c r="AFF37" s="836"/>
      <c r="AFG37" s="836"/>
      <c r="AFH37" s="836"/>
      <c r="AFI37" s="836"/>
      <c r="AFJ37" s="836"/>
      <c r="AFK37" s="836"/>
      <c r="AFL37" s="836"/>
      <c r="AFM37" s="836"/>
      <c r="AFN37" s="836"/>
      <c r="AFO37" s="836"/>
      <c r="AFP37" s="836"/>
      <c r="AFQ37" s="836"/>
      <c r="AFR37" s="836"/>
      <c r="AFS37" s="836"/>
      <c r="AFT37" s="836"/>
      <c r="AFU37" s="836"/>
      <c r="AFV37" s="836"/>
      <c r="AFW37" s="836"/>
      <c r="AFX37" s="836"/>
      <c r="AFY37" s="836"/>
      <c r="AFZ37" s="836"/>
      <c r="AGA37" s="836"/>
      <c r="AGB37" s="836"/>
      <c r="AGC37" s="836"/>
      <c r="AGD37" s="836"/>
      <c r="AGE37" s="836"/>
      <c r="AGF37" s="836"/>
      <c r="AGG37" s="836"/>
      <c r="AGH37" s="836"/>
      <c r="AGI37" s="836"/>
      <c r="AGJ37" s="836"/>
      <c r="AGK37" s="836"/>
      <c r="AGL37" s="836"/>
      <c r="AGM37" s="836"/>
      <c r="AGN37" s="836"/>
      <c r="AGO37" s="836"/>
      <c r="AGP37" s="836"/>
      <c r="AGQ37" s="836"/>
      <c r="AGR37" s="836"/>
      <c r="AGS37" s="836"/>
      <c r="AGT37" s="836"/>
      <c r="AGU37" s="836"/>
      <c r="AGV37" s="836"/>
      <c r="AGW37" s="836"/>
      <c r="AGX37" s="836"/>
      <c r="AGY37" s="836"/>
      <c r="AGZ37" s="836"/>
      <c r="AHA37" s="836"/>
      <c r="AHB37" s="836"/>
      <c r="AHC37" s="836"/>
      <c r="AHD37" s="836"/>
      <c r="AHE37" s="836"/>
      <c r="AHF37" s="836"/>
      <c r="AHG37" s="836"/>
      <c r="AHH37" s="836"/>
      <c r="AHI37" s="836"/>
      <c r="AHJ37" s="836"/>
      <c r="AHK37" s="836"/>
      <c r="AHL37" s="836"/>
      <c r="AHM37" s="836"/>
      <c r="AHN37" s="836"/>
      <c r="AHO37" s="836"/>
      <c r="AHP37" s="836"/>
      <c r="AHQ37" s="836"/>
      <c r="AHR37" s="836"/>
      <c r="AHS37" s="836"/>
      <c r="AHT37" s="836"/>
      <c r="AHU37" s="836"/>
      <c r="AHV37" s="836"/>
      <c r="AHW37" s="836"/>
      <c r="AHX37" s="836"/>
      <c r="AHY37" s="836"/>
      <c r="AHZ37" s="836"/>
      <c r="AIA37" s="836"/>
      <c r="AIB37" s="836"/>
      <c r="AIC37" s="836"/>
      <c r="AID37" s="836"/>
      <c r="AIE37" s="836"/>
      <c r="AIF37" s="836"/>
      <c r="AIG37" s="836"/>
      <c r="AIH37" s="836"/>
      <c r="AII37" s="836"/>
      <c r="AIJ37" s="836"/>
      <c r="AIK37" s="836"/>
      <c r="AIL37" s="836"/>
      <c r="AIM37" s="836"/>
      <c r="AIN37" s="836"/>
      <c r="AIO37" s="836"/>
      <c r="AIP37" s="836"/>
      <c r="AIQ37" s="836"/>
      <c r="AIR37" s="836"/>
      <c r="AIS37" s="836"/>
      <c r="AIT37" s="836"/>
      <c r="AIU37" s="836"/>
      <c r="AIV37" s="836"/>
      <c r="AIW37" s="836"/>
      <c r="AIX37" s="836"/>
      <c r="AIY37" s="836"/>
      <c r="AIZ37" s="836"/>
      <c r="AJA37" s="836"/>
      <c r="AJB37" s="836"/>
      <c r="AJC37" s="836"/>
      <c r="AJD37" s="836"/>
      <c r="AJE37" s="836"/>
      <c r="AJF37" s="836"/>
      <c r="AJG37" s="836"/>
      <c r="AJH37" s="836"/>
      <c r="AJI37" s="836"/>
      <c r="AJJ37" s="836"/>
      <c r="AJK37" s="836"/>
      <c r="AJL37" s="836"/>
      <c r="AJM37" s="836"/>
      <c r="AJN37" s="836"/>
      <c r="AJO37" s="836"/>
      <c r="AJP37" s="836"/>
      <c r="AJQ37" s="836"/>
      <c r="AJR37" s="836"/>
      <c r="AJS37" s="836"/>
      <c r="AJT37" s="836"/>
      <c r="AJU37" s="836"/>
      <c r="AJV37" s="836"/>
      <c r="AJW37" s="836"/>
      <c r="AJX37" s="836"/>
      <c r="AJY37" s="836"/>
      <c r="AJZ37" s="836"/>
      <c r="AKA37" s="836"/>
      <c r="AKB37" s="836"/>
      <c r="AKC37" s="836"/>
      <c r="AKD37" s="836"/>
      <c r="AKE37" s="836"/>
      <c r="AKF37" s="836"/>
      <c r="AKG37" s="836"/>
      <c r="AKH37" s="836"/>
      <c r="AKI37" s="836"/>
      <c r="AKJ37" s="836"/>
      <c r="AKK37" s="836"/>
      <c r="AKL37" s="836"/>
      <c r="AKM37" s="836"/>
      <c r="AKN37" s="836"/>
      <c r="AKO37" s="836"/>
      <c r="AKP37" s="836"/>
      <c r="AKQ37" s="836"/>
      <c r="AKR37" s="836"/>
      <c r="AKS37" s="836"/>
      <c r="AKT37" s="836"/>
      <c r="AKU37" s="836"/>
      <c r="AKV37" s="836"/>
      <c r="AKW37" s="836"/>
      <c r="AKX37" s="836"/>
      <c r="AKY37" s="836"/>
      <c r="AKZ37" s="836"/>
      <c r="ALA37" s="836"/>
      <c r="ALB37" s="836"/>
      <c r="ALC37" s="836"/>
      <c r="ALD37" s="836"/>
      <c r="ALE37" s="836"/>
      <c r="ALF37" s="836"/>
      <c r="ALG37" s="836"/>
      <c r="ALH37" s="836"/>
      <c r="ALI37" s="836"/>
      <c r="ALJ37" s="836"/>
      <c r="ALK37" s="836"/>
      <c r="ALL37" s="836"/>
      <c r="ALM37" s="836"/>
      <c r="ALN37" s="836"/>
      <c r="ALO37" s="836"/>
      <c r="ALP37" s="836"/>
      <c r="ALQ37" s="836"/>
      <c r="ALR37" s="836"/>
      <c r="ALS37" s="836"/>
      <c r="ALT37" s="836"/>
      <c r="ALU37" s="836"/>
      <c r="ALV37" s="836"/>
      <c r="ALW37" s="836"/>
      <c r="ALX37" s="836"/>
      <c r="ALY37" s="836"/>
      <c r="ALZ37" s="836"/>
      <c r="AMA37" s="836"/>
      <c r="AMB37" s="836"/>
      <c r="AMC37" s="836"/>
      <c r="AMD37" s="836"/>
      <c r="AME37" s="836"/>
      <c r="AMF37" s="836"/>
      <c r="AMG37" s="836"/>
      <c r="AMH37" s="836"/>
      <c r="AMI37" s="836"/>
      <c r="AMJ37" s="836"/>
      <c r="AMK37" s="836"/>
      <c r="AML37" s="836"/>
      <c r="AMM37" s="836"/>
      <c r="AMN37" s="836"/>
      <c r="AMO37" s="836"/>
      <c r="AMP37" s="836"/>
      <c r="AMQ37" s="836"/>
      <c r="AMR37" s="836"/>
      <c r="AMS37" s="836"/>
      <c r="AMT37" s="836"/>
      <c r="AMU37" s="836"/>
      <c r="AMV37" s="836"/>
      <c r="AMW37" s="836"/>
      <c r="AMX37" s="836"/>
      <c r="AMY37" s="836"/>
      <c r="AMZ37" s="836"/>
      <c r="ANA37" s="836"/>
      <c r="ANB37" s="836"/>
      <c r="ANC37" s="836"/>
      <c r="AND37" s="836"/>
      <c r="ANE37" s="836"/>
      <c r="ANF37" s="836"/>
      <c r="ANG37" s="836"/>
      <c r="ANH37" s="836"/>
      <c r="ANI37" s="836"/>
      <c r="ANJ37" s="836"/>
      <c r="ANK37" s="836"/>
      <c r="ANL37" s="836"/>
      <c r="ANM37" s="836"/>
      <c r="ANN37" s="836"/>
      <c r="ANO37" s="836"/>
      <c r="ANP37" s="836"/>
      <c r="ANQ37" s="836"/>
      <c r="ANR37" s="836"/>
      <c r="ANS37" s="836"/>
      <c r="ANT37" s="836"/>
      <c r="ANU37" s="836"/>
      <c r="ANV37" s="836"/>
      <c r="ANW37" s="836"/>
      <c r="ANX37" s="836"/>
      <c r="ANY37" s="836"/>
      <c r="ANZ37" s="836"/>
      <c r="AOA37" s="836"/>
      <c r="AOB37" s="836"/>
      <c r="AOC37" s="836"/>
      <c r="AOD37" s="836"/>
      <c r="AOE37" s="836"/>
      <c r="AOF37" s="836"/>
      <c r="AOG37" s="836"/>
      <c r="AOH37" s="836"/>
      <c r="AOI37" s="836"/>
      <c r="AOJ37" s="836"/>
      <c r="AOK37" s="836"/>
      <c r="AOL37" s="836"/>
      <c r="AOM37" s="836"/>
      <c r="AON37" s="836"/>
      <c r="AOO37" s="836"/>
      <c r="AOP37" s="836"/>
      <c r="AOQ37" s="836"/>
      <c r="AOR37" s="836"/>
      <c r="AOS37" s="836"/>
      <c r="AOT37" s="836"/>
      <c r="AOU37" s="836"/>
      <c r="AOV37" s="836"/>
      <c r="AOW37" s="836"/>
      <c r="AOX37" s="836"/>
      <c r="AOY37" s="836"/>
      <c r="AOZ37" s="836"/>
      <c r="APA37" s="836"/>
      <c r="APB37" s="836"/>
      <c r="APC37" s="836"/>
      <c r="APD37" s="836"/>
      <c r="APE37" s="836"/>
      <c r="APF37" s="836"/>
      <c r="APG37" s="836"/>
      <c r="APH37" s="836"/>
      <c r="API37" s="836"/>
      <c r="APJ37" s="836"/>
      <c r="APK37" s="836"/>
      <c r="APL37" s="836"/>
      <c r="APM37" s="836"/>
      <c r="APN37" s="836"/>
      <c r="APO37" s="836"/>
      <c r="APP37" s="836"/>
      <c r="APQ37" s="836"/>
      <c r="APR37" s="836"/>
      <c r="APS37" s="836"/>
      <c r="APT37" s="836"/>
      <c r="APU37" s="836"/>
      <c r="APV37" s="836"/>
      <c r="APW37" s="836"/>
      <c r="APX37" s="836"/>
      <c r="APY37" s="836"/>
      <c r="APZ37" s="836"/>
      <c r="AQA37" s="836"/>
      <c r="AQB37" s="836"/>
      <c r="AQC37" s="836"/>
      <c r="AQD37" s="836"/>
      <c r="AQE37" s="836"/>
      <c r="AQF37" s="836"/>
      <c r="AQG37" s="836"/>
      <c r="AQH37" s="836"/>
      <c r="AQI37" s="836"/>
      <c r="AQJ37" s="836"/>
      <c r="AQK37" s="836"/>
      <c r="AQL37" s="836"/>
      <c r="AQM37" s="836"/>
      <c r="AQN37" s="836"/>
      <c r="AQO37" s="836"/>
      <c r="AQP37" s="836"/>
      <c r="AQQ37" s="836"/>
      <c r="AQR37" s="836"/>
      <c r="AQS37" s="836"/>
      <c r="AQT37" s="836"/>
      <c r="AQU37" s="836"/>
      <c r="AQV37" s="836"/>
      <c r="AQW37" s="836"/>
      <c r="AQX37" s="836"/>
      <c r="AQY37" s="836"/>
      <c r="AQZ37" s="836"/>
      <c r="ARA37" s="836"/>
      <c r="ARB37" s="836"/>
      <c r="ARC37" s="836"/>
      <c r="ARD37" s="836"/>
      <c r="ARE37" s="836"/>
      <c r="ARF37" s="836"/>
      <c r="ARG37" s="836"/>
      <c r="ARH37" s="836"/>
      <c r="ARI37" s="836"/>
      <c r="ARJ37" s="836"/>
      <c r="ARK37" s="836"/>
      <c r="ARL37" s="836"/>
      <c r="ARM37" s="836"/>
      <c r="ARN37" s="836"/>
      <c r="ARO37" s="836"/>
      <c r="ARP37" s="836"/>
      <c r="ARQ37" s="836"/>
      <c r="ARR37" s="836"/>
      <c r="ARS37" s="836"/>
      <c r="ART37" s="836"/>
      <c r="ARU37" s="836"/>
      <c r="ARV37" s="836"/>
      <c r="ARW37" s="836"/>
      <c r="ARX37" s="836"/>
      <c r="ARY37" s="836"/>
      <c r="ARZ37" s="836"/>
      <c r="ASA37" s="836"/>
      <c r="ASB37" s="836"/>
      <c r="ASC37" s="836"/>
      <c r="ASD37" s="836"/>
      <c r="ASE37" s="836"/>
      <c r="ASF37" s="836"/>
      <c r="ASG37" s="836"/>
      <c r="ASH37" s="836"/>
      <c r="ASI37" s="836"/>
      <c r="ASJ37" s="836"/>
      <c r="ASK37" s="836"/>
      <c r="ASL37" s="836"/>
      <c r="ASM37" s="836"/>
      <c r="ASN37" s="836"/>
      <c r="ASO37" s="836"/>
      <c r="ASP37" s="836"/>
      <c r="ASQ37" s="836"/>
      <c r="ASR37" s="836"/>
      <c r="ASS37" s="836"/>
      <c r="AST37" s="836"/>
      <c r="ASU37" s="836"/>
      <c r="ASV37" s="836"/>
      <c r="ASW37" s="836"/>
      <c r="ASX37" s="836"/>
      <c r="ASY37" s="836"/>
      <c r="ASZ37" s="836"/>
      <c r="ATA37" s="836"/>
      <c r="ATB37" s="836"/>
      <c r="ATC37" s="836"/>
      <c r="ATD37" s="836"/>
      <c r="ATE37" s="836"/>
      <c r="ATF37" s="836"/>
      <c r="ATG37" s="836"/>
      <c r="ATH37" s="836"/>
      <c r="ATI37" s="836"/>
      <c r="ATJ37" s="836"/>
      <c r="ATK37" s="836"/>
      <c r="ATL37" s="836"/>
      <c r="ATM37" s="836"/>
      <c r="ATN37" s="836"/>
      <c r="ATO37" s="836"/>
      <c r="ATP37" s="836"/>
      <c r="ATQ37" s="836"/>
      <c r="ATR37" s="836"/>
      <c r="ATS37" s="836"/>
      <c r="ATT37" s="836"/>
      <c r="ATU37" s="836"/>
      <c r="ATV37" s="836"/>
      <c r="ATW37" s="836"/>
      <c r="ATX37" s="836"/>
      <c r="ATY37" s="836"/>
      <c r="ATZ37" s="836"/>
      <c r="AUA37" s="836"/>
      <c r="AUB37" s="836"/>
      <c r="AUC37" s="836"/>
      <c r="AUD37" s="836"/>
      <c r="AUE37" s="836"/>
      <c r="AUF37" s="836"/>
      <c r="AUG37" s="836"/>
      <c r="AUH37" s="836"/>
      <c r="AUI37" s="836"/>
      <c r="AUJ37" s="836"/>
      <c r="AUK37" s="836"/>
      <c r="AUL37" s="836"/>
      <c r="AUM37" s="836"/>
      <c r="AUN37" s="836"/>
      <c r="AUO37" s="836"/>
      <c r="AUP37" s="836"/>
      <c r="AUQ37" s="836"/>
      <c r="AUR37" s="836"/>
      <c r="AUS37" s="836"/>
      <c r="AUT37" s="836"/>
      <c r="AUU37" s="836"/>
      <c r="AUV37" s="836"/>
      <c r="AUW37" s="836"/>
      <c r="AUX37" s="836"/>
      <c r="AUY37" s="836"/>
      <c r="AUZ37" s="836"/>
      <c r="AVA37" s="836"/>
      <c r="AVB37" s="836"/>
      <c r="AVC37" s="836"/>
      <c r="AVD37" s="836"/>
      <c r="AVE37" s="836"/>
      <c r="AVF37" s="836"/>
      <c r="AVG37" s="836"/>
      <c r="AVH37" s="836"/>
      <c r="AVI37" s="836"/>
      <c r="AVJ37" s="836"/>
      <c r="AVK37" s="836"/>
      <c r="AVL37" s="836"/>
      <c r="AVM37" s="836"/>
      <c r="AVN37" s="836"/>
      <c r="AVO37" s="836"/>
      <c r="AVP37" s="836"/>
      <c r="AVQ37" s="836"/>
      <c r="AVR37" s="836"/>
      <c r="AVS37" s="836"/>
      <c r="AVT37" s="836"/>
      <c r="AVU37" s="836"/>
      <c r="AVV37" s="836"/>
      <c r="AVW37" s="836"/>
      <c r="AVX37" s="836"/>
      <c r="AVY37" s="836"/>
      <c r="AVZ37" s="836"/>
      <c r="AWA37" s="836"/>
      <c r="AWB37" s="836"/>
      <c r="AWC37" s="836"/>
      <c r="AWD37" s="836"/>
      <c r="AWE37" s="836"/>
      <c r="AWF37" s="836"/>
      <c r="AWG37" s="836"/>
      <c r="AWH37" s="836"/>
      <c r="AWI37" s="836"/>
      <c r="AWJ37" s="836"/>
      <c r="AWK37" s="836"/>
      <c r="AWL37" s="836"/>
      <c r="AWM37" s="836"/>
      <c r="AWN37" s="836"/>
      <c r="AWO37" s="836"/>
      <c r="AWP37" s="836"/>
      <c r="AWQ37" s="836"/>
      <c r="AWR37" s="836"/>
      <c r="AWS37" s="836"/>
      <c r="AWT37" s="836"/>
      <c r="AWU37" s="836"/>
      <c r="AWV37" s="836"/>
      <c r="AWW37" s="836"/>
      <c r="AWX37" s="836"/>
      <c r="AWY37" s="836"/>
      <c r="AWZ37" s="836"/>
      <c r="AXA37" s="836"/>
      <c r="AXB37" s="836"/>
      <c r="AXC37" s="836"/>
      <c r="AXD37" s="836"/>
      <c r="AXE37" s="836"/>
      <c r="AXF37" s="836"/>
      <c r="AXG37" s="836"/>
      <c r="AXH37" s="836"/>
      <c r="AXI37" s="836"/>
      <c r="AXJ37" s="836"/>
      <c r="AXK37" s="836"/>
      <c r="AXL37" s="836"/>
      <c r="AXM37" s="836"/>
      <c r="AXN37" s="836"/>
      <c r="AXO37" s="836"/>
      <c r="AXP37" s="836"/>
      <c r="AXQ37" s="836"/>
      <c r="AXR37" s="836"/>
      <c r="AXS37" s="836"/>
      <c r="AXT37" s="836"/>
      <c r="AXU37" s="836"/>
      <c r="AXV37" s="836"/>
      <c r="AXW37" s="836"/>
      <c r="AXX37" s="836"/>
      <c r="AXY37" s="836"/>
      <c r="AXZ37" s="836"/>
      <c r="AYA37" s="836"/>
      <c r="AYB37" s="836"/>
      <c r="AYC37" s="836"/>
      <c r="AYD37" s="836"/>
      <c r="AYE37" s="836"/>
      <c r="AYF37" s="836"/>
      <c r="AYG37" s="836"/>
      <c r="AYH37" s="836"/>
      <c r="AYI37" s="836"/>
      <c r="AYJ37" s="836"/>
      <c r="AYK37" s="836"/>
      <c r="AYL37" s="836"/>
      <c r="AYM37" s="836"/>
      <c r="AYN37" s="836"/>
      <c r="AYO37" s="836"/>
      <c r="AYP37" s="836"/>
      <c r="AYQ37" s="836"/>
      <c r="AYR37" s="836"/>
      <c r="AYS37" s="836"/>
      <c r="AYT37" s="836"/>
      <c r="AYU37" s="836"/>
      <c r="AYV37" s="836"/>
      <c r="AYW37" s="836"/>
      <c r="AYX37" s="836"/>
      <c r="AYY37" s="836"/>
      <c r="AYZ37" s="836"/>
      <c r="AZA37" s="836"/>
      <c r="AZB37" s="836"/>
      <c r="AZC37" s="836"/>
      <c r="AZD37" s="836"/>
      <c r="AZE37" s="836"/>
      <c r="AZF37" s="836"/>
      <c r="AZG37" s="836"/>
      <c r="AZH37" s="836"/>
      <c r="AZI37" s="836"/>
      <c r="AZJ37" s="836"/>
      <c r="AZK37" s="836"/>
      <c r="AZL37" s="836"/>
      <c r="AZM37" s="836"/>
      <c r="AZN37" s="836"/>
      <c r="AZO37" s="836"/>
      <c r="AZP37" s="836"/>
      <c r="AZQ37" s="836"/>
      <c r="AZR37" s="836"/>
      <c r="AZS37" s="836"/>
      <c r="AZT37" s="836"/>
      <c r="AZU37" s="836"/>
      <c r="AZV37" s="836"/>
      <c r="AZW37" s="836"/>
      <c r="AZX37" s="836"/>
      <c r="AZY37" s="836"/>
      <c r="AZZ37" s="836"/>
      <c r="BAA37" s="836"/>
      <c r="BAB37" s="836"/>
      <c r="BAC37" s="836"/>
      <c r="BAD37" s="836"/>
      <c r="BAE37" s="836"/>
      <c r="BAF37" s="836"/>
      <c r="BAG37" s="836"/>
      <c r="BAH37" s="836"/>
      <c r="BAI37" s="836"/>
      <c r="BAJ37" s="836"/>
      <c r="BAK37" s="836"/>
      <c r="BAL37" s="836"/>
      <c r="BAM37" s="836"/>
      <c r="BAN37" s="836"/>
      <c r="BAO37" s="836"/>
      <c r="BAP37" s="836"/>
      <c r="BAQ37" s="836"/>
      <c r="BAR37" s="836"/>
      <c r="BAS37" s="836"/>
      <c r="BAT37" s="836"/>
      <c r="BAU37" s="836"/>
      <c r="BAV37" s="836"/>
      <c r="BAW37" s="836"/>
      <c r="BAX37" s="836"/>
      <c r="BAY37" s="836"/>
      <c r="BAZ37" s="836"/>
      <c r="BBA37" s="836"/>
      <c r="BBB37" s="836"/>
      <c r="BBC37" s="836"/>
      <c r="BBD37" s="836"/>
      <c r="BBE37" s="836"/>
      <c r="BBF37" s="836"/>
      <c r="BBG37" s="836"/>
      <c r="BBH37" s="836"/>
      <c r="BBI37" s="836"/>
      <c r="BBJ37" s="836"/>
      <c r="BBK37" s="836"/>
      <c r="BBL37" s="836"/>
      <c r="BBM37" s="836"/>
      <c r="BBN37" s="836"/>
      <c r="BBO37" s="836"/>
      <c r="BBP37" s="836"/>
      <c r="BBQ37" s="836"/>
      <c r="BBR37" s="836"/>
      <c r="BBS37" s="836"/>
      <c r="BBT37" s="836"/>
      <c r="BBU37" s="836"/>
      <c r="BBV37" s="836"/>
      <c r="BBW37" s="836"/>
      <c r="BBX37" s="836"/>
      <c r="BBY37" s="836"/>
      <c r="BBZ37" s="836"/>
      <c r="BCA37" s="836"/>
      <c r="BCB37" s="836"/>
      <c r="BCC37" s="836"/>
      <c r="BCD37" s="836"/>
      <c r="BCE37" s="836"/>
      <c r="BCF37" s="836"/>
      <c r="BCG37" s="836"/>
      <c r="BCH37" s="836"/>
      <c r="BCI37" s="836"/>
      <c r="BCJ37" s="836"/>
      <c r="BCK37" s="836"/>
      <c r="BCL37" s="836"/>
      <c r="BCM37" s="836"/>
      <c r="BCN37" s="836"/>
      <c r="BCO37" s="836"/>
      <c r="BCP37" s="836"/>
      <c r="BCQ37" s="836"/>
      <c r="BCR37" s="836"/>
      <c r="BCS37" s="836"/>
      <c r="BCT37" s="836"/>
      <c r="BCU37" s="836"/>
      <c r="BCV37" s="836"/>
      <c r="BCW37" s="836"/>
      <c r="BCX37" s="836"/>
      <c r="BCY37" s="836"/>
      <c r="BCZ37" s="836"/>
      <c r="BDA37" s="836"/>
      <c r="BDB37" s="836"/>
      <c r="BDC37" s="836"/>
      <c r="BDD37" s="836"/>
      <c r="BDE37" s="836"/>
      <c r="BDF37" s="836"/>
      <c r="BDG37" s="836"/>
      <c r="BDH37" s="836"/>
      <c r="BDI37" s="836"/>
      <c r="BDJ37" s="836"/>
      <c r="BDK37" s="836"/>
      <c r="BDL37" s="836"/>
      <c r="BDM37" s="836"/>
      <c r="BDN37" s="836"/>
      <c r="BDO37" s="836"/>
      <c r="BDP37" s="836"/>
      <c r="BDQ37" s="836"/>
      <c r="BDR37" s="836"/>
      <c r="BDS37" s="836"/>
      <c r="BDT37" s="836"/>
      <c r="BDU37" s="836"/>
      <c r="BDV37" s="836"/>
      <c r="BDW37" s="836"/>
      <c r="BDX37" s="836"/>
      <c r="BDY37" s="836"/>
      <c r="BDZ37" s="836"/>
      <c r="BEA37" s="836"/>
      <c r="BEB37" s="836"/>
      <c r="BEC37" s="836"/>
      <c r="BED37" s="836"/>
      <c r="BEE37" s="836"/>
      <c r="BEF37" s="836"/>
      <c r="BEG37" s="836"/>
      <c r="BEH37" s="836"/>
      <c r="BEI37" s="836"/>
      <c r="BEJ37" s="836"/>
      <c r="BEK37" s="836"/>
      <c r="BEL37" s="836"/>
      <c r="BEM37" s="836"/>
      <c r="BEN37" s="836"/>
      <c r="BEO37" s="836"/>
      <c r="BEP37" s="836"/>
      <c r="BEQ37" s="836"/>
      <c r="BER37" s="836"/>
      <c r="BES37" s="836"/>
      <c r="BET37" s="836"/>
      <c r="BEU37" s="836"/>
      <c r="BEV37" s="836"/>
      <c r="BEW37" s="836"/>
      <c r="BEX37" s="836"/>
      <c r="BEY37" s="836"/>
      <c r="BEZ37" s="836"/>
      <c r="BFA37" s="836"/>
      <c r="BFB37" s="836"/>
      <c r="BFC37" s="836"/>
      <c r="BFD37" s="836"/>
      <c r="BFE37" s="836"/>
      <c r="BFF37" s="836"/>
      <c r="BFG37" s="836"/>
      <c r="BFH37" s="836"/>
      <c r="BFI37" s="836"/>
      <c r="BFJ37" s="836"/>
      <c r="BFK37" s="836"/>
      <c r="BFL37" s="836"/>
      <c r="BFM37" s="836"/>
      <c r="BFN37" s="836"/>
      <c r="BFO37" s="836"/>
      <c r="BFP37" s="836"/>
      <c r="BFQ37" s="836"/>
      <c r="BFR37" s="836"/>
      <c r="BFS37" s="836"/>
      <c r="BFT37" s="836"/>
      <c r="BFU37" s="836"/>
      <c r="BFV37" s="836"/>
      <c r="BFW37" s="836"/>
      <c r="BFX37" s="836"/>
      <c r="BFY37" s="836"/>
      <c r="BFZ37" s="836"/>
      <c r="BGA37" s="836"/>
      <c r="BGB37" s="836"/>
      <c r="BGC37" s="836"/>
      <c r="BGD37" s="836"/>
      <c r="BGE37" s="836"/>
      <c r="BGF37" s="836"/>
      <c r="BGG37" s="836"/>
      <c r="BGH37" s="836"/>
      <c r="BGI37" s="836"/>
      <c r="BGJ37" s="836"/>
      <c r="BGK37" s="836"/>
      <c r="BGL37" s="836"/>
      <c r="BGM37" s="836"/>
      <c r="BGN37" s="836"/>
      <c r="BGO37" s="836"/>
      <c r="BGP37" s="836"/>
      <c r="BGQ37" s="836"/>
      <c r="BGR37" s="836"/>
      <c r="BGS37" s="836"/>
      <c r="BGT37" s="836"/>
      <c r="BGU37" s="836"/>
      <c r="BGV37" s="836"/>
      <c r="BGW37" s="836"/>
      <c r="BGX37" s="836"/>
      <c r="BGY37" s="836"/>
      <c r="BGZ37" s="836"/>
      <c r="BHA37" s="836"/>
      <c r="BHB37" s="836"/>
      <c r="BHC37" s="836"/>
      <c r="BHD37" s="836"/>
      <c r="BHE37" s="836"/>
      <c r="BHF37" s="836"/>
      <c r="BHG37" s="836"/>
      <c r="BHH37" s="836"/>
      <c r="BHI37" s="836"/>
      <c r="BHJ37" s="836"/>
      <c r="BHK37" s="836"/>
      <c r="BHL37" s="836"/>
      <c r="BHM37" s="836"/>
      <c r="BHN37" s="836"/>
      <c r="BHO37" s="836"/>
      <c r="BHP37" s="836"/>
      <c r="BHQ37" s="836"/>
      <c r="BHR37" s="836"/>
      <c r="BHS37" s="836"/>
      <c r="BHT37" s="836"/>
      <c r="BHU37" s="836"/>
      <c r="BHV37" s="836"/>
      <c r="BHW37" s="836"/>
      <c r="BHX37" s="836"/>
      <c r="BHY37" s="836"/>
      <c r="BHZ37" s="836"/>
      <c r="BIA37" s="836"/>
      <c r="BIB37" s="836"/>
      <c r="BIC37" s="836"/>
      <c r="BID37" s="836"/>
      <c r="BIE37" s="836"/>
      <c r="BIF37" s="836"/>
      <c r="BIG37" s="836"/>
      <c r="BIH37" s="836"/>
      <c r="BII37" s="836"/>
      <c r="BIJ37" s="836"/>
      <c r="BIK37" s="836"/>
      <c r="BIL37" s="836"/>
      <c r="BIM37" s="836"/>
      <c r="BIN37" s="836"/>
      <c r="BIO37" s="836"/>
      <c r="BIP37" s="836"/>
      <c r="BIQ37" s="836"/>
      <c r="BIR37" s="836"/>
      <c r="BIS37" s="836"/>
      <c r="BIT37" s="836"/>
      <c r="BIU37" s="836"/>
      <c r="BIV37" s="836"/>
      <c r="BIW37" s="836"/>
      <c r="BIX37" s="836"/>
      <c r="BIY37" s="836"/>
      <c r="BIZ37" s="836"/>
      <c r="BJA37" s="836"/>
      <c r="BJB37" s="836"/>
      <c r="BJC37" s="836"/>
      <c r="BJD37" s="836"/>
      <c r="BJE37" s="836"/>
      <c r="BJF37" s="836"/>
      <c r="BJG37" s="836"/>
      <c r="BJH37" s="836"/>
      <c r="BJI37" s="836"/>
      <c r="BJJ37" s="836"/>
      <c r="BJK37" s="836"/>
      <c r="BJL37" s="836"/>
      <c r="BJM37" s="836"/>
      <c r="BJN37" s="836"/>
      <c r="BJO37" s="836"/>
      <c r="BJP37" s="836"/>
      <c r="BJQ37" s="836"/>
      <c r="BJR37" s="836"/>
      <c r="BJS37" s="836"/>
      <c r="BJT37" s="836"/>
      <c r="BJU37" s="836"/>
      <c r="BJV37" s="836"/>
      <c r="BJW37" s="836"/>
      <c r="BJX37" s="836"/>
      <c r="BJY37" s="836"/>
      <c r="BJZ37" s="836"/>
      <c r="BKA37" s="836"/>
      <c r="BKB37" s="836"/>
      <c r="BKC37" s="836"/>
      <c r="BKD37" s="836"/>
      <c r="BKE37" s="836"/>
      <c r="BKF37" s="836"/>
      <c r="BKG37" s="836"/>
      <c r="BKH37" s="836"/>
      <c r="BKI37" s="836"/>
      <c r="BKJ37" s="836"/>
      <c r="BKK37" s="836"/>
      <c r="BKL37" s="836"/>
      <c r="BKM37" s="836"/>
      <c r="BKN37" s="836"/>
      <c r="BKO37" s="836"/>
      <c r="BKP37" s="836"/>
      <c r="BKQ37" s="836"/>
      <c r="BKR37" s="836"/>
      <c r="BKS37" s="836"/>
      <c r="BKT37" s="836"/>
      <c r="BKU37" s="836"/>
      <c r="BKV37" s="836"/>
      <c r="BKW37" s="836"/>
      <c r="BKX37" s="836"/>
      <c r="BKY37" s="836"/>
      <c r="BKZ37" s="836"/>
      <c r="BLA37" s="836"/>
      <c r="BLB37" s="836"/>
      <c r="BLC37" s="836"/>
      <c r="BLD37" s="836"/>
      <c r="BLE37" s="836"/>
      <c r="BLF37" s="836"/>
      <c r="BLG37" s="836"/>
      <c r="BLH37" s="836"/>
      <c r="BLI37" s="836"/>
      <c r="BLJ37" s="836"/>
      <c r="BLK37" s="836"/>
      <c r="BLL37" s="836"/>
      <c r="BLM37" s="836"/>
      <c r="BLN37" s="836"/>
      <c r="BLO37" s="836"/>
      <c r="BLP37" s="836"/>
      <c r="BLQ37" s="836"/>
      <c r="BLR37" s="836"/>
      <c r="BLS37" s="836"/>
      <c r="BLT37" s="836"/>
      <c r="BLU37" s="836"/>
      <c r="BLV37" s="836"/>
      <c r="BLW37" s="836"/>
      <c r="BLX37" s="836"/>
      <c r="BLY37" s="836"/>
      <c r="BLZ37" s="836"/>
      <c r="BMA37" s="836"/>
      <c r="BMB37" s="836"/>
      <c r="BMC37" s="836"/>
      <c r="BMD37" s="836"/>
      <c r="BME37" s="836"/>
      <c r="BMF37" s="836"/>
      <c r="BMG37" s="836"/>
      <c r="BMH37" s="836"/>
      <c r="BMI37" s="836"/>
      <c r="BMJ37" s="836"/>
      <c r="BMK37" s="836"/>
      <c r="BML37" s="836"/>
      <c r="BMM37" s="836"/>
      <c r="BMN37" s="836"/>
      <c r="BMO37" s="836"/>
      <c r="BMP37" s="836"/>
      <c r="BMQ37" s="836"/>
      <c r="BMR37" s="836"/>
      <c r="BMS37" s="836"/>
      <c r="BMT37" s="836"/>
      <c r="BMU37" s="836"/>
      <c r="BMV37" s="836"/>
      <c r="BMW37" s="836"/>
      <c r="BMX37" s="836"/>
      <c r="BMY37" s="836"/>
      <c r="BMZ37" s="836"/>
      <c r="BNA37" s="836"/>
      <c r="BNB37" s="836"/>
      <c r="BNC37" s="836"/>
      <c r="BND37" s="836"/>
      <c r="BNE37" s="836"/>
      <c r="BNF37" s="836"/>
      <c r="BNG37" s="836"/>
      <c r="BNH37" s="836"/>
      <c r="BNI37" s="836"/>
      <c r="BNJ37" s="836"/>
      <c r="BNK37" s="836"/>
      <c r="BNL37" s="836"/>
      <c r="BNM37" s="836"/>
      <c r="BNN37" s="836"/>
      <c r="BNO37" s="836"/>
      <c r="BNP37" s="836"/>
      <c r="BNQ37" s="836"/>
      <c r="BNR37" s="836"/>
      <c r="BNS37" s="836"/>
      <c r="BNT37" s="836"/>
      <c r="BNU37" s="836"/>
      <c r="BNV37" s="836"/>
      <c r="BNW37" s="836"/>
      <c r="BNX37" s="836"/>
      <c r="BNY37" s="836"/>
      <c r="BNZ37" s="836"/>
      <c r="BOA37" s="836"/>
      <c r="BOB37" s="836"/>
      <c r="BOC37" s="836"/>
      <c r="BOD37" s="836"/>
      <c r="BOE37" s="836"/>
      <c r="BOF37" s="836"/>
      <c r="BOG37" s="836"/>
      <c r="BOH37" s="836"/>
      <c r="BOI37" s="836"/>
      <c r="BOJ37" s="836"/>
      <c r="BOK37" s="836"/>
      <c r="BOL37" s="836"/>
      <c r="BOM37" s="836"/>
      <c r="BON37" s="836"/>
      <c r="BOO37" s="836"/>
      <c r="BOP37" s="836"/>
      <c r="BOQ37" s="836"/>
      <c r="BOR37" s="836"/>
      <c r="BOS37" s="836"/>
      <c r="BOT37" s="836"/>
      <c r="BOU37" s="836"/>
      <c r="BOV37" s="836"/>
      <c r="BOW37" s="836"/>
      <c r="BOX37" s="836"/>
      <c r="BOY37" s="836"/>
      <c r="BOZ37" s="836"/>
      <c r="BPA37" s="836"/>
      <c r="BPB37" s="836"/>
      <c r="BPC37" s="836"/>
      <c r="BPD37" s="836"/>
      <c r="BPE37" s="836"/>
      <c r="BPF37" s="836"/>
      <c r="BPG37" s="836"/>
      <c r="BPH37" s="836"/>
      <c r="BPI37" s="836"/>
      <c r="BPJ37" s="836"/>
      <c r="BPK37" s="836"/>
      <c r="BPL37" s="836"/>
      <c r="BPM37" s="836"/>
      <c r="BPN37" s="836"/>
      <c r="BPO37" s="836"/>
      <c r="BPP37" s="836"/>
      <c r="BPQ37" s="836"/>
      <c r="BPR37" s="836"/>
      <c r="BPS37" s="836"/>
      <c r="BPT37" s="836"/>
      <c r="BPU37" s="836"/>
      <c r="BPV37" s="836"/>
      <c r="BPW37" s="836"/>
      <c r="BPX37" s="836"/>
      <c r="BPY37" s="836"/>
      <c r="BPZ37" s="836"/>
      <c r="BQA37" s="836"/>
      <c r="BQB37" s="836"/>
      <c r="BQC37" s="836"/>
      <c r="BQD37" s="836"/>
      <c r="BQE37" s="836"/>
      <c r="BQF37" s="836"/>
      <c r="BQG37" s="836"/>
      <c r="BQH37" s="836"/>
      <c r="BQI37" s="836"/>
      <c r="BQJ37" s="836"/>
      <c r="BQK37" s="836"/>
      <c r="BQL37" s="836"/>
      <c r="BQM37" s="836"/>
      <c r="BQN37" s="836"/>
      <c r="BQO37" s="836"/>
      <c r="BQP37" s="836"/>
      <c r="BQQ37" s="836"/>
      <c r="BQR37" s="836"/>
      <c r="BQS37" s="836"/>
      <c r="BQT37" s="836"/>
      <c r="BQU37" s="836"/>
      <c r="BQV37" s="836"/>
      <c r="BQW37" s="836"/>
      <c r="BQX37" s="836"/>
      <c r="BQY37" s="836"/>
      <c r="BQZ37" s="836"/>
      <c r="BRA37" s="836"/>
      <c r="BRB37" s="836"/>
      <c r="BRC37" s="836"/>
      <c r="BRD37" s="836"/>
      <c r="BRE37" s="836"/>
      <c r="BRF37" s="836"/>
      <c r="BRG37" s="836"/>
      <c r="BRH37" s="836"/>
      <c r="BRI37" s="836"/>
      <c r="BRJ37" s="836"/>
      <c r="BRK37" s="836"/>
      <c r="BRL37" s="836"/>
      <c r="BRM37" s="836"/>
      <c r="BRN37" s="836"/>
      <c r="BRO37" s="836"/>
      <c r="BRP37" s="836"/>
      <c r="BRQ37" s="836"/>
      <c r="BRR37" s="836"/>
      <c r="BRS37" s="836"/>
      <c r="BRT37" s="836"/>
      <c r="BRU37" s="836"/>
      <c r="BRV37" s="836"/>
      <c r="BRW37" s="836"/>
      <c r="BRX37" s="836"/>
      <c r="BRY37" s="836"/>
      <c r="BRZ37" s="836"/>
      <c r="BSA37" s="836"/>
      <c r="BSB37" s="836"/>
      <c r="BSC37" s="836"/>
      <c r="BSD37" s="836"/>
      <c r="BSE37" s="836"/>
      <c r="BSF37" s="836"/>
      <c r="BSG37" s="836"/>
      <c r="BSH37" s="836"/>
      <c r="BSI37" s="836"/>
      <c r="BSJ37" s="836"/>
      <c r="BSK37" s="836"/>
      <c r="BSL37" s="836"/>
      <c r="BSM37" s="836"/>
      <c r="BSN37" s="836"/>
      <c r="BSO37" s="836"/>
      <c r="BSP37" s="836"/>
      <c r="BSQ37" s="836"/>
      <c r="BSR37" s="836"/>
      <c r="BSS37" s="836"/>
      <c r="BST37" s="836"/>
    </row>
    <row r="38" spans="1:1866" s="832" customFormat="1" ht="21.9" customHeight="1" x14ac:dyDescent="0.25">
      <c r="A38" s="836"/>
      <c r="B38" s="3177" t="s">
        <v>852</v>
      </c>
      <c r="C38" s="3178"/>
      <c r="D38" s="3159"/>
      <c r="E38" s="1439"/>
      <c r="F38" s="1439"/>
      <c r="G38" s="1439"/>
      <c r="H38" s="1439"/>
      <c r="I38" s="1439"/>
      <c r="J38" s="1439"/>
      <c r="K38" s="1439"/>
      <c r="L38" s="1439"/>
      <c r="M38" s="1439"/>
      <c r="N38" s="1439"/>
      <c r="O38" s="1439"/>
      <c r="P38" s="1439"/>
      <c r="Q38" s="1439"/>
      <c r="R38" s="1439"/>
      <c r="S38" s="1439"/>
      <c r="T38" s="1439"/>
      <c r="U38" s="1439"/>
      <c r="V38" s="1274"/>
      <c r="W38" s="835"/>
      <c r="X38" s="835"/>
      <c r="Y38" s="835"/>
      <c r="Z38" s="835"/>
      <c r="AA38" s="869"/>
      <c r="AB38" s="835"/>
      <c r="AC38" s="835"/>
      <c r="AD38" s="835"/>
      <c r="AE38" s="835"/>
      <c r="AF38" s="835"/>
      <c r="AG38" s="835"/>
      <c r="AH38" s="835"/>
      <c r="AI38" s="835"/>
      <c r="AJ38" s="835"/>
      <c r="AK38" s="835"/>
      <c r="AL38" s="835"/>
      <c r="AM38" s="836"/>
      <c r="AN38" s="836"/>
      <c r="AO38" s="836"/>
      <c r="AP38" s="836"/>
      <c r="AQ38" s="836"/>
      <c r="AR38" s="836"/>
      <c r="AS38" s="836"/>
      <c r="AT38" s="836"/>
      <c r="AU38" s="836"/>
      <c r="AV38" s="836"/>
      <c r="AW38" s="836"/>
      <c r="AX38" s="836"/>
      <c r="AY38" s="836"/>
      <c r="AZ38" s="836"/>
      <c r="BA38" s="836"/>
      <c r="BB38" s="836"/>
      <c r="BC38" s="836"/>
      <c r="BD38" s="836"/>
      <c r="BE38" s="836"/>
      <c r="BF38" s="836"/>
      <c r="BG38" s="836"/>
      <c r="BH38" s="836"/>
      <c r="BI38" s="836"/>
      <c r="BJ38" s="836"/>
      <c r="BK38" s="836"/>
      <c r="BL38" s="836"/>
      <c r="BM38" s="836"/>
      <c r="BN38" s="836"/>
      <c r="BO38" s="836"/>
      <c r="BP38" s="836"/>
      <c r="BQ38" s="836"/>
      <c r="BR38" s="836"/>
      <c r="BS38" s="836"/>
      <c r="BT38" s="836"/>
      <c r="BU38" s="836"/>
      <c r="BV38" s="836"/>
      <c r="BW38" s="836"/>
      <c r="BX38" s="836"/>
      <c r="BY38" s="836"/>
      <c r="BZ38" s="836"/>
      <c r="CA38" s="836"/>
      <c r="CB38" s="836"/>
      <c r="CC38" s="836"/>
      <c r="CD38" s="836"/>
      <c r="CE38" s="836"/>
      <c r="CF38" s="836"/>
      <c r="CG38" s="836"/>
      <c r="CH38" s="836"/>
      <c r="CI38" s="836"/>
      <c r="CJ38" s="836"/>
      <c r="CK38" s="836"/>
      <c r="CL38" s="836"/>
      <c r="CM38" s="836"/>
      <c r="CN38" s="836"/>
      <c r="CO38" s="836"/>
      <c r="CP38" s="836"/>
      <c r="CQ38" s="836"/>
      <c r="CR38" s="836"/>
      <c r="CS38" s="836"/>
      <c r="CT38" s="836"/>
      <c r="CU38" s="836"/>
      <c r="CV38" s="836"/>
      <c r="CW38" s="836"/>
      <c r="CX38" s="836"/>
      <c r="CY38" s="836"/>
      <c r="CZ38" s="836"/>
      <c r="DA38" s="836"/>
      <c r="DB38" s="836"/>
      <c r="DC38" s="836"/>
      <c r="DD38" s="836"/>
      <c r="DE38" s="836"/>
      <c r="DF38" s="836"/>
      <c r="DG38" s="836"/>
      <c r="DH38" s="836"/>
      <c r="DI38" s="836"/>
      <c r="DJ38" s="836"/>
      <c r="DK38" s="836"/>
      <c r="DL38" s="836"/>
      <c r="DM38" s="836"/>
      <c r="DN38" s="836"/>
      <c r="DO38" s="836"/>
      <c r="DP38" s="836"/>
      <c r="DQ38" s="836"/>
      <c r="DR38" s="836"/>
      <c r="DS38" s="836"/>
      <c r="DT38" s="836"/>
      <c r="DU38" s="836"/>
      <c r="DV38" s="836"/>
      <c r="DW38" s="836"/>
      <c r="DX38" s="836"/>
      <c r="DY38" s="836"/>
      <c r="DZ38" s="836"/>
      <c r="EA38" s="836"/>
      <c r="EB38" s="836"/>
      <c r="EC38" s="836"/>
      <c r="ED38" s="836"/>
      <c r="EE38" s="836"/>
      <c r="EF38" s="836"/>
      <c r="EG38" s="836"/>
      <c r="EH38" s="836"/>
      <c r="EI38" s="836"/>
      <c r="EJ38" s="836"/>
      <c r="EK38" s="836"/>
      <c r="EL38" s="836"/>
      <c r="EM38" s="836"/>
      <c r="EN38" s="836"/>
      <c r="EO38" s="836"/>
      <c r="EP38" s="836"/>
      <c r="EQ38" s="836"/>
      <c r="ER38" s="836"/>
      <c r="ES38" s="836"/>
      <c r="ET38" s="836"/>
      <c r="EU38" s="836"/>
      <c r="EV38" s="836"/>
      <c r="EW38" s="836"/>
      <c r="EX38" s="836"/>
      <c r="EY38" s="836"/>
      <c r="EZ38" s="836"/>
      <c r="FA38" s="836"/>
      <c r="FB38" s="836"/>
      <c r="FC38" s="836"/>
      <c r="FD38" s="836"/>
      <c r="FE38" s="836"/>
      <c r="FF38" s="836"/>
      <c r="FG38" s="836"/>
      <c r="FH38" s="836"/>
      <c r="FI38" s="836"/>
      <c r="FJ38" s="836"/>
      <c r="FK38" s="836"/>
      <c r="FL38" s="836"/>
      <c r="FM38" s="836"/>
      <c r="FN38" s="836"/>
      <c r="FO38" s="836"/>
      <c r="FP38" s="836"/>
      <c r="FQ38" s="836"/>
      <c r="FR38" s="836"/>
      <c r="FS38" s="836"/>
      <c r="FT38" s="836"/>
      <c r="FU38" s="836"/>
      <c r="FV38" s="836"/>
      <c r="FW38" s="836"/>
      <c r="FX38" s="836"/>
      <c r="FY38" s="836"/>
      <c r="FZ38" s="836"/>
      <c r="GA38" s="836"/>
      <c r="GB38" s="836"/>
      <c r="GC38" s="836"/>
      <c r="GD38" s="836"/>
      <c r="GE38" s="836"/>
      <c r="GF38" s="836"/>
      <c r="GG38" s="836"/>
      <c r="GH38" s="836"/>
      <c r="GI38" s="836"/>
      <c r="GJ38" s="836"/>
      <c r="GK38" s="836"/>
      <c r="GL38" s="836"/>
      <c r="GM38" s="836"/>
      <c r="GN38" s="836"/>
      <c r="GO38" s="836"/>
      <c r="GP38" s="836"/>
      <c r="GQ38" s="836"/>
      <c r="GR38" s="836"/>
      <c r="GS38" s="836"/>
      <c r="GT38" s="836"/>
      <c r="GU38" s="836"/>
      <c r="GV38" s="836"/>
      <c r="GW38" s="836"/>
      <c r="GX38" s="836"/>
      <c r="GY38" s="836"/>
      <c r="GZ38" s="836"/>
      <c r="HA38" s="836"/>
      <c r="HB38" s="836"/>
      <c r="HC38" s="836"/>
      <c r="HD38" s="836"/>
      <c r="HE38" s="836"/>
      <c r="HF38" s="836"/>
      <c r="HG38" s="836"/>
      <c r="HH38" s="836"/>
      <c r="HI38" s="836"/>
      <c r="HJ38" s="836"/>
      <c r="HK38" s="836"/>
      <c r="HL38" s="836"/>
      <c r="HM38" s="836"/>
      <c r="HN38" s="836"/>
      <c r="HO38" s="836"/>
      <c r="HP38" s="836"/>
      <c r="HQ38" s="836"/>
      <c r="HR38" s="836"/>
      <c r="HS38" s="836"/>
      <c r="HT38" s="836"/>
      <c r="HU38" s="836"/>
      <c r="HV38" s="836"/>
      <c r="HW38" s="836"/>
      <c r="HX38" s="836"/>
      <c r="HY38" s="836"/>
      <c r="HZ38" s="836"/>
      <c r="IA38" s="836"/>
      <c r="IB38" s="836"/>
      <c r="IC38" s="836"/>
      <c r="ID38" s="836"/>
      <c r="IE38" s="836"/>
      <c r="IF38" s="836"/>
      <c r="IG38" s="836"/>
      <c r="IH38" s="836"/>
      <c r="II38" s="836"/>
      <c r="IJ38" s="836"/>
      <c r="IK38" s="836"/>
      <c r="IL38" s="836"/>
      <c r="IM38" s="836"/>
      <c r="IN38" s="836"/>
      <c r="IO38" s="836"/>
      <c r="IP38" s="836"/>
      <c r="IQ38" s="836"/>
      <c r="IR38" s="836"/>
      <c r="IS38" s="836"/>
      <c r="IT38" s="836"/>
      <c r="IU38" s="836"/>
      <c r="IV38" s="836"/>
      <c r="IW38" s="836"/>
      <c r="IX38" s="836"/>
      <c r="IY38" s="836"/>
      <c r="IZ38" s="836"/>
      <c r="JA38" s="836"/>
      <c r="JB38" s="836"/>
      <c r="JC38" s="836"/>
      <c r="JD38" s="836"/>
      <c r="JE38" s="836"/>
      <c r="JF38" s="836"/>
      <c r="JG38" s="836"/>
      <c r="JH38" s="836"/>
      <c r="JI38" s="836"/>
      <c r="JJ38" s="836"/>
      <c r="JK38" s="836"/>
      <c r="JL38" s="836"/>
      <c r="JM38" s="836"/>
      <c r="JN38" s="836"/>
      <c r="JO38" s="836"/>
      <c r="JP38" s="836"/>
      <c r="JQ38" s="836"/>
      <c r="JR38" s="836"/>
      <c r="JS38" s="836"/>
      <c r="JT38" s="836"/>
      <c r="JU38" s="836"/>
      <c r="JV38" s="836"/>
      <c r="JW38" s="836"/>
      <c r="JX38" s="836"/>
      <c r="JY38" s="836"/>
      <c r="JZ38" s="836"/>
      <c r="KA38" s="836"/>
      <c r="KB38" s="836"/>
      <c r="KC38" s="836"/>
      <c r="KD38" s="836"/>
      <c r="KE38" s="836"/>
      <c r="KF38" s="836"/>
      <c r="KG38" s="836"/>
      <c r="KH38" s="836"/>
      <c r="KI38" s="836"/>
      <c r="KJ38" s="836"/>
      <c r="KK38" s="836"/>
      <c r="KL38" s="836"/>
      <c r="KM38" s="836"/>
      <c r="KN38" s="836"/>
      <c r="KO38" s="836"/>
      <c r="KP38" s="836"/>
      <c r="KQ38" s="836"/>
      <c r="KR38" s="836"/>
      <c r="KS38" s="836"/>
      <c r="KT38" s="836"/>
      <c r="KU38" s="836"/>
      <c r="KV38" s="836"/>
      <c r="KW38" s="836"/>
      <c r="KX38" s="836"/>
      <c r="KY38" s="836"/>
      <c r="KZ38" s="836"/>
      <c r="LA38" s="836"/>
      <c r="LB38" s="836"/>
      <c r="LC38" s="836"/>
      <c r="LD38" s="836"/>
      <c r="LE38" s="836"/>
      <c r="LF38" s="836"/>
      <c r="LG38" s="836"/>
      <c r="LH38" s="836"/>
      <c r="LI38" s="836"/>
      <c r="LJ38" s="836"/>
      <c r="LK38" s="836"/>
      <c r="LL38" s="836"/>
      <c r="LM38" s="836"/>
      <c r="LN38" s="836"/>
      <c r="LO38" s="836"/>
      <c r="LP38" s="836"/>
      <c r="LQ38" s="836"/>
      <c r="LR38" s="836"/>
      <c r="LS38" s="836"/>
      <c r="LT38" s="836"/>
      <c r="LU38" s="836"/>
      <c r="LV38" s="836"/>
      <c r="LW38" s="836"/>
      <c r="LX38" s="836"/>
      <c r="LY38" s="836"/>
      <c r="LZ38" s="836"/>
      <c r="MA38" s="836"/>
      <c r="MB38" s="836"/>
      <c r="MC38" s="836"/>
      <c r="MD38" s="836"/>
      <c r="ME38" s="836"/>
      <c r="MF38" s="836"/>
      <c r="MG38" s="836"/>
      <c r="MH38" s="836"/>
      <c r="MI38" s="836"/>
      <c r="MJ38" s="836"/>
      <c r="MK38" s="836"/>
      <c r="ML38" s="836"/>
      <c r="MM38" s="836"/>
      <c r="MN38" s="836"/>
      <c r="MO38" s="836"/>
      <c r="MP38" s="836"/>
      <c r="MQ38" s="836"/>
      <c r="MR38" s="836"/>
      <c r="MS38" s="836"/>
      <c r="MT38" s="836"/>
      <c r="MU38" s="836"/>
      <c r="MV38" s="836"/>
      <c r="MW38" s="836"/>
      <c r="MX38" s="836"/>
      <c r="MY38" s="836"/>
      <c r="MZ38" s="836"/>
      <c r="NA38" s="836"/>
      <c r="NB38" s="836"/>
      <c r="NC38" s="836"/>
      <c r="ND38" s="836"/>
      <c r="NE38" s="836"/>
      <c r="NF38" s="836"/>
      <c r="NG38" s="836"/>
      <c r="NH38" s="836"/>
      <c r="NI38" s="836"/>
      <c r="NJ38" s="836"/>
      <c r="NK38" s="836"/>
      <c r="NL38" s="836"/>
      <c r="NM38" s="836"/>
      <c r="NN38" s="836"/>
      <c r="NO38" s="836"/>
      <c r="NP38" s="836"/>
      <c r="NQ38" s="836"/>
      <c r="NR38" s="836"/>
      <c r="NS38" s="836"/>
      <c r="NT38" s="836"/>
      <c r="NU38" s="836"/>
      <c r="NV38" s="836"/>
      <c r="NW38" s="836"/>
      <c r="NX38" s="836"/>
      <c r="NY38" s="836"/>
      <c r="NZ38" s="836"/>
      <c r="OA38" s="836"/>
      <c r="OB38" s="836"/>
      <c r="OC38" s="836"/>
      <c r="OD38" s="836"/>
      <c r="OE38" s="836"/>
      <c r="OF38" s="836"/>
      <c r="OG38" s="836"/>
      <c r="OH38" s="836"/>
      <c r="OI38" s="836"/>
      <c r="OJ38" s="836"/>
      <c r="OK38" s="836"/>
      <c r="OL38" s="836"/>
      <c r="OM38" s="836"/>
      <c r="ON38" s="836"/>
      <c r="OO38" s="836"/>
      <c r="OP38" s="836"/>
      <c r="OQ38" s="836"/>
      <c r="OR38" s="836"/>
      <c r="OS38" s="836"/>
      <c r="OT38" s="836"/>
      <c r="OU38" s="836"/>
      <c r="OV38" s="836"/>
      <c r="OW38" s="836"/>
      <c r="OX38" s="836"/>
      <c r="OY38" s="836"/>
      <c r="OZ38" s="836"/>
      <c r="PA38" s="836"/>
      <c r="PB38" s="836"/>
      <c r="PC38" s="836"/>
      <c r="PD38" s="836"/>
      <c r="PE38" s="836"/>
      <c r="PF38" s="836"/>
      <c r="PG38" s="836"/>
      <c r="PH38" s="836"/>
      <c r="PI38" s="836"/>
      <c r="PJ38" s="836"/>
      <c r="PK38" s="836"/>
      <c r="PL38" s="836"/>
      <c r="PM38" s="836"/>
      <c r="PN38" s="836"/>
      <c r="PO38" s="836"/>
      <c r="PP38" s="836"/>
      <c r="PQ38" s="836"/>
      <c r="PR38" s="836"/>
      <c r="PS38" s="836"/>
      <c r="PT38" s="836"/>
      <c r="PU38" s="836"/>
      <c r="PV38" s="836"/>
      <c r="PW38" s="836"/>
      <c r="PX38" s="836"/>
      <c r="PY38" s="836"/>
      <c r="PZ38" s="836"/>
      <c r="QA38" s="836"/>
      <c r="QB38" s="836"/>
      <c r="QC38" s="836"/>
      <c r="QD38" s="836"/>
      <c r="QE38" s="836"/>
      <c r="QF38" s="836"/>
      <c r="QG38" s="836"/>
      <c r="QH38" s="836"/>
      <c r="QI38" s="836"/>
      <c r="QJ38" s="836"/>
      <c r="QK38" s="836"/>
      <c r="QL38" s="836"/>
      <c r="QM38" s="836"/>
      <c r="QN38" s="836"/>
      <c r="QO38" s="836"/>
      <c r="QP38" s="836"/>
      <c r="QQ38" s="836"/>
      <c r="QR38" s="836"/>
      <c r="QS38" s="836"/>
      <c r="QT38" s="836"/>
      <c r="QU38" s="836"/>
      <c r="QV38" s="836"/>
      <c r="QW38" s="836"/>
      <c r="QX38" s="836"/>
      <c r="QY38" s="836"/>
      <c r="QZ38" s="836"/>
      <c r="RA38" s="836"/>
      <c r="RB38" s="836"/>
      <c r="RC38" s="836"/>
      <c r="RD38" s="836"/>
      <c r="RE38" s="836"/>
      <c r="RF38" s="836"/>
      <c r="RG38" s="836"/>
      <c r="RH38" s="836"/>
      <c r="RI38" s="836"/>
      <c r="RJ38" s="836"/>
      <c r="RK38" s="836"/>
      <c r="RL38" s="836"/>
      <c r="RM38" s="836"/>
      <c r="RN38" s="836"/>
      <c r="RO38" s="836"/>
      <c r="RP38" s="836"/>
      <c r="RQ38" s="836"/>
      <c r="RR38" s="836"/>
      <c r="RS38" s="836"/>
      <c r="RT38" s="836"/>
      <c r="RU38" s="836"/>
      <c r="RV38" s="836"/>
      <c r="RW38" s="836"/>
      <c r="RX38" s="836"/>
      <c r="RY38" s="836"/>
      <c r="RZ38" s="836"/>
      <c r="SA38" s="836"/>
      <c r="SB38" s="836"/>
      <c r="SC38" s="836"/>
      <c r="SD38" s="836"/>
      <c r="SE38" s="836"/>
      <c r="SF38" s="836"/>
      <c r="SG38" s="836"/>
      <c r="SH38" s="836"/>
      <c r="SI38" s="836"/>
      <c r="SJ38" s="836"/>
      <c r="SK38" s="836"/>
      <c r="SL38" s="836"/>
      <c r="SM38" s="836"/>
      <c r="SN38" s="836"/>
      <c r="SO38" s="836"/>
      <c r="SP38" s="836"/>
      <c r="SQ38" s="836"/>
      <c r="SR38" s="836"/>
      <c r="SS38" s="836"/>
      <c r="ST38" s="836"/>
      <c r="SU38" s="836"/>
      <c r="SV38" s="836"/>
      <c r="SW38" s="836"/>
      <c r="SX38" s="836"/>
      <c r="SY38" s="836"/>
      <c r="SZ38" s="836"/>
      <c r="TA38" s="836"/>
      <c r="TB38" s="836"/>
      <c r="TC38" s="836"/>
      <c r="TD38" s="836"/>
      <c r="TE38" s="836"/>
      <c r="TF38" s="836"/>
      <c r="TG38" s="836"/>
      <c r="TH38" s="836"/>
      <c r="TI38" s="836"/>
      <c r="TJ38" s="836"/>
      <c r="TK38" s="836"/>
      <c r="TL38" s="836"/>
      <c r="TM38" s="836"/>
      <c r="TN38" s="836"/>
      <c r="TO38" s="836"/>
      <c r="TP38" s="836"/>
      <c r="TQ38" s="836"/>
      <c r="TR38" s="836"/>
      <c r="TS38" s="836"/>
      <c r="TT38" s="836"/>
      <c r="TU38" s="836"/>
      <c r="TV38" s="836"/>
      <c r="TW38" s="836"/>
      <c r="TX38" s="836"/>
      <c r="TY38" s="836"/>
      <c r="TZ38" s="836"/>
      <c r="UA38" s="836"/>
      <c r="UB38" s="836"/>
      <c r="UC38" s="836"/>
      <c r="UD38" s="836"/>
      <c r="UE38" s="836"/>
      <c r="UF38" s="836"/>
      <c r="UG38" s="836"/>
      <c r="UH38" s="836"/>
      <c r="UI38" s="836"/>
      <c r="UJ38" s="836"/>
      <c r="UK38" s="836"/>
      <c r="UL38" s="836"/>
      <c r="UM38" s="836"/>
      <c r="UN38" s="836"/>
      <c r="UO38" s="836"/>
      <c r="UP38" s="836"/>
      <c r="UQ38" s="836"/>
      <c r="UR38" s="836"/>
      <c r="US38" s="836"/>
      <c r="UT38" s="836"/>
      <c r="UU38" s="836"/>
      <c r="UV38" s="836"/>
      <c r="UW38" s="836"/>
      <c r="UX38" s="836"/>
      <c r="UY38" s="836"/>
      <c r="UZ38" s="836"/>
      <c r="VA38" s="836"/>
      <c r="VB38" s="836"/>
      <c r="VC38" s="836"/>
      <c r="VD38" s="836"/>
      <c r="VE38" s="836"/>
      <c r="VF38" s="836"/>
      <c r="VG38" s="836"/>
      <c r="VH38" s="836"/>
      <c r="VI38" s="836"/>
      <c r="VJ38" s="836"/>
      <c r="VK38" s="836"/>
      <c r="VL38" s="836"/>
      <c r="VM38" s="836"/>
      <c r="VN38" s="836"/>
      <c r="VO38" s="836"/>
      <c r="VP38" s="836"/>
      <c r="VQ38" s="836"/>
      <c r="VR38" s="836"/>
      <c r="VS38" s="836"/>
      <c r="VT38" s="836"/>
      <c r="VU38" s="836"/>
      <c r="VV38" s="836"/>
      <c r="VW38" s="836"/>
      <c r="VX38" s="836"/>
      <c r="VY38" s="836"/>
      <c r="VZ38" s="836"/>
      <c r="WA38" s="836"/>
      <c r="WB38" s="836"/>
      <c r="WC38" s="836"/>
      <c r="WD38" s="836"/>
      <c r="WE38" s="836"/>
      <c r="WF38" s="836"/>
      <c r="WG38" s="836"/>
      <c r="WH38" s="836"/>
      <c r="WI38" s="836"/>
      <c r="WJ38" s="836"/>
      <c r="WK38" s="836"/>
      <c r="WL38" s="836"/>
      <c r="WM38" s="836"/>
      <c r="WN38" s="836"/>
      <c r="WO38" s="836"/>
      <c r="WP38" s="836"/>
      <c r="WQ38" s="836"/>
      <c r="WR38" s="836"/>
      <c r="WS38" s="836"/>
      <c r="WT38" s="836"/>
      <c r="WU38" s="836"/>
      <c r="WV38" s="836"/>
      <c r="WW38" s="836"/>
      <c r="WX38" s="836"/>
      <c r="WY38" s="836"/>
      <c r="WZ38" s="836"/>
      <c r="XA38" s="836"/>
      <c r="XB38" s="836"/>
      <c r="XC38" s="836"/>
      <c r="XD38" s="836"/>
      <c r="XE38" s="836"/>
      <c r="XF38" s="836"/>
      <c r="XG38" s="836"/>
      <c r="XH38" s="836"/>
      <c r="XI38" s="836"/>
      <c r="XJ38" s="836"/>
      <c r="XK38" s="836"/>
      <c r="XL38" s="836"/>
      <c r="XM38" s="836"/>
      <c r="XN38" s="836"/>
      <c r="XO38" s="836"/>
      <c r="XP38" s="836"/>
      <c r="XQ38" s="836"/>
      <c r="XR38" s="836"/>
      <c r="XS38" s="836"/>
      <c r="XT38" s="836"/>
      <c r="XU38" s="836"/>
      <c r="XV38" s="836"/>
      <c r="XW38" s="836"/>
      <c r="XX38" s="836"/>
      <c r="XY38" s="836"/>
      <c r="XZ38" s="836"/>
      <c r="YA38" s="836"/>
      <c r="YB38" s="836"/>
      <c r="YC38" s="836"/>
      <c r="YD38" s="836"/>
      <c r="YE38" s="836"/>
      <c r="YF38" s="836"/>
      <c r="YG38" s="836"/>
      <c r="YH38" s="836"/>
      <c r="YI38" s="836"/>
      <c r="YJ38" s="836"/>
      <c r="YK38" s="836"/>
      <c r="YL38" s="836"/>
      <c r="YM38" s="836"/>
      <c r="YN38" s="836"/>
      <c r="YO38" s="836"/>
      <c r="YP38" s="836"/>
      <c r="YQ38" s="836"/>
      <c r="YR38" s="836"/>
      <c r="YS38" s="836"/>
      <c r="YT38" s="836"/>
      <c r="YU38" s="836"/>
      <c r="YV38" s="836"/>
      <c r="YW38" s="836"/>
      <c r="YX38" s="836"/>
      <c r="YY38" s="836"/>
      <c r="YZ38" s="836"/>
      <c r="ZA38" s="836"/>
      <c r="ZB38" s="836"/>
      <c r="ZC38" s="836"/>
      <c r="ZD38" s="836"/>
      <c r="ZE38" s="836"/>
      <c r="ZF38" s="836"/>
      <c r="ZG38" s="836"/>
      <c r="ZH38" s="836"/>
      <c r="ZI38" s="836"/>
      <c r="ZJ38" s="836"/>
      <c r="ZK38" s="836"/>
      <c r="ZL38" s="836"/>
      <c r="ZM38" s="836"/>
      <c r="ZN38" s="836"/>
      <c r="ZO38" s="836"/>
      <c r="ZP38" s="836"/>
      <c r="ZQ38" s="836"/>
      <c r="ZR38" s="836"/>
      <c r="ZS38" s="836"/>
      <c r="ZT38" s="836"/>
      <c r="ZU38" s="836"/>
      <c r="ZV38" s="836"/>
      <c r="ZW38" s="836"/>
      <c r="ZX38" s="836"/>
      <c r="ZY38" s="836"/>
      <c r="ZZ38" s="836"/>
      <c r="AAA38" s="836"/>
      <c r="AAB38" s="836"/>
      <c r="AAC38" s="836"/>
      <c r="AAD38" s="836"/>
      <c r="AAE38" s="836"/>
      <c r="AAF38" s="836"/>
      <c r="AAG38" s="836"/>
      <c r="AAH38" s="836"/>
      <c r="AAI38" s="836"/>
      <c r="AAJ38" s="836"/>
      <c r="AAK38" s="836"/>
      <c r="AAL38" s="836"/>
      <c r="AAM38" s="836"/>
      <c r="AAN38" s="836"/>
      <c r="AAO38" s="836"/>
      <c r="AAP38" s="836"/>
      <c r="AAQ38" s="836"/>
      <c r="AAR38" s="836"/>
      <c r="AAS38" s="836"/>
      <c r="AAT38" s="836"/>
      <c r="AAU38" s="836"/>
      <c r="AAV38" s="836"/>
      <c r="AAW38" s="836"/>
      <c r="AAX38" s="836"/>
      <c r="AAY38" s="836"/>
      <c r="AAZ38" s="836"/>
      <c r="ABA38" s="836"/>
      <c r="ABB38" s="836"/>
      <c r="ABC38" s="836"/>
      <c r="ABD38" s="836"/>
      <c r="ABE38" s="836"/>
      <c r="ABF38" s="836"/>
      <c r="ABG38" s="836"/>
      <c r="ABH38" s="836"/>
      <c r="ABI38" s="836"/>
      <c r="ABJ38" s="836"/>
      <c r="ABK38" s="836"/>
      <c r="ABL38" s="836"/>
      <c r="ABM38" s="836"/>
      <c r="ABN38" s="836"/>
      <c r="ABO38" s="836"/>
      <c r="ABP38" s="836"/>
      <c r="ABQ38" s="836"/>
      <c r="ABR38" s="836"/>
      <c r="ABS38" s="836"/>
      <c r="ABT38" s="836"/>
      <c r="ABU38" s="836"/>
      <c r="ABV38" s="836"/>
      <c r="ABW38" s="836"/>
      <c r="ABX38" s="836"/>
      <c r="ABY38" s="836"/>
      <c r="ABZ38" s="836"/>
      <c r="ACA38" s="836"/>
      <c r="ACB38" s="836"/>
      <c r="ACC38" s="836"/>
      <c r="ACD38" s="836"/>
      <c r="ACE38" s="836"/>
      <c r="ACF38" s="836"/>
      <c r="ACG38" s="836"/>
      <c r="ACH38" s="836"/>
      <c r="ACI38" s="836"/>
      <c r="ACJ38" s="836"/>
      <c r="ACK38" s="836"/>
      <c r="ACL38" s="836"/>
      <c r="ACM38" s="836"/>
      <c r="ACN38" s="836"/>
      <c r="ACO38" s="836"/>
      <c r="ACP38" s="836"/>
      <c r="ACQ38" s="836"/>
      <c r="ACR38" s="836"/>
      <c r="ACS38" s="836"/>
      <c r="ACT38" s="836"/>
      <c r="ACU38" s="836"/>
      <c r="ACV38" s="836"/>
      <c r="ACW38" s="836"/>
      <c r="ACX38" s="836"/>
      <c r="ACY38" s="836"/>
      <c r="ACZ38" s="836"/>
      <c r="ADA38" s="836"/>
      <c r="ADB38" s="836"/>
      <c r="ADC38" s="836"/>
      <c r="ADD38" s="836"/>
      <c r="ADE38" s="836"/>
      <c r="ADF38" s="836"/>
      <c r="ADG38" s="836"/>
      <c r="ADH38" s="836"/>
      <c r="ADI38" s="836"/>
      <c r="ADJ38" s="836"/>
      <c r="ADK38" s="836"/>
      <c r="ADL38" s="836"/>
      <c r="ADM38" s="836"/>
      <c r="ADN38" s="836"/>
      <c r="ADO38" s="836"/>
      <c r="ADP38" s="836"/>
      <c r="ADQ38" s="836"/>
      <c r="ADR38" s="836"/>
      <c r="ADS38" s="836"/>
      <c r="ADT38" s="836"/>
      <c r="ADU38" s="836"/>
      <c r="ADV38" s="836"/>
      <c r="ADW38" s="836"/>
      <c r="ADX38" s="836"/>
      <c r="ADY38" s="836"/>
      <c r="ADZ38" s="836"/>
      <c r="AEA38" s="836"/>
      <c r="AEB38" s="836"/>
      <c r="AEC38" s="836"/>
      <c r="AED38" s="836"/>
      <c r="AEE38" s="836"/>
      <c r="AEF38" s="836"/>
      <c r="AEG38" s="836"/>
      <c r="AEH38" s="836"/>
      <c r="AEI38" s="836"/>
      <c r="AEJ38" s="836"/>
      <c r="AEK38" s="836"/>
      <c r="AEL38" s="836"/>
      <c r="AEM38" s="836"/>
      <c r="AEN38" s="836"/>
      <c r="AEO38" s="836"/>
      <c r="AEP38" s="836"/>
      <c r="AEQ38" s="836"/>
      <c r="AER38" s="836"/>
      <c r="AES38" s="836"/>
      <c r="AET38" s="836"/>
      <c r="AEU38" s="836"/>
      <c r="AEV38" s="836"/>
      <c r="AEW38" s="836"/>
      <c r="AEX38" s="836"/>
      <c r="AEY38" s="836"/>
      <c r="AEZ38" s="836"/>
      <c r="AFA38" s="836"/>
      <c r="AFB38" s="836"/>
      <c r="AFC38" s="836"/>
      <c r="AFD38" s="836"/>
      <c r="AFE38" s="836"/>
      <c r="AFF38" s="836"/>
      <c r="AFG38" s="836"/>
      <c r="AFH38" s="836"/>
      <c r="AFI38" s="836"/>
      <c r="AFJ38" s="836"/>
      <c r="AFK38" s="836"/>
      <c r="AFL38" s="836"/>
      <c r="AFM38" s="836"/>
      <c r="AFN38" s="836"/>
      <c r="AFO38" s="836"/>
      <c r="AFP38" s="836"/>
      <c r="AFQ38" s="836"/>
      <c r="AFR38" s="836"/>
      <c r="AFS38" s="836"/>
      <c r="AFT38" s="836"/>
      <c r="AFU38" s="836"/>
      <c r="AFV38" s="836"/>
      <c r="AFW38" s="836"/>
      <c r="AFX38" s="836"/>
      <c r="AFY38" s="836"/>
      <c r="AFZ38" s="836"/>
      <c r="AGA38" s="836"/>
      <c r="AGB38" s="836"/>
      <c r="AGC38" s="836"/>
      <c r="AGD38" s="836"/>
      <c r="AGE38" s="836"/>
      <c r="AGF38" s="836"/>
      <c r="AGG38" s="836"/>
      <c r="AGH38" s="836"/>
      <c r="AGI38" s="836"/>
      <c r="AGJ38" s="836"/>
      <c r="AGK38" s="836"/>
      <c r="AGL38" s="836"/>
      <c r="AGM38" s="836"/>
      <c r="AGN38" s="836"/>
      <c r="AGO38" s="836"/>
      <c r="AGP38" s="836"/>
      <c r="AGQ38" s="836"/>
      <c r="AGR38" s="836"/>
      <c r="AGS38" s="836"/>
      <c r="AGT38" s="836"/>
      <c r="AGU38" s="836"/>
      <c r="AGV38" s="836"/>
      <c r="AGW38" s="836"/>
      <c r="AGX38" s="836"/>
      <c r="AGY38" s="836"/>
      <c r="AGZ38" s="836"/>
      <c r="AHA38" s="836"/>
      <c r="AHB38" s="836"/>
      <c r="AHC38" s="836"/>
      <c r="AHD38" s="836"/>
      <c r="AHE38" s="836"/>
      <c r="AHF38" s="836"/>
      <c r="AHG38" s="836"/>
      <c r="AHH38" s="836"/>
      <c r="AHI38" s="836"/>
      <c r="AHJ38" s="836"/>
      <c r="AHK38" s="836"/>
      <c r="AHL38" s="836"/>
      <c r="AHM38" s="836"/>
      <c r="AHN38" s="836"/>
      <c r="AHO38" s="836"/>
      <c r="AHP38" s="836"/>
      <c r="AHQ38" s="836"/>
      <c r="AHR38" s="836"/>
      <c r="AHS38" s="836"/>
      <c r="AHT38" s="836"/>
      <c r="AHU38" s="836"/>
      <c r="AHV38" s="836"/>
      <c r="AHW38" s="836"/>
      <c r="AHX38" s="836"/>
      <c r="AHY38" s="836"/>
      <c r="AHZ38" s="836"/>
      <c r="AIA38" s="836"/>
      <c r="AIB38" s="836"/>
      <c r="AIC38" s="836"/>
      <c r="AID38" s="836"/>
      <c r="AIE38" s="836"/>
      <c r="AIF38" s="836"/>
      <c r="AIG38" s="836"/>
      <c r="AIH38" s="836"/>
      <c r="AII38" s="836"/>
      <c r="AIJ38" s="836"/>
      <c r="AIK38" s="836"/>
      <c r="AIL38" s="836"/>
      <c r="AIM38" s="836"/>
      <c r="AIN38" s="836"/>
      <c r="AIO38" s="836"/>
      <c r="AIP38" s="836"/>
      <c r="AIQ38" s="836"/>
      <c r="AIR38" s="836"/>
      <c r="AIS38" s="836"/>
      <c r="AIT38" s="836"/>
      <c r="AIU38" s="836"/>
      <c r="AIV38" s="836"/>
      <c r="AIW38" s="836"/>
      <c r="AIX38" s="836"/>
      <c r="AIY38" s="836"/>
      <c r="AIZ38" s="836"/>
      <c r="AJA38" s="836"/>
      <c r="AJB38" s="836"/>
      <c r="AJC38" s="836"/>
      <c r="AJD38" s="836"/>
      <c r="AJE38" s="836"/>
      <c r="AJF38" s="836"/>
      <c r="AJG38" s="836"/>
      <c r="AJH38" s="836"/>
      <c r="AJI38" s="836"/>
      <c r="AJJ38" s="836"/>
      <c r="AJK38" s="836"/>
      <c r="AJL38" s="836"/>
      <c r="AJM38" s="836"/>
      <c r="AJN38" s="836"/>
      <c r="AJO38" s="836"/>
      <c r="AJP38" s="836"/>
      <c r="AJQ38" s="836"/>
      <c r="AJR38" s="836"/>
      <c r="AJS38" s="836"/>
      <c r="AJT38" s="836"/>
      <c r="AJU38" s="836"/>
      <c r="AJV38" s="836"/>
      <c r="AJW38" s="836"/>
      <c r="AJX38" s="836"/>
      <c r="AJY38" s="836"/>
      <c r="AJZ38" s="836"/>
      <c r="AKA38" s="836"/>
      <c r="AKB38" s="836"/>
      <c r="AKC38" s="836"/>
      <c r="AKD38" s="836"/>
      <c r="AKE38" s="836"/>
      <c r="AKF38" s="836"/>
      <c r="AKG38" s="836"/>
      <c r="AKH38" s="836"/>
      <c r="AKI38" s="836"/>
      <c r="AKJ38" s="836"/>
      <c r="AKK38" s="836"/>
      <c r="AKL38" s="836"/>
      <c r="AKM38" s="836"/>
      <c r="AKN38" s="836"/>
      <c r="AKO38" s="836"/>
      <c r="AKP38" s="836"/>
      <c r="AKQ38" s="836"/>
      <c r="AKR38" s="836"/>
      <c r="AKS38" s="836"/>
      <c r="AKT38" s="836"/>
      <c r="AKU38" s="836"/>
      <c r="AKV38" s="836"/>
      <c r="AKW38" s="836"/>
      <c r="AKX38" s="836"/>
      <c r="AKY38" s="836"/>
      <c r="AKZ38" s="836"/>
      <c r="ALA38" s="836"/>
      <c r="ALB38" s="836"/>
      <c r="ALC38" s="836"/>
      <c r="ALD38" s="836"/>
      <c r="ALE38" s="836"/>
      <c r="ALF38" s="836"/>
      <c r="ALG38" s="836"/>
      <c r="ALH38" s="836"/>
      <c r="ALI38" s="836"/>
      <c r="ALJ38" s="836"/>
      <c r="ALK38" s="836"/>
      <c r="ALL38" s="836"/>
      <c r="ALM38" s="836"/>
      <c r="ALN38" s="836"/>
      <c r="ALO38" s="836"/>
      <c r="ALP38" s="836"/>
      <c r="ALQ38" s="836"/>
      <c r="ALR38" s="836"/>
      <c r="ALS38" s="836"/>
      <c r="ALT38" s="836"/>
      <c r="ALU38" s="836"/>
      <c r="ALV38" s="836"/>
      <c r="ALW38" s="836"/>
      <c r="ALX38" s="836"/>
      <c r="ALY38" s="836"/>
      <c r="ALZ38" s="836"/>
      <c r="AMA38" s="836"/>
      <c r="AMB38" s="836"/>
      <c r="AMC38" s="836"/>
      <c r="AMD38" s="836"/>
      <c r="AME38" s="836"/>
      <c r="AMF38" s="836"/>
      <c r="AMG38" s="836"/>
      <c r="AMH38" s="836"/>
      <c r="AMI38" s="836"/>
      <c r="AMJ38" s="836"/>
      <c r="AMK38" s="836"/>
      <c r="AML38" s="836"/>
      <c r="AMM38" s="836"/>
      <c r="AMN38" s="836"/>
      <c r="AMO38" s="836"/>
      <c r="AMP38" s="836"/>
      <c r="AMQ38" s="836"/>
      <c r="AMR38" s="836"/>
      <c r="AMS38" s="836"/>
      <c r="AMT38" s="836"/>
      <c r="AMU38" s="836"/>
      <c r="AMV38" s="836"/>
      <c r="AMW38" s="836"/>
      <c r="AMX38" s="836"/>
      <c r="AMY38" s="836"/>
      <c r="AMZ38" s="836"/>
      <c r="ANA38" s="836"/>
      <c r="ANB38" s="836"/>
      <c r="ANC38" s="836"/>
      <c r="AND38" s="836"/>
      <c r="ANE38" s="836"/>
      <c r="ANF38" s="836"/>
      <c r="ANG38" s="836"/>
      <c r="ANH38" s="836"/>
      <c r="ANI38" s="836"/>
      <c r="ANJ38" s="836"/>
      <c r="ANK38" s="836"/>
      <c r="ANL38" s="836"/>
      <c r="ANM38" s="836"/>
      <c r="ANN38" s="836"/>
      <c r="ANO38" s="836"/>
      <c r="ANP38" s="836"/>
      <c r="ANQ38" s="836"/>
      <c r="ANR38" s="836"/>
      <c r="ANS38" s="836"/>
      <c r="ANT38" s="836"/>
      <c r="ANU38" s="836"/>
      <c r="ANV38" s="836"/>
      <c r="ANW38" s="836"/>
      <c r="ANX38" s="836"/>
      <c r="ANY38" s="836"/>
      <c r="ANZ38" s="836"/>
      <c r="AOA38" s="836"/>
      <c r="AOB38" s="836"/>
      <c r="AOC38" s="836"/>
      <c r="AOD38" s="836"/>
      <c r="AOE38" s="836"/>
      <c r="AOF38" s="836"/>
      <c r="AOG38" s="836"/>
      <c r="AOH38" s="836"/>
      <c r="AOI38" s="836"/>
      <c r="AOJ38" s="836"/>
      <c r="AOK38" s="836"/>
      <c r="AOL38" s="836"/>
      <c r="AOM38" s="836"/>
      <c r="AON38" s="836"/>
      <c r="AOO38" s="836"/>
      <c r="AOP38" s="836"/>
      <c r="AOQ38" s="836"/>
      <c r="AOR38" s="836"/>
      <c r="AOS38" s="836"/>
      <c r="AOT38" s="836"/>
      <c r="AOU38" s="836"/>
      <c r="AOV38" s="836"/>
      <c r="AOW38" s="836"/>
      <c r="AOX38" s="836"/>
      <c r="AOY38" s="836"/>
      <c r="AOZ38" s="836"/>
      <c r="APA38" s="836"/>
      <c r="APB38" s="836"/>
      <c r="APC38" s="836"/>
      <c r="APD38" s="836"/>
      <c r="APE38" s="836"/>
      <c r="APF38" s="836"/>
      <c r="APG38" s="836"/>
      <c r="APH38" s="836"/>
      <c r="API38" s="836"/>
      <c r="APJ38" s="836"/>
      <c r="APK38" s="836"/>
      <c r="APL38" s="836"/>
      <c r="APM38" s="836"/>
      <c r="APN38" s="836"/>
      <c r="APO38" s="836"/>
      <c r="APP38" s="836"/>
      <c r="APQ38" s="836"/>
      <c r="APR38" s="836"/>
      <c r="APS38" s="836"/>
      <c r="APT38" s="836"/>
      <c r="APU38" s="836"/>
      <c r="APV38" s="836"/>
      <c r="APW38" s="836"/>
      <c r="APX38" s="836"/>
      <c r="APY38" s="836"/>
      <c r="APZ38" s="836"/>
      <c r="AQA38" s="836"/>
      <c r="AQB38" s="836"/>
      <c r="AQC38" s="836"/>
      <c r="AQD38" s="836"/>
      <c r="AQE38" s="836"/>
      <c r="AQF38" s="836"/>
      <c r="AQG38" s="836"/>
      <c r="AQH38" s="836"/>
      <c r="AQI38" s="836"/>
      <c r="AQJ38" s="836"/>
      <c r="AQK38" s="836"/>
      <c r="AQL38" s="836"/>
      <c r="AQM38" s="836"/>
      <c r="AQN38" s="836"/>
      <c r="AQO38" s="836"/>
      <c r="AQP38" s="836"/>
      <c r="AQQ38" s="836"/>
      <c r="AQR38" s="836"/>
      <c r="AQS38" s="836"/>
      <c r="AQT38" s="836"/>
      <c r="AQU38" s="836"/>
      <c r="AQV38" s="836"/>
      <c r="AQW38" s="836"/>
      <c r="AQX38" s="836"/>
      <c r="AQY38" s="836"/>
      <c r="AQZ38" s="836"/>
      <c r="ARA38" s="836"/>
      <c r="ARB38" s="836"/>
      <c r="ARC38" s="836"/>
      <c r="ARD38" s="836"/>
      <c r="ARE38" s="836"/>
      <c r="ARF38" s="836"/>
      <c r="ARG38" s="836"/>
      <c r="ARH38" s="836"/>
      <c r="ARI38" s="836"/>
      <c r="ARJ38" s="836"/>
      <c r="ARK38" s="836"/>
      <c r="ARL38" s="836"/>
      <c r="ARM38" s="836"/>
      <c r="ARN38" s="836"/>
      <c r="ARO38" s="836"/>
      <c r="ARP38" s="836"/>
      <c r="ARQ38" s="836"/>
      <c r="ARR38" s="836"/>
      <c r="ARS38" s="836"/>
      <c r="ART38" s="836"/>
      <c r="ARU38" s="836"/>
      <c r="ARV38" s="836"/>
      <c r="ARW38" s="836"/>
      <c r="ARX38" s="836"/>
      <c r="ARY38" s="836"/>
      <c r="ARZ38" s="836"/>
      <c r="ASA38" s="836"/>
      <c r="ASB38" s="836"/>
      <c r="ASC38" s="836"/>
      <c r="ASD38" s="836"/>
      <c r="ASE38" s="836"/>
      <c r="ASF38" s="836"/>
      <c r="ASG38" s="836"/>
      <c r="ASH38" s="836"/>
      <c r="ASI38" s="836"/>
      <c r="ASJ38" s="836"/>
      <c r="ASK38" s="836"/>
      <c r="ASL38" s="836"/>
      <c r="ASM38" s="836"/>
      <c r="ASN38" s="836"/>
      <c r="ASO38" s="836"/>
      <c r="ASP38" s="836"/>
      <c r="ASQ38" s="836"/>
      <c r="ASR38" s="836"/>
      <c r="ASS38" s="836"/>
      <c r="AST38" s="836"/>
      <c r="ASU38" s="836"/>
      <c r="ASV38" s="836"/>
      <c r="ASW38" s="836"/>
      <c r="ASX38" s="836"/>
      <c r="ASY38" s="836"/>
      <c r="ASZ38" s="836"/>
      <c r="ATA38" s="836"/>
      <c r="ATB38" s="836"/>
      <c r="ATC38" s="836"/>
      <c r="ATD38" s="836"/>
      <c r="ATE38" s="836"/>
      <c r="ATF38" s="836"/>
      <c r="ATG38" s="836"/>
      <c r="ATH38" s="836"/>
      <c r="ATI38" s="836"/>
      <c r="ATJ38" s="836"/>
      <c r="ATK38" s="836"/>
      <c r="ATL38" s="836"/>
      <c r="ATM38" s="836"/>
      <c r="ATN38" s="836"/>
      <c r="ATO38" s="836"/>
      <c r="ATP38" s="836"/>
      <c r="ATQ38" s="836"/>
      <c r="ATR38" s="836"/>
      <c r="ATS38" s="836"/>
      <c r="ATT38" s="836"/>
      <c r="ATU38" s="836"/>
      <c r="ATV38" s="836"/>
      <c r="ATW38" s="836"/>
      <c r="ATX38" s="836"/>
      <c r="ATY38" s="836"/>
      <c r="ATZ38" s="836"/>
      <c r="AUA38" s="836"/>
      <c r="AUB38" s="836"/>
      <c r="AUC38" s="836"/>
      <c r="AUD38" s="836"/>
      <c r="AUE38" s="836"/>
      <c r="AUF38" s="836"/>
      <c r="AUG38" s="836"/>
      <c r="AUH38" s="836"/>
      <c r="AUI38" s="836"/>
      <c r="AUJ38" s="836"/>
      <c r="AUK38" s="836"/>
      <c r="AUL38" s="836"/>
      <c r="AUM38" s="836"/>
      <c r="AUN38" s="836"/>
      <c r="AUO38" s="836"/>
      <c r="AUP38" s="836"/>
      <c r="AUQ38" s="836"/>
      <c r="AUR38" s="836"/>
      <c r="AUS38" s="836"/>
      <c r="AUT38" s="836"/>
      <c r="AUU38" s="836"/>
      <c r="AUV38" s="836"/>
      <c r="AUW38" s="836"/>
      <c r="AUX38" s="836"/>
      <c r="AUY38" s="836"/>
      <c r="AUZ38" s="836"/>
      <c r="AVA38" s="836"/>
      <c r="AVB38" s="836"/>
      <c r="AVC38" s="836"/>
      <c r="AVD38" s="836"/>
      <c r="AVE38" s="836"/>
      <c r="AVF38" s="836"/>
      <c r="AVG38" s="836"/>
      <c r="AVH38" s="836"/>
      <c r="AVI38" s="836"/>
      <c r="AVJ38" s="836"/>
      <c r="AVK38" s="836"/>
      <c r="AVL38" s="836"/>
      <c r="AVM38" s="836"/>
      <c r="AVN38" s="836"/>
      <c r="AVO38" s="836"/>
      <c r="AVP38" s="836"/>
      <c r="AVQ38" s="836"/>
      <c r="AVR38" s="836"/>
      <c r="AVS38" s="836"/>
      <c r="AVT38" s="836"/>
      <c r="AVU38" s="836"/>
      <c r="AVV38" s="836"/>
      <c r="AVW38" s="836"/>
      <c r="AVX38" s="836"/>
      <c r="AVY38" s="836"/>
      <c r="AVZ38" s="836"/>
      <c r="AWA38" s="836"/>
      <c r="AWB38" s="836"/>
      <c r="AWC38" s="836"/>
      <c r="AWD38" s="836"/>
      <c r="AWE38" s="836"/>
      <c r="AWF38" s="836"/>
      <c r="AWG38" s="836"/>
      <c r="AWH38" s="836"/>
      <c r="AWI38" s="836"/>
      <c r="AWJ38" s="836"/>
      <c r="AWK38" s="836"/>
      <c r="AWL38" s="836"/>
      <c r="AWM38" s="836"/>
      <c r="AWN38" s="836"/>
      <c r="AWO38" s="836"/>
      <c r="AWP38" s="836"/>
      <c r="AWQ38" s="836"/>
      <c r="AWR38" s="836"/>
      <c r="AWS38" s="836"/>
      <c r="AWT38" s="836"/>
      <c r="AWU38" s="836"/>
      <c r="AWV38" s="836"/>
      <c r="AWW38" s="836"/>
      <c r="AWX38" s="836"/>
      <c r="AWY38" s="836"/>
      <c r="AWZ38" s="836"/>
      <c r="AXA38" s="836"/>
      <c r="AXB38" s="836"/>
      <c r="AXC38" s="836"/>
      <c r="AXD38" s="836"/>
      <c r="AXE38" s="836"/>
      <c r="AXF38" s="836"/>
      <c r="AXG38" s="836"/>
      <c r="AXH38" s="836"/>
      <c r="AXI38" s="836"/>
      <c r="AXJ38" s="836"/>
      <c r="AXK38" s="836"/>
      <c r="AXL38" s="836"/>
      <c r="AXM38" s="836"/>
      <c r="AXN38" s="836"/>
      <c r="AXO38" s="836"/>
      <c r="AXP38" s="836"/>
      <c r="AXQ38" s="836"/>
      <c r="AXR38" s="836"/>
      <c r="AXS38" s="836"/>
      <c r="AXT38" s="836"/>
      <c r="AXU38" s="836"/>
      <c r="AXV38" s="836"/>
      <c r="AXW38" s="836"/>
      <c r="AXX38" s="836"/>
      <c r="AXY38" s="836"/>
      <c r="AXZ38" s="836"/>
      <c r="AYA38" s="836"/>
      <c r="AYB38" s="836"/>
      <c r="AYC38" s="836"/>
      <c r="AYD38" s="836"/>
      <c r="AYE38" s="836"/>
      <c r="AYF38" s="836"/>
      <c r="AYG38" s="836"/>
      <c r="AYH38" s="836"/>
      <c r="AYI38" s="836"/>
      <c r="AYJ38" s="836"/>
      <c r="AYK38" s="836"/>
      <c r="AYL38" s="836"/>
      <c r="AYM38" s="836"/>
      <c r="AYN38" s="836"/>
      <c r="AYO38" s="836"/>
      <c r="AYP38" s="836"/>
      <c r="AYQ38" s="836"/>
      <c r="AYR38" s="836"/>
      <c r="AYS38" s="836"/>
      <c r="AYT38" s="836"/>
      <c r="AYU38" s="836"/>
      <c r="AYV38" s="836"/>
      <c r="AYW38" s="836"/>
      <c r="AYX38" s="836"/>
      <c r="AYY38" s="836"/>
      <c r="AYZ38" s="836"/>
      <c r="AZA38" s="836"/>
      <c r="AZB38" s="836"/>
      <c r="AZC38" s="836"/>
      <c r="AZD38" s="836"/>
      <c r="AZE38" s="836"/>
      <c r="AZF38" s="836"/>
      <c r="AZG38" s="836"/>
      <c r="AZH38" s="836"/>
      <c r="AZI38" s="836"/>
      <c r="AZJ38" s="836"/>
      <c r="AZK38" s="836"/>
      <c r="AZL38" s="836"/>
      <c r="AZM38" s="836"/>
      <c r="AZN38" s="836"/>
      <c r="AZO38" s="836"/>
      <c r="AZP38" s="836"/>
      <c r="AZQ38" s="836"/>
      <c r="AZR38" s="836"/>
      <c r="AZS38" s="836"/>
      <c r="AZT38" s="836"/>
      <c r="AZU38" s="836"/>
      <c r="AZV38" s="836"/>
      <c r="AZW38" s="836"/>
      <c r="AZX38" s="836"/>
      <c r="AZY38" s="836"/>
      <c r="AZZ38" s="836"/>
      <c r="BAA38" s="836"/>
      <c r="BAB38" s="836"/>
      <c r="BAC38" s="836"/>
      <c r="BAD38" s="836"/>
      <c r="BAE38" s="836"/>
      <c r="BAF38" s="836"/>
      <c r="BAG38" s="836"/>
      <c r="BAH38" s="836"/>
      <c r="BAI38" s="836"/>
      <c r="BAJ38" s="836"/>
      <c r="BAK38" s="836"/>
      <c r="BAL38" s="836"/>
      <c r="BAM38" s="836"/>
      <c r="BAN38" s="836"/>
      <c r="BAO38" s="836"/>
      <c r="BAP38" s="836"/>
      <c r="BAQ38" s="836"/>
      <c r="BAR38" s="836"/>
      <c r="BAS38" s="836"/>
      <c r="BAT38" s="836"/>
      <c r="BAU38" s="836"/>
      <c r="BAV38" s="836"/>
      <c r="BAW38" s="836"/>
      <c r="BAX38" s="836"/>
      <c r="BAY38" s="836"/>
      <c r="BAZ38" s="836"/>
      <c r="BBA38" s="836"/>
      <c r="BBB38" s="836"/>
      <c r="BBC38" s="836"/>
      <c r="BBD38" s="836"/>
      <c r="BBE38" s="836"/>
      <c r="BBF38" s="836"/>
      <c r="BBG38" s="836"/>
      <c r="BBH38" s="836"/>
      <c r="BBI38" s="836"/>
      <c r="BBJ38" s="836"/>
      <c r="BBK38" s="836"/>
      <c r="BBL38" s="836"/>
      <c r="BBM38" s="836"/>
      <c r="BBN38" s="836"/>
      <c r="BBO38" s="836"/>
      <c r="BBP38" s="836"/>
      <c r="BBQ38" s="836"/>
      <c r="BBR38" s="836"/>
      <c r="BBS38" s="836"/>
      <c r="BBT38" s="836"/>
      <c r="BBU38" s="836"/>
      <c r="BBV38" s="836"/>
      <c r="BBW38" s="836"/>
      <c r="BBX38" s="836"/>
      <c r="BBY38" s="836"/>
      <c r="BBZ38" s="836"/>
      <c r="BCA38" s="836"/>
      <c r="BCB38" s="836"/>
      <c r="BCC38" s="836"/>
      <c r="BCD38" s="836"/>
      <c r="BCE38" s="836"/>
      <c r="BCF38" s="836"/>
      <c r="BCG38" s="836"/>
      <c r="BCH38" s="836"/>
      <c r="BCI38" s="836"/>
      <c r="BCJ38" s="836"/>
      <c r="BCK38" s="836"/>
      <c r="BCL38" s="836"/>
      <c r="BCM38" s="836"/>
      <c r="BCN38" s="836"/>
      <c r="BCO38" s="836"/>
      <c r="BCP38" s="836"/>
      <c r="BCQ38" s="836"/>
      <c r="BCR38" s="836"/>
      <c r="BCS38" s="836"/>
      <c r="BCT38" s="836"/>
      <c r="BCU38" s="836"/>
      <c r="BCV38" s="836"/>
      <c r="BCW38" s="836"/>
      <c r="BCX38" s="836"/>
      <c r="BCY38" s="836"/>
      <c r="BCZ38" s="836"/>
      <c r="BDA38" s="836"/>
      <c r="BDB38" s="836"/>
      <c r="BDC38" s="836"/>
      <c r="BDD38" s="836"/>
      <c r="BDE38" s="836"/>
      <c r="BDF38" s="836"/>
      <c r="BDG38" s="836"/>
      <c r="BDH38" s="836"/>
      <c r="BDI38" s="836"/>
      <c r="BDJ38" s="836"/>
      <c r="BDK38" s="836"/>
      <c r="BDL38" s="836"/>
      <c r="BDM38" s="836"/>
      <c r="BDN38" s="836"/>
      <c r="BDO38" s="836"/>
      <c r="BDP38" s="836"/>
      <c r="BDQ38" s="836"/>
      <c r="BDR38" s="836"/>
      <c r="BDS38" s="836"/>
      <c r="BDT38" s="836"/>
      <c r="BDU38" s="836"/>
      <c r="BDV38" s="836"/>
      <c r="BDW38" s="836"/>
      <c r="BDX38" s="836"/>
      <c r="BDY38" s="836"/>
      <c r="BDZ38" s="836"/>
      <c r="BEA38" s="836"/>
      <c r="BEB38" s="836"/>
      <c r="BEC38" s="836"/>
      <c r="BED38" s="836"/>
      <c r="BEE38" s="836"/>
      <c r="BEF38" s="836"/>
      <c r="BEG38" s="836"/>
      <c r="BEH38" s="836"/>
      <c r="BEI38" s="836"/>
      <c r="BEJ38" s="836"/>
      <c r="BEK38" s="836"/>
      <c r="BEL38" s="836"/>
      <c r="BEM38" s="836"/>
      <c r="BEN38" s="836"/>
      <c r="BEO38" s="836"/>
      <c r="BEP38" s="836"/>
      <c r="BEQ38" s="836"/>
      <c r="BER38" s="836"/>
      <c r="BES38" s="836"/>
      <c r="BET38" s="836"/>
      <c r="BEU38" s="836"/>
      <c r="BEV38" s="836"/>
      <c r="BEW38" s="836"/>
      <c r="BEX38" s="836"/>
      <c r="BEY38" s="836"/>
      <c r="BEZ38" s="836"/>
      <c r="BFA38" s="836"/>
      <c r="BFB38" s="836"/>
      <c r="BFC38" s="836"/>
      <c r="BFD38" s="836"/>
      <c r="BFE38" s="836"/>
      <c r="BFF38" s="836"/>
      <c r="BFG38" s="836"/>
      <c r="BFH38" s="836"/>
      <c r="BFI38" s="836"/>
      <c r="BFJ38" s="836"/>
      <c r="BFK38" s="836"/>
      <c r="BFL38" s="836"/>
      <c r="BFM38" s="836"/>
      <c r="BFN38" s="836"/>
      <c r="BFO38" s="836"/>
      <c r="BFP38" s="836"/>
      <c r="BFQ38" s="836"/>
      <c r="BFR38" s="836"/>
      <c r="BFS38" s="836"/>
      <c r="BFT38" s="836"/>
      <c r="BFU38" s="836"/>
      <c r="BFV38" s="836"/>
      <c r="BFW38" s="836"/>
      <c r="BFX38" s="836"/>
      <c r="BFY38" s="836"/>
      <c r="BFZ38" s="836"/>
      <c r="BGA38" s="836"/>
      <c r="BGB38" s="836"/>
      <c r="BGC38" s="836"/>
      <c r="BGD38" s="836"/>
      <c r="BGE38" s="836"/>
      <c r="BGF38" s="836"/>
      <c r="BGG38" s="836"/>
      <c r="BGH38" s="836"/>
      <c r="BGI38" s="836"/>
      <c r="BGJ38" s="836"/>
      <c r="BGK38" s="836"/>
      <c r="BGL38" s="836"/>
      <c r="BGM38" s="836"/>
      <c r="BGN38" s="836"/>
      <c r="BGO38" s="836"/>
      <c r="BGP38" s="836"/>
      <c r="BGQ38" s="836"/>
      <c r="BGR38" s="836"/>
      <c r="BGS38" s="836"/>
      <c r="BGT38" s="836"/>
      <c r="BGU38" s="836"/>
      <c r="BGV38" s="836"/>
      <c r="BGW38" s="836"/>
      <c r="BGX38" s="836"/>
      <c r="BGY38" s="836"/>
      <c r="BGZ38" s="836"/>
      <c r="BHA38" s="836"/>
      <c r="BHB38" s="836"/>
      <c r="BHC38" s="836"/>
      <c r="BHD38" s="836"/>
      <c r="BHE38" s="836"/>
      <c r="BHF38" s="836"/>
      <c r="BHG38" s="836"/>
      <c r="BHH38" s="836"/>
      <c r="BHI38" s="836"/>
      <c r="BHJ38" s="836"/>
      <c r="BHK38" s="836"/>
      <c r="BHL38" s="836"/>
      <c r="BHM38" s="836"/>
      <c r="BHN38" s="836"/>
      <c r="BHO38" s="836"/>
      <c r="BHP38" s="836"/>
      <c r="BHQ38" s="836"/>
      <c r="BHR38" s="836"/>
      <c r="BHS38" s="836"/>
      <c r="BHT38" s="836"/>
      <c r="BHU38" s="836"/>
      <c r="BHV38" s="836"/>
      <c r="BHW38" s="836"/>
      <c r="BHX38" s="836"/>
      <c r="BHY38" s="836"/>
      <c r="BHZ38" s="836"/>
      <c r="BIA38" s="836"/>
      <c r="BIB38" s="836"/>
      <c r="BIC38" s="836"/>
      <c r="BID38" s="836"/>
      <c r="BIE38" s="836"/>
      <c r="BIF38" s="836"/>
      <c r="BIG38" s="836"/>
      <c r="BIH38" s="836"/>
      <c r="BII38" s="836"/>
      <c r="BIJ38" s="836"/>
      <c r="BIK38" s="836"/>
      <c r="BIL38" s="836"/>
      <c r="BIM38" s="836"/>
      <c r="BIN38" s="836"/>
      <c r="BIO38" s="836"/>
      <c r="BIP38" s="836"/>
      <c r="BIQ38" s="836"/>
      <c r="BIR38" s="836"/>
      <c r="BIS38" s="836"/>
      <c r="BIT38" s="836"/>
      <c r="BIU38" s="836"/>
      <c r="BIV38" s="836"/>
      <c r="BIW38" s="836"/>
      <c r="BIX38" s="836"/>
      <c r="BIY38" s="836"/>
      <c r="BIZ38" s="836"/>
      <c r="BJA38" s="836"/>
      <c r="BJB38" s="836"/>
      <c r="BJC38" s="836"/>
      <c r="BJD38" s="836"/>
      <c r="BJE38" s="836"/>
      <c r="BJF38" s="836"/>
      <c r="BJG38" s="836"/>
      <c r="BJH38" s="836"/>
      <c r="BJI38" s="836"/>
      <c r="BJJ38" s="836"/>
      <c r="BJK38" s="836"/>
      <c r="BJL38" s="836"/>
      <c r="BJM38" s="836"/>
      <c r="BJN38" s="836"/>
      <c r="BJO38" s="836"/>
      <c r="BJP38" s="836"/>
      <c r="BJQ38" s="836"/>
      <c r="BJR38" s="836"/>
      <c r="BJS38" s="836"/>
      <c r="BJT38" s="836"/>
      <c r="BJU38" s="836"/>
      <c r="BJV38" s="836"/>
      <c r="BJW38" s="836"/>
      <c r="BJX38" s="836"/>
      <c r="BJY38" s="836"/>
      <c r="BJZ38" s="836"/>
      <c r="BKA38" s="836"/>
      <c r="BKB38" s="836"/>
      <c r="BKC38" s="836"/>
      <c r="BKD38" s="836"/>
      <c r="BKE38" s="836"/>
      <c r="BKF38" s="836"/>
      <c r="BKG38" s="836"/>
      <c r="BKH38" s="836"/>
      <c r="BKI38" s="836"/>
      <c r="BKJ38" s="836"/>
      <c r="BKK38" s="836"/>
      <c r="BKL38" s="836"/>
      <c r="BKM38" s="836"/>
      <c r="BKN38" s="836"/>
      <c r="BKO38" s="836"/>
      <c r="BKP38" s="836"/>
      <c r="BKQ38" s="836"/>
      <c r="BKR38" s="836"/>
      <c r="BKS38" s="836"/>
      <c r="BKT38" s="836"/>
      <c r="BKU38" s="836"/>
      <c r="BKV38" s="836"/>
      <c r="BKW38" s="836"/>
      <c r="BKX38" s="836"/>
      <c r="BKY38" s="836"/>
      <c r="BKZ38" s="836"/>
      <c r="BLA38" s="836"/>
      <c r="BLB38" s="836"/>
      <c r="BLC38" s="836"/>
      <c r="BLD38" s="836"/>
      <c r="BLE38" s="836"/>
      <c r="BLF38" s="836"/>
      <c r="BLG38" s="836"/>
      <c r="BLH38" s="836"/>
      <c r="BLI38" s="836"/>
      <c r="BLJ38" s="836"/>
      <c r="BLK38" s="836"/>
      <c r="BLL38" s="836"/>
      <c r="BLM38" s="836"/>
      <c r="BLN38" s="836"/>
      <c r="BLO38" s="836"/>
      <c r="BLP38" s="836"/>
      <c r="BLQ38" s="836"/>
      <c r="BLR38" s="836"/>
      <c r="BLS38" s="836"/>
      <c r="BLT38" s="836"/>
      <c r="BLU38" s="836"/>
      <c r="BLV38" s="836"/>
      <c r="BLW38" s="836"/>
      <c r="BLX38" s="836"/>
      <c r="BLY38" s="836"/>
      <c r="BLZ38" s="836"/>
      <c r="BMA38" s="836"/>
      <c r="BMB38" s="836"/>
      <c r="BMC38" s="836"/>
      <c r="BMD38" s="836"/>
      <c r="BME38" s="836"/>
      <c r="BMF38" s="836"/>
      <c r="BMG38" s="836"/>
      <c r="BMH38" s="836"/>
      <c r="BMI38" s="836"/>
      <c r="BMJ38" s="836"/>
      <c r="BMK38" s="836"/>
      <c r="BML38" s="836"/>
      <c r="BMM38" s="836"/>
      <c r="BMN38" s="836"/>
      <c r="BMO38" s="836"/>
      <c r="BMP38" s="836"/>
      <c r="BMQ38" s="836"/>
      <c r="BMR38" s="836"/>
      <c r="BMS38" s="836"/>
      <c r="BMT38" s="836"/>
      <c r="BMU38" s="836"/>
      <c r="BMV38" s="836"/>
      <c r="BMW38" s="836"/>
      <c r="BMX38" s="836"/>
      <c r="BMY38" s="836"/>
      <c r="BMZ38" s="836"/>
      <c r="BNA38" s="836"/>
      <c r="BNB38" s="836"/>
      <c r="BNC38" s="836"/>
      <c r="BND38" s="836"/>
      <c r="BNE38" s="836"/>
      <c r="BNF38" s="836"/>
      <c r="BNG38" s="836"/>
      <c r="BNH38" s="836"/>
      <c r="BNI38" s="836"/>
      <c r="BNJ38" s="836"/>
      <c r="BNK38" s="836"/>
      <c r="BNL38" s="836"/>
      <c r="BNM38" s="836"/>
      <c r="BNN38" s="836"/>
      <c r="BNO38" s="836"/>
      <c r="BNP38" s="836"/>
      <c r="BNQ38" s="836"/>
      <c r="BNR38" s="836"/>
      <c r="BNS38" s="836"/>
      <c r="BNT38" s="836"/>
      <c r="BNU38" s="836"/>
      <c r="BNV38" s="836"/>
      <c r="BNW38" s="836"/>
      <c r="BNX38" s="836"/>
      <c r="BNY38" s="836"/>
      <c r="BNZ38" s="836"/>
      <c r="BOA38" s="836"/>
      <c r="BOB38" s="836"/>
      <c r="BOC38" s="836"/>
      <c r="BOD38" s="836"/>
      <c r="BOE38" s="836"/>
      <c r="BOF38" s="836"/>
      <c r="BOG38" s="836"/>
      <c r="BOH38" s="836"/>
      <c r="BOI38" s="836"/>
      <c r="BOJ38" s="836"/>
      <c r="BOK38" s="836"/>
      <c r="BOL38" s="836"/>
      <c r="BOM38" s="836"/>
      <c r="BON38" s="836"/>
      <c r="BOO38" s="836"/>
      <c r="BOP38" s="836"/>
      <c r="BOQ38" s="836"/>
      <c r="BOR38" s="836"/>
      <c r="BOS38" s="836"/>
      <c r="BOT38" s="836"/>
      <c r="BOU38" s="836"/>
      <c r="BOV38" s="836"/>
      <c r="BOW38" s="836"/>
      <c r="BOX38" s="836"/>
      <c r="BOY38" s="836"/>
      <c r="BOZ38" s="836"/>
      <c r="BPA38" s="836"/>
      <c r="BPB38" s="836"/>
      <c r="BPC38" s="836"/>
      <c r="BPD38" s="836"/>
      <c r="BPE38" s="836"/>
      <c r="BPF38" s="836"/>
      <c r="BPG38" s="836"/>
      <c r="BPH38" s="836"/>
      <c r="BPI38" s="836"/>
      <c r="BPJ38" s="836"/>
      <c r="BPK38" s="836"/>
      <c r="BPL38" s="836"/>
      <c r="BPM38" s="836"/>
      <c r="BPN38" s="836"/>
      <c r="BPO38" s="836"/>
      <c r="BPP38" s="836"/>
      <c r="BPQ38" s="836"/>
      <c r="BPR38" s="836"/>
      <c r="BPS38" s="836"/>
      <c r="BPT38" s="836"/>
      <c r="BPU38" s="836"/>
      <c r="BPV38" s="836"/>
      <c r="BPW38" s="836"/>
      <c r="BPX38" s="836"/>
      <c r="BPY38" s="836"/>
      <c r="BPZ38" s="836"/>
      <c r="BQA38" s="836"/>
      <c r="BQB38" s="836"/>
      <c r="BQC38" s="836"/>
      <c r="BQD38" s="836"/>
      <c r="BQE38" s="836"/>
      <c r="BQF38" s="836"/>
      <c r="BQG38" s="836"/>
      <c r="BQH38" s="836"/>
      <c r="BQI38" s="836"/>
      <c r="BQJ38" s="836"/>
      <c r="BQK38" s="836"/>
      <c r="BQL38" s="836"/>
      <c r="BQM38" s="836"/>
      <c r="BQN38" s="836"/>
      <c r="BQO38" s="836"/>
      <c r="BQP38" s="836"/>
      <c r="BQQ38" s="836"/>
      <c r="BQR38" s="836"/>
      <c r="BQS38" s="836"/>
      <c r="BQT38" s="836"/>
      <c r="BQU38" s="836"/>
      <c r="BQV38" s="836"/>
      <c r="BQW38" s="836"/>
      <c r="BQX38" s="836"/>
      <c r="BQY38" s="836"/>
      <c r="BQZ38" s="836"/>
      <c r="BRA38" s="836"/>
      <c r="BRB38" s="836"/>
      <c r="BRC38" s="836"/>
      <c r="BRD38" s="836"/>
      <c r="BRE38" s="836"/>
      <c r="BRF38" s="836"/>
      <c r="BRG38" s="836"/>
      <c r="BRH38" s="836"/>
      <c r="BRI38" s="836"/>
      <c r="BRJ38" s="836"/>
      <c r="BRK38" s="836"/>
      <c r="BRL38" s="836"/>
      <c r="BRM38" s="836"/>
      <c r="BRN38" s="836"/>
      <c r="BRO38" s="836"/>
      <c r="BRP38" s="836"/>
      <c r="BRQ38" s="836"/>
      <c r="BRR38" s="836"/>
      <c r="BRS38" s="836"/>
      <c r="BRT38" s="836"/>
      <c r="BRU38" s="836"/>
      <c r="BRV38" s="836"/>
      <c r="BRW38" s="836"/>
      <c r="BRX38" s="836"/>
      <c r="BRY38" s="836"/>
      <c r="BRZ38" s="836"/>
      <c r="BSA38" s="836"/>
      <c r="BSB38" s="836"/>
      <c r="BSC38" s="836"/>
      <c r="BSD38" s="836"/>
      <c r="BSE38" s="836"/>
      <c r="BSF38" s="836"/>
      <c r="BSG38" s="836"/>
      <c r="BSH38" s="836"/>
      <c r="BSI38" s="836"/>
      <c r="BSJ38" s="836"/>
      <c r="BSK38" s="836"/>
      <c r="BSL38" s="836"/>
      <c r="BSM38" s="836"/>
      <c r="BSN38" s="836"/>
      <c r="BSO38" s="836"/>
      <c r="BSP38" s="836"/>
      <c r="BSQ38" s="836"/>
      <c r="BSR38" s="836"/>
      <c r="BSS38" s="836"/>
      <c r="BST38" s="836"/>
    </row>
    <row r="39" spans="1:1866" s="832" customFormat="1" ht="21.9" customHeight="1" x14ac:dyDescent="0.25">
      <c r="A39" s="836"/>
      <c r="B39" s="3177" t="s">
        <v>846</v>
      </c>
      <c r="C39" s="3178"/>
      <c r="D39" s="3159"/>
      <c r="E39" s="1439"/>
      <c r="F39" s="1439"/>
      <c r="G39" s="1439"/>
      <c r="H39" s="1439"/>
      <c r="I39" s="1439"/>
      <c r="J39" s="1439"/>
      <c r="K39" s="1439"/>
      <c r="L39" s="1439"/>
      <c r="M39" s="1439"/>
      <c r="N39" s="1439"/>
      <c r="O39" s="1439"/>
      <c r="P39" s="1439"/>
      <c r="Q39" s="1439"/>
      <c r="R39" s="1439"/>
      <c r="S39" s="1439"/>
      <c r="T39" s="1439"/>
      <c r="U39" s="1439"/>
      <c r="V39" s="1274"/>
      <c r="W39" s="835"/>
      <c r="X39" s="835"/>
      <c r="Y39" s="835"/>
      <c r="Z39" s="835"/>
      <c r="AA39" s="869"/>
      <c r="AB39" s="835"/>
      <c r="AC39" s="835"/>
      <c r="AD39" s="835"/>
      <c r="AE39" s="835"/>
      <c r="AF39" s="835"/>
      <c r="AG39" s="835"/>
      <c r="AH39" s="835"/>
      <c r="AI39" s="835"/>
      <c r="AJ39" s="835"/>
      <c r="AK39" s="835"/>
      <c r="AL39" s="835"/>
      <c r="AM39" s="836"/>
      <c r="AN39" s="836"/>
      <c r="AO39" s="836"/>
      <c r="AP39" s="836"/>
      <c r="AQ39" s="836"/>
      <c r="AR39" s="836"/>
      <c r="AS39" s="836"/>
      <c r="AT39" s="836"/>
      <c r="AU39" s="836"/>
      <c r="AV39" s="836"/>
      <c r="AW39" s="836"/>
      <c r="AX39" s="836"/>
      <c r="AY39" s="836"/>
      <c r="AZ39" s="836"/>
      <c r="BA39" s="836"/>
      <c r="BB39" s="836"/>
      <c r="BC39" s="836"/>
      <c r="BD39" s="836"/>
      <c r="BE39" s="836"/>
      <c r="BF39" s="836"/>
      <c r="BG39" s="836"/>
      <c r="BH39" s="836"/>
      <c r="BI39" s="836"/>
      <c r="BJ39" s="836"/>
      <c r="BK39" s="836"/>
      <c r="BL39" s="836"/>
      <c r="BM39" s="836"/>
      <c r="BN39" s="836"/>
      <c r="BO39" s="836"/>
      <c r="BP39" s="836"/>
      <c r="BQ39" s="836"/>
      <c r="BR39" s="836"/>
      <c r="BS39" s="836"/>
      <c r="BT39" s="836"/>
      <c r="BU39" s="836"/>
      <c r="BV39" s="836"/>
      <c r="BW39" s="836"/>
      <c r="BX39" s="836"/>
      <c r="BY39" s="836"/>
      <c r="BZ39" s="836"/>
      <c r="CA39" s="836"/>
      <c r="CB39" s="836"/>
      <c r="CC39" s="836"/>
      <c r="CD39" s="836"/>
      <c r="CE39" s="836"/>
      <c r="CF39" s="836"/>
      <c r="CG39" s="836"/>
      <c r="CH39" s="836"/>
      <c r="CI39" s="836"/>
      <c r="CJ39" s="836"/>
      <c r="CK39" s="836"/>
      <c r="CL39" s="836"/>
      <c r="CM39" s="836"/>
      <c r="CN39" s="836"/>
      <c r="CO39" s="836"/>
      <c r="CP39" s="836"/>
      <c r="CQ39" s="836"/>
      <c r="CR39" s="836"/>
      <c r="CS39" s="836"/>
      <c r="CT39" s="836"/>
      <c r="CU39" s="836"/>
      <c r="CV39" s="836"/>
      <c r="CW39" s="836"/>
      <c r="CX39" s="836"/>
      <c r="CY39" s="836"/>
      <c r="CZ39" s="836"/>
      <c r="DA39" s="836"/>
      <c r="DB39" s="836"/>
      <c r="DC39" s="836"/>
      <c r="DD39" s="836"/>
      <c r="DE39" s="836"/>
      <c r="DF39" s="836"/>
      <c r="DG39" s="836"/>
      <c r="DH39" s="836"/>
      <c r="DI39" s="836"/>
      <c r="DJ39" s="836"/>
      <c r="DK39" s="836"/>
      <c r="DL39" s="836"/>
      <c r="DM39" s="836"/>
      <c r="DN39" s="836"/>
      <c r="DO39" s="836"/>
      <c r="DP39" s="836"/>
      <c r="DQ39" s="836"/>
      <c r="DR39" s="836"/>
      <c r="DS39" s="836"/>
      <c r="DT39" s="836"/>
      <c r="DU39" s="836"/>
      <c r="DV39" s="836"/>
      <c r="DW39" s="836"/>
      <c r="DX39" s="836"/>
      <c r="DY39" s="836"/>
      <c r="DZ39" s="836"/>
      <c r="EA39" s="836"/>
      <c r="EB39" s="836"/>
      <c r="EC39" s="836"/>
      <c r="ED39" s="836"/>
      <c r="EE39" s="836"/>
      <c r="EF39" s="836"/>
      <c r="EG39" s="836"/>
      <c r="EH39" s="836"/>
      <c r="EI39" s="836"/>
      <c r="EJ39" s="836"/>
      <c r="EK39" s="836"/>
      <c r="EL39" s="836"/>
      <c r="EM39" s="836"/>
      <c r="EN39" s="836"/>
      <c r="EO39" s="836"/>
      <c r="EP39" s="836"/>
      <c r="EQ39" s="836"/>
      <c r="ER39" s="836"/>
      <c r="ES39" s="836"/>
      <c r="ET39" s="836"/>
      <c r="EU39" s="836"/>
      <c r="EV39" s="836"/>
      <c r="EW39" s="836"/>
      <c r="EX39" s="836"/>
      <c r="EY39" s="836"/>
      <c r="EZ39" s="836"/>
      <c r="FA39" s="836"/>
      <c r="FB39" s="836"/>
      <c r="FC39" s="836"/>
      <c r="FD39" s="836"/>
      <c r="FE39" s="836"/>
      <c r="FF39" s="836"/>
      <c r="FG39" s="836"/>
      <c r="FH39" s="836"/>
      <c r="FI39" s="836"/>
      <c r="FJ39" s="836"/>
      <c r="FK39" s="836"/>
      <c r="FL39" s="836"/>
      <c r="FM39" s="836"/>
      <c r="FN39" s="836"/>
      <c r="FO39" s="836"/>
      <c r="FP39" s="836"/>
      <c r="FQ39" s="836"/>
      <c r="FR39" s="836"/>
      <c r="FS39" s="836"/>
      <c r="FT39" s="836"/>
      <c r="FU39" s="836"/>
      <c r="FV39" s="836"/>
      <c r="FW39" s="836"/>
      <c r="FX39" s="836"/>
      <c r="FY39" s="836"/>
      <c r="FZ39" s="836"/>
      <c r="GA39" s="836"/>
      <c r="GB39" s="836"/>
      <c r="GC39" s="836"/>
      <c r="GD39" s="836"/>
      <c r="GE39" s="836"/>
      <c r="GF39" s="836"/>
      <c r="GG39" s="836"/>
      <c r="GH39" s="836"/>
      <c r="GI39" s="836"/>
      <c r="GJ39" s="836"/>
      <c r="GK39" s="836"/>
      <c r="GL39" s="836"/>
      <c r="GM39" s="836"/>
      <c r="GN39" s="836"/>
      <c r="GO39" s="836"/>
      <c r="GP39" s="836"/>
      <c r="GQ39" s="836"/>
      <c r="GR39" s="836"/>
      <c r="GS39" s="836"/>
      <c r="GT39" s="836"/>
      <c r="GU39" s="836"/>
      <c r="GV39" s="836"/>
      <c r="GW39" s="836"/>
      <c r="GX39" s="836"/>
      <c r="GY39" s="836"/>
      <c r="GZ39" s="836"/>
      <c r="HA39" s="836"/>
      <c r="HB39" s="836"/>
      <c r="HC39" s="836"/>
      <c r="HD39" s="836"/>
      <c r="HE39" s="836"/>
      <c r="HF39" s="836"/>
      <c r="HG39" s="836"/>
      <c r="HH39" s="836"/>
      <c r="HI39" s="836"/>
      <c r="HJ39" s="836"/>
      <c r="HK39" s="836"/>
      <c r="HL39" s="836"/>
      <c r="HM39" s="836"/>
      <c r="HN39" s="836"/>
      <c r="HO39" s="836"/>
      <c r="HP39" s="836"/>
      <c r="HQ39" s="836"/>
      <c r="HR39" s="836"/>
      <c r="HS39" s="836"/>
      <c r="HT39" s="836"/>
      <c r="HU39" s="836"/>
      <c r="HV39" s="836"/>
      <c r="HW39" s="836"/>
      <c r="HX39" s="836"/>
      <c r="HY39" s="836"/>
      <c r="HZ39" s="836"/>
      <c r="IA39" s="836"/>
      <c r="IB39" s="836"/>
      <c r="IC39" s="836"/>
      <c r="ID39" s="836"/>
      <c r="IE39" s="836"/>
      <c r="IF39" s="836"/>
      <c r="IG39" s="836"/>
      <c r="IH39" s="836"/>
      <c r="II39" s="836"/>
      <c r="IJ39" s="836"/>
      <c r="IK39" s="836"/>
      <c r="IL39" s="836"/>
      <c r="IM39" s="836"/>
      <c r="IN39" s="836"/>
      <c r="IO39" s="836"/>
      <c r="IP39" s="836"/>
      <c r="IQ39" s="836"/>
      <c r="IR39" s="836"/>
      <c r="IS39" s="836"/>
      <c r="IT39" s="836"/>
      <c r="IU39" s="836"/>
      <c r="IV39" s="836"/>
      <c r="IW39" s="836"/>
      <c r="IX39" s="836"/>
      <c r="IY39" s="836"/>
      <c r="IZ39" s="836"/>
      <c r="JA39" s="836"/>
      <c r="JB39" s="836"/>
      <c r="JC39" s="836"/>
      <c r="JD39" s="836"/>
      <c r="JE39" s="836"/>
      <c r="JF39" s="836"/>
      <c r="JG39" s="836"/>
      <c r="JH39" s="836"/>
      <c r="JI39" s="836"/>
      <c r="JJ39" s="836"/>
      <c r="JK39" s="836"/>
      <c r="JL39" s="836"/>
      <c r="JM39" s="836"/>
      <c r="JN39" s="836"/>
      <c r="JO39" s="836"/>
      <c r="JP39" s="836"/>
      <c r="JQ39" s="836"/>
      <c r="JR39" s="836"/>
      <c r="JS39" s="836"/>
      <c r="JT39" s="836"/>
      <c r="JU39" s="836"/>
      <c r="JV39" s="836"/>
      <c r="JW39" s="836"/>
      <c r="JX39" s="836"/>
      <c r="JY39" s="836"/>
      <c r="JZ39" s="836"/>
      <c r="KA39" s="836"/>
      <c r="KB39" s="836"/>
      <c r="KC39" s="836"/>
      <c r="KD39" s="836"/>
      <c r="KE39" s="836"/>
      <c r="KF39" s="836"/>
      <c r="KG39" s="836"/>
      <c r="KH39" s="836"/>
      <c r="KI39" s="836"/>
      <c r="KJ39" s="836"/>
      <c r="KK39" s="836"/>
      <c r="KL39" s="836"/>
      <c r="KM39" s="836"/>
      <c r="KN39" s="836"/>
      <c r="KO39" s="836"/>
      <c r="KP39" s="836"/>
      <c r="KQ39" s="836"/>
      <c r="KR39" s="836"/>
      <c r="KS39" s="836"/>
      <c r="KT39" s="836"/>
      <c r="KU39" s="836"/>
      <c r="KV39" s="836"/>
      <c r="KW39" s="836"/>
      <c r="KX39" s="836"/>
      <c r="KY39" s="836"/>
      <c r="KZ39" s="836"/>
      <c r="LA39" s="836"/>
      <c r="LB39" s="836"/>
      <c r="LC39" s="836"/>
      <c r="LD39" s="836"/>
      <c r="LE39" s="836"/>
      <c r="LF39" s="836"/>
      <c r="LG39" s="836"/>
      <c r="LH39" s="836"/>
      <c r="LI39" s="836"/>
      <c r="LJ39" s="836"/>
      <c r="LK39" s="836"/>
      <c r="LL39" s="836"/>
      <c r="LM39" s="836"/>
      <c r="LN39" s="836"/>
      <c r="LO39" s="836"/>
      <c r="LP39" s="836"/>
      <c r="LQ39" s="836"/>
      <c r="LR39" s="836"/>
      <c r="LS39" s="836"/>
      <c r="LT39" s="836"/>
      <c r="LU39" s="836"/>
      <c r="LV39" s="836"/>
      <c r="LW39" s="836"/>
      <c r="LX39" s="836"/>
      <c r="LY39" s="836"/>
      <c r="LZ39" s="836"/>
      <c r="MA39" s="836"/>
      <c r="MB39" s="836"/>
      <c r="MC39" s="836"/>
      <c r="MD39" s="836"/>
      <c r="ME39" s="836"/>
      <c r="MF39" s="836"/>
      <c r="MG39" s="836"/>
      <c r="MH39" s="836"/>
      <c r="MI39" s="836"/>
      <c r="MJ39" s="836"/>
      <c r="MK39" s="836"/>
      <c r="ML39" s="836"/>
      <c r="MM39" s="836"/>
      <c r="MN39" s="836"/>
      <c r="MO39" s="836"/>
      <c r="MP39" s="836"/>
      <c r="MQ39" s="836"/>
      <c r="MR39" s="836"/>
      <c r="MS39" s="836"/>
      <c r="MT39" s="836"/>
      <c r="MU39" s="836"/>
      <c r="MV39" s="836"/>
      <c r="MW39" s="836"/>
      <c r="MX39" s="836"/>
      <c r="MY39" s="836"/>
      <c r="MZ39" s="836"/>
      <c r="NA39" s="836"/>
      <c r="NB39" s="836"/>
      <c r="NC39" s="836"/>
      <c r="ND39" s="836"/>
      <c r="NE39" s="836"/>
      <c r="NF39" s="836"/>
      <c r="NG39" s="836"/>
      <c r="NH39" s="836"/>
      <c r="NI39" s="836"/>
      <c r="NJ39" s="836"/>
      <c r="NK39" s="836"/>
      <c r="NL39" s="836"/>
      <c r="NM39" s="836"/>
      <c r="NN39" s="836"/>
      <c r="NO39" s="836"/>
      <c r="NP39" s="836"/>
      <c r="NQ39" s="836"/>
      <c r="NR39" s="836"/>
      <c r="NS39" s="836"/>
      <c r="NT39" s="836"/>
      <c r="NU39" s="836"/>
      <c r="NV39" s="836"/>
      <c r="NW39" s="836"/>
      <c r="NX39" s="836"/>
      <c r="NY39" s="836"/>
      <c r="NZ39" s="836"/>
      <c r="OA39" s="836"/>
      <c r="OB39" s="836"/>
      <c r="OC39" s="836"/>
      <c r="OD39" s="836"/>
      <c r="OE39" s="836"/>
      <c r="OF39" s="836"/>
      <c r="OG39" s="836"/>
      <c r="OH39" s="836"/>
      <c r="OI39" s="836"/>
      <c r="OJ39" s="836"/>
      <c r="OK39" s="836"/>
      <c r="OL39" s="836"/>
      <c r="OM39" s="836"/>
      <c r="ON39" s="836"/>
      <c r="OO39" s="836"/>
      <c r="OP39" s="836"/>
      <c r="OQ39" s="836"/>
      <c r="OR39" s="836"/>
      <c r="OS39" s="836"/>
      <c r="OT39" s="836"/>
      <c r="OU39" s="836"/>
      <c r="OV39" s="836"/>
      <c r="OW39" s="836"/>
      <c r="OX39" s="836"/>
      <c r="OY39" s="836"/>
      <c r="OZ39" s="836"/>
      <c r="PA39" s="836"/>
      <c r="PB39" s="836"/>
      <c r="PC39" s="836"/>
      <c r="PD39" s="836"/>
      <c r="PE39" s="836"/>
      <c r="PF39" s="836"/>
      <c r="PG39" s="836"/>
      <c r="PH39" s="836"/>
      <c r="PI39" s="836"/>
      <c r="PJ39" s="836"/>
      <c r="PK39" s="836"/>
      <c r="PL39" s="836"/>
      <c r="PM39" s="836"/>
      <c r="PN39" s="836"/>
      <c r="PO39" s="836"/>
      <c r="PP39" s="836"/>
      <c r="PQ39" s="836"/>
      <c r="PR39" s="836"/>
      <c r="PS39" s="836"/>
      <c r="PT39" s="836"/>
      <c r="PU39" s="836"/>
      <c r="PV39" s="836"/>
      <c r="PW39" s="836"/>
      <c r="PX39" s="836"/>
      <c r="PY39" s="836"/>
      <c r="PZ39" s="836"/>
      <c r="QA39" s="836"/>
      <c r="QB39" s="836"/>
      <c r="QC39" s="836"/>
      <c r="QD39" s="836"/>
      <c r="QE39" s="836"/>
      <c r="QF39" s="836"/>
      <c r="QG39" s="836"/>
      <c r="QH39" s="836"/>
      <c r="QI39" s="836"/>
      <c r="QJ39" s="836"/>
      <c r="QK39" s="836"/>
      <c r="QL39" s="836"/>
      <c r="QM39" s="836"/>
      <c r="QN39" s="836"/>
      <c r="QO39" s="836"/>
      <c r="QP39" s="836"/>
      <c r="QQ39" s="836"/>
      <c r="QR39" s="836"/>
      <c r="QS39" s="836"/>
      <c r="QT39" s="836"/>
      <c r="QU39" s="836"/>
      <c r="QV39" s="836"/>
      <c r="QW39" s="836"/>
      <c r="QX39" s="836"/>
      <c r="QY39" s="836"/>
      <c r="QZ39" s="836"/>
      <c r="RA39" s="836"/>
      <c r="RB39" s="836"/>
      <c r="RC39" s="836"/>
      <c r="RD39" s="836"/>
      <c r="RE39" s="836"/>
      <c r="RF39" s="836"/>
      <c r="RG39" s="836"/>
      <c r="RH39" s="836"/>
      <c r="RI39" s="836"/>
      <c r="RJ39" s="836"/>
      <c r="RK39" s="836"/>
      <c r="RL39" s="836"/>
      <c r="RM39" s="836"/>
      <c r="RN39" s="836"/>
      <c r="RO39" s="836"/>
      <c r="RP39" s="836"/>
      <c r="RQ39" s="836"/>
      <c r="RR39" s="836"/>
      <c r="RS39" s="836"/>
      <c r="RT39" s="836"/>
      <c r="RU39" s="836"/>
      <c r="RV39" s="836"/>
      <c r="RW39" s="836"/>
      <c r="RX39" s="836"/>
      <c r="RY39" s="836"/>
      <c r="RZ39" s="836"/>
      <c r="SA39" s="836"/>
      <c r="SB39" s="836"/>
      <c r="SC39" s="836"/>
      <c r="SD39" s="836"/>
      <c r="SE39" s="836"/>
      <c r="SF39" s="836"/>
      <c r="SG39" s="836"/>
      <c r="SH39" s="836"/>
      <c r="SI39" s="836"/>
      <c r="SJ39" s="836"/>
      <c r="SK39" s="836"/>
      <c r="SL39" s="836"/>
      <c r="SM39" s="836"/>
      <c r="SN39" s="836"/>
      <c r="SO39" s="836"/>
      <c r="SP39" s="836"/>
      <c r="SQ39" s="836"/>
      <c r="SR39" s="836"/>
      <c r="SS39" s="836"/>
      <c r="ST39" s="836"/>
      <c r="SU39" s="836"/>
      <c r="SV39" s="836"/>
      <c r="SW39" s="836"/>
      <c r="SX39" s="836"/>
      <c r="SY39" s="836"/>
      <c r="SZ39" s="836"/>
      <c r="TA39" s="836"/>
      <c r="TB39" s="836"/>
      <c r="TC39" s="836"/>
      <c r="TD39" s="836"/>
      <c r="TE39" s="836"/>
      <c r="TF39" s="836"/>
      <c r="TG39" s="836"/>
      <c r="TH39" s="836"/>
      <c r="TI39" s="836"/>
      <c r="TJ39" s="836"/>
      <c r="TK39" s="836"/>
      <c r="TL39" s="836"/>
      <c r="TM39" s="836"/>
      <c r="TN39" s="836"/>
      <c r="TO39" s="836"/>
      <c r="TP39" s="836"/>
      <c r="TQ39" s="836"/>
      <c r="TR39" s="836"/>
      <c r="TS39" s="836"/>
      <c r="TT39" s="836"/>
      <c r="TU39" s="836"/>
      <c r="TV39" s="836"/>
      <c r="TW39" s="836"/>
      <c r="TX39" s="836"/>
      <c r="TY39" s="836"/>
      <c r="TZ39" s="836"/>
      <c r="UA39" s="836"/>
      <c r="UB39" s="836"/>
      <c r="UC39" s="836"/>
      <c r="UD39" s="836"/>
      <c r="UE39" s="836"/>
      <c r="UF39" s="836"/>
      <c r="UG39" s="836"/>
      <c r="UH39" s="836"/>
      <c r="UI39" s="836"/>
      <c r="UJ39" s="836"/>
      <c r="UK39" s="836"/>
      <c r="UL39" s="836"/>
      <c r="UM39" s="836"/>
      <c r="UN39" s="836"/>
      <c r="UO39" s="836"/>
      <c r="UP39" s="836"/>
      <c r="UQ39" s="836"/>
      <c r="UR39" s="836"/>
      <c r="US39" s="836"/>
      <c r="UT39" s="836"/>
      <c r="UU39" s="836"/>
      <c r="UV39" s="836"/>
      <c r="UW39" s="836"/>
      <c r="UX39" s="836"/>
      <c r="UY39" s="836"/>
      <c r="UZ39" s="836"/>
      <c r="VA39" s="836"/>
      <c r="VB39" s="836"/>
      <c r="VC39" s="836"/>
      <c r="VD39" s="836"/>
      <c r="VE39" s="836"/>
      <c r="VF39" s="836"/>
      <c r="VG39" s="836"/>
      <c r="VH39" s="836"/>
      <c r="VI39" s="836"/>
      <c r="VJ39" s="836"/>
      <c r="VK39" s="836"/>
      <c r="VL39" s="836"/>
      <c r="VM39" s="836"/>
      <c r="VN39" s="836"/>
      <c r="VO39" s="836"/>
      <c r="VP39" s="836"/>
      <c r="VQ39" s="836"/>
      <c r="VR39" s="836"/>
      <c r="VS39" s="836"/>
      <c r="VT39" s="836"/>
      <c r="VU39" s="836"/>
      <c r="VV39" s="836"/>
      <c r="VW39" s="836"/>
      <c r="VX39" s="836"/>
      <c r="VY39" s="836"/>
      <c r="VZ39" s="836"/>
      <c r="WA39" s="836"/>
      <c r="WB39" s="836"/>
      <c r="WC39" s="836"/>
      <c r="WD39" s="836"/>
      <c r="WE39" s="836"/>
      <c r="WF39" s="836"/>
      <c r="WG39" s="836"/>
      <c r="WH39" s="836"/>
      <c r="WI39" s="836"/>
      <c r="WJ39" s="836"/>
      <c r="WK39" s="836"/>
      <c r="WL39" s="836"/>
      <c r="WM39" s="836"/>
      <c r="WN39" s="836"/>
      <c r="WO39" s="836"/>
      <c r="WP39" s="836"/>
      <c r="WQ39" s="836"/>
      <c r="WR39" s="836"/>
      <c r="WS39" s="836"/>
      <c r="WT39" s="836"/>
      <c r="WU39" s="836"/>
      <c r="WV39" s="836"/>
      <c r="WW39" s="836"/>
      <c r="WX39" s="836"/>
      <c r="WY39" s="836"/>
      <c r="WZ39" s="836"/>
      <c r="XA39" s="836"/>
      <c r="XB39" s="836"/>
      <c r="XC39" s="836"/>
      <c r="XD39" s="836"/>
      <c r="XE39" s="836"/>
      <c r="XF39" s="836"/>
      <c r="XG39" s="836"/>
      <c r="XH39" s="836"/>
      <c r="XI39" s="836"/>
      <c r="XJ39" s="836"/>
      <c r="XK39" s="836"/>
      <c r="XL39" s="836"/>
      <c r="XM39" s="836"/>
      <c r="XN39" s="836"/>
      <c r="XO39" s="836"/>
      <c r="XP39" s="836"/>
      <c r="XQ39" s="836"/>
      <c r="XR39" s="836"/>
      <c r="XS39" s="836"/>
      <c r="XT39" s="836"/>
      <c r="XU39" s="836"/>
      <c r="XV39" s="836"/>
      <c r="XW39" s="836"/>
      <c r="XX39" s="836"/>
      <c r="XY39" s="836"/>
      <c r="XZ39" s="836"/>
      <c r="YA39" s="836"/>
      <c r="YB39" s="836"/>
      <c r="YC39" s="836"/>
      <c r="YD39" s="836"/>
      <c r="YE39" s="836"/>
      <c r="YF39" s="836"/>
      <c r="YG39" s="836"/>
      <c r="YH39" s="836"/>
      <c r="YI39" s="836"/>
      <c r="YJ39" s="836"/>
      <c r="YK39" s="836"/>
      <c r="YL39" s="836"/>
      <c r="YM39" s="836"/>
      <c r="YN39" s="836"/>
      <c r="YO39" s="836"/>
      <c r="YP39" s="836"/>
      <c r="YQ39" s="836"/>
      <c r="YR39" s="836"/>
      <c r="YS39" s="836"/>
      <c r="YT39" s="836"/>
      <c r="YU39" s="836"/>
      <c r="YV39" s="836"/>
      <c r="YW39" s="836"/>
      <c r="YX39" s="836"/>
      <c r="YY39" s="836"/>
      <c r="YZ39" s="836"/>
      <c r="ZA39" s="836"/>
      <c r="ZB39" s="836"/>
      <c r="ZC39" s="836"/>
      <c r="ZD39" s="836"/>
      <c r="ZE39" s="836"/>
      <c r="ZF39" s="836"/>
      <c r="ZG39" s="836"/>
      <c r="ZH39" s="836"/>
      <c r="ZI39" s="836"/>
      <c r="ZJ39" s="836"/>
      <c r="ZK39" s="836"/>
      <c r="ZL39" s="836"/>
      <c r="ZM39" s="836"/>
      <c r="ZN39" s="836"/>
      <c r="ZO39" s="836"/>
      <c r="ZP39" s="836"/>
      <c r="ZQ39" s="836"/>
      <c r="ZR39" s="836"/>
      <c r="ZS39" s="836"/>
      <c r="ZT39" s="836"/>
      <c r="ZU39" s="836"/>
      <c r="ZV39" s="836"/>
      <c r="ZW39" s="836"/>
      <c r="ZX39" s="836"/>
      <c r="ZY39" s="836"/>
      <c r="ZZ39" s="836"/>
      <c r="AAA39" s="836"/>
      <c r="AAB39" s="836"/>
      <c r="AAC39" s="836"/>
      <c r="AAD39" s="836"/>
      <c r="AAE39" s="836"/>
      <c r="AAF39" s="836"/>
      <c r="AAG39" s="836"/>
      <c r="AAH39" s="836"/>
      <c r="AAI39" s="836"/>
      <c r="AAJ39" s="836"/>
      <c r="AAK39" s="836"/>
      <c r="AAL39" s="836"/>
      <c r="AAM39" s="836"/>
      <c r="AAN39" s="836"/>
      <c r="AAO39" s="836"/>
      <c r="AAP39" s="836"/>
      <c r="AAQ39" s="836"/>
      <c r="AAR39" s="836"/>
      <c r="AAS39" s="836"/>
      <c r="AAT39" s="836"/>
      <c r="AAU39" s="836"/>
      <c r="AAV39" s="836"/>
      <c r="AAW39" s="836"/>
      <c r="AAX39" s="836"/>
      <c r="AAY39" s="836"/>
      <c r="AAZ39" s="836"/>
      <c r="ABA39" s="836"/>
      <c r="ABB39" s="836"/>
      <c r="ABC39" s="836"/>
      <c r="ABD39" s="836"/>
      <c r="ABE39" s="836"/>
      <c r="ABF39" s="836"/>
      <c r="ABG39" s="836"/>
      <c r="ABH39" s="836"/>
      <c r="ABI39" s="836"/>
      <c r="ABJ39" s="836"/>
      <c r="ABK39" s="836"/>
      <c r="ABL39" s="836"/>
      <c r="ABM39" s="836"/>
      <c r="ABN39" s="836"/>
      <c r="ABO39" s="836"/>
      <c r="ABP39" s="836"/>
      <c r="ABQ39" s="836"/>
      <c r="ABR39" s="836"/>
      <c r="ABS39" s="836"/>
      <c r="ABT39" s="836"/>
      <c r="ABU39" s="836"/>
      <c r="ABV39" s="836"/>
      <c r="ABW39" s="836"/>
      <c r="ABX39" s="836"/>
      <c r="ABY39" s="836"/>
      <c r="ABZ39" s="836"/>
      <c r="ACA39" s="836"/>
      <c r="ACB39" s="836"/>
      <c r="ACC39" s="836"/>
      <c r="ACD39" s="836"/>
      <c r="ACE39" s="836"/>
      <c r="ACF39" s="836"/>
      <c r="ACG39" s="836"/>
      <c r="ACH39" s="836"/>
      <c r="ACI39" s="836"/>
      <c r="ACJ39" s="836"/>
      <c r="ACK39" s="836"/>
      <c r="ACL39" s="836"/>
      <c r="ACM39" s="836"/>
      <c r="ACN39" s="836"/>
      <c r="ACO39" s="836"/>
      <c r="ACP39" s="836"/>
      <c r="ACQ39" s="836"/>
      <c r="ACR39" s="836"/>
      <c r="ACS39" s="836"/>
      <c r="ACT39" s="836"/>
      <c r="ACU39" s="836"/>
      <c r="ACV39" s="836"/>
      <c r="ACW39" s="836"/>
      <c r="ACX39" s="836"/>
      <c r="ACY39" s="836"/>
      <c r="ACZ39" s="836"/>
      <c r="ADA39" s="836"/>
      <c r="ADB39" s="836"/>
      <c r="ADC39" s="836"/>
      <c r="ADD39" s="836"/>
      <c r="ADE39" s="836"/>
      <c r="ADF39" s="836"/>
      <c r="ADG39" s="836"/>
      <c r="ADH39" s="836"/>
      <c r="ADI39" s="836"/>
      <c r="ADJ39" s="836"/>
      <c r="ADK39" s="836"/>
      <c r="ADL39" s="836"/>
      <c r="ADM39" s="836"/>
      <c r="ADN39" s="836"/>
      <c r="ADO39" s="836"/>
      <c r="ADP39" s="836"/>
      <c r="ADQ39" s="836"/>
      <c r="ADR39" s="836"/>
      <c r="ADS39" s="836"/>
      <c r="ADT39" s="836"/>
      <c r="ADU39" s="836"/>
      <c r="ADV39" s="836"/>
      <c r="ADW39" s="836"/>
      <c r="ADX39" s="836"/>
      <c r="ADY39" s="836"/>
      <c r="ADZ39" s="836"/>
      <c r="AEA39" s="836"/>
      <c r="AEB39" s="836"/>
      <c r="AEC39" s="836"/>
      <c r="AED39" s="836"/>
      <c r="AEE39" s="836"/>
      <c r="AEF39" s="836"/>
      <c r="AEG39" s="836"/>
      <c r="AEH39" s="836"/>
      <c r="AEI39" s="836"/>
      <c r="AEJ39" s="836"/>
      <c r="AEK39" s="836"/>
      <c r="AEL39" s="836"/>
      <c r="AEM39" s="836"/>
      <c r="AEN39" s="836"/>
      <c r="AEO39" s="836"/>
      <c r="AEP39" s="836"/>
      <c r="AEQ39" s="836"/>
      <c r="AER39" s="836"/>
      <c r="AES39" s="836"/>
      <c r="AET39" s="836"/>
      <c r="AEU39" s="836"/>
      <c r="AEV39" s="836"/>
      <c r="AEW39" s="836"/>
      <c r="AEX39" s="836"/>
      <c r="AEY39" s="836"/>
      <c r="AEZ39" s="836"/>
      <c r="AFA39" s="836"/>
      <c r="AFB39" s="836"/>
      <c r="AFC39" s="836"/>
      <c r="AFD39" s="836"/>
      <c r="AFE39" s="836"/>
      <c r="AFF39" s="836"/>
      <c r="AFG39" s="836"/>
      <c r="AFH39" s="836"/>
      <c r="AFI39" s="836"/>
      <c r="AFJ39" s="836"/>
      <c r="AFK39" s="836"/>
      <c r="AFL39" s="836"/>
      <c r="AFM39" s="836"/>
      <c r="AFN39" s="836"/>
      <c r="AFO39" s="836"/>
      <c r="AFP39" s="836"/>
      <c r="AFQ39" s="836"/>
      <c r="AFR39" s="836"/>
      <c r="AFS39" s="836"/>
      <c r="AFT39" s="836"/>
      <c r="AFU39" s="836"/>
      <c r="AFV39" s="836"/>
      <c r="AFW39" s="836"/>
      <c r="AFX39" s="836"/>
      <c r="AFY39" s="836"/>
      <c r="AFZ39" s="836"/>
      <c r="AGA39" s="836"/>
      <c r="AGB39" s="836"/>
      <c r="AGC39" s="836"/>
      <c r="AGD39" s="836"/>
      <c r="AGE39" s="836"/>
      <c r="AGF39" s="836"/>
      <c r="AGG39" s="836"/>
      <c r="AGH39" s="836"/>
      <c r="AGI39" s="836"/>
      <c r="AGJ39" s="836"/>
      <c r="AGK39" s="836"/>
      <c r="AGL39" s="836"/>
      <c r="AGM39" s="836"/>
      <c r="AGN39" s="836"/>
      <c r="AGO39" s="836"/>
      <c r="AGP39" s="836"/>
      <c r="AGQ39" s="836"/>
      <c r="AGR39" s="836"/>
      <c r="AGS39" s="836"/>
      <c r="AGT39" s="836"/>
      <c r="AGU39" s="836"/>
      <c r="AGV39" s="836"/>
      <c r="AGW39" s="836"/>
      <c r="AGX39" s="836"/>
      <c r="AGY39" s="836"/>
      <c r="AGZ39" s="836"/>
      <c r="AHA39" s="836"/>
      <c r="AHB39" s="836"/>
      <c r="AHC39" s="836"/>
      <c r="AHD39" s="836"/>
      <c r="AHE39" s="836"/>
      <c r="AHF39" s="836"/>
      <c r="AHG39" s="836"/>
      <c r="AHH39" s="836"/>
      <c r="AHI39" s="836"/>
      <c r="AHJ39" s="836"/>
      <c r="AHK39" s="836"/>
      <c r="AHL39" s="836"/>
      <c r="AHM39" s="836"/>
      <c r="AHN39" s="836"/>
      <c r="AHO39" s="836"/>
      <c r="AHP39" s="836"/>
      <c r="AHQ39" s="836"/>
      <c r="AHR39" s="836"/>
      <c r="AHS39" s="836"/>
      <c r="AHT39" s="836"/>
      <c r="AHU39" s="836"/>
      <c r="AHV39" s="836"/>
      <c r="AHW39" s="836"/>
      <c r="AHX39" s="836"/>
      <c r="AHY39" s="836"/>
      <c r="AHZ39" s="836"/>
      <c r="AIA39" s="836"/>
      <c r="AIB39" s="836"/>
      <c r="AIC39" s="836"/>
      <c r="AID39" s="836"/>
      <c r="AIE39" s="836"/>
      <c r="AIF39" s="836"/>
      <c r="AIG39" s="836"/>
      <c r="AIH39" s="836"/>
      <c r="AII39" s="836"/>
      <c r="AIJ39" s="836"/>
      <c r="AIK39" s="836"/>
      <c r="AIL39" s="836"/>
      <c r="AIM39" s="836"/>
      <c r="AIN39" s="836"/>
      <c r="AIO39" s="836"/>
      <c r="AIP39" s="836"/>
      <c r="AIQ39" s="836"/>
      <c r="AIR39" s="836"/>
      <c r="AIS39" s="836"/>
      <c r="AIT39" s="836"/>
      <c r="AIU39" s="836"/>
      <c r="AIV39" s="836"/>
      <c r="AIW39" s="836"/>
      <c r="AIX39" s="836"/>
      <c r="AIY39" s="836"/>
      <c r="AIZ39" s="836"/>
      <c r="AJA39" s="836"/>
      <c r="AJB39" s="836"/>
      <c r="AJC39" s="836"/>
      <c r="AJD39" s="836"/>
      <c r="AJE39" s="836"/>
      <c r="AJF39" s="836"/>
      <c r="AJG39" s="836"/>
      <c r="AJH39" s="836"/>
      <c r="AJI39" s="836"/>
      <c r="AJJ39" s="836"/>
      <c r="AJK39" s="836"/>
      <c r="AJL39" s="836"/>
      <c r="AJM39" s="836"/>
      <c r="AJN39" s="836"/>
      <c r="AJO39" s="836"/>
      <c r="AJP39" s="836"/>
      <c r="AJQ39" s="836"/>
      <c r="AJR39" s="836"/>
      <c r="AJS39" s="836"/>
      <c r="AJT39" s="836"/>
      <c r="AJU39" s="836"/>
      <c r="AJV39" s="836"/>
      <c r="AJW39" s="836"/>
      <c r="AJX39" s="836"/>
      <c r="AJY39" s="836"/>
      <c r="AJZ39" s="836"/>
      <c r="AKA39" s="836"/>
      <c r="AKB39" s="836"/>
      <c r="AKC39" s="836"/>
      <c r="AKD39" s="836"/>
      <c r="AKE39" s="836"/>
      <c r="AKF39" s="836"/>
      <c r="AKG39" s="836"/>
      <c r="AKH39" s="836"/>
      <c r="AKI39" s="836"/>
      <c r="AKJ39" s="836"/>
      <c r="AKK39" s="836"/>
      <c r="AKL39" s="836"/>
      <c r="AKM39" s="836"/>
      <c r="AKN39" s="836"/>
      <c r="AKO39" s="836"/>
      <c r="AKP39" s="836"/>
      <c r="AKQ39" s="836"/>
      <c r="AKR39" s="836"/>
      <c r="AKS39" s="836"/>
      <c r="AKT39" s="836"/>
      <c r="AKU39" s="836"/>
      <c r="AKV39" s="836"/>
      <c r="AKW39" s="836"/>
      <c r="AKX39" s="836"/>
      <c r="AKY39" s="836"/>
      <c r="AKZ39" s="836"/>
      <c r="ALA39" s="836"/>
      <c r="ALB39" s="836"/>
      <c r="ALC39" s="836"/>
      <c r="ALD39" s="836"/>
      <c r="ALE39" s="836"/>
      <c r="ALF39" s="836"/>
      <c r="ALG39" s="836"/>
      <c r="ALH39" s="836"/>
      <c r="ALI39" s="836"/>
      <c r="ALJ39" s="836"/>
      <c r="ALK39" s="836"/>
      <c r="ALL39" s="836"/>
      <c r="ALM39" s="836"/>
      <c r="ALN39" s="836"/>
      <c r="ALO39" s="836"/>
      <c r="ALP39" s="836"/>
      <c r="ALQ39" s="836"/>
      <c r="ALR39" s="836"/>
      <c r="ALS39" s="836"/>
      <c r="ALT39" s="836"/>
      <c r="ALU39" s="836"/>
      <c r="ALV39" s="836"/>
      <c r="ALW39" s="836"/>
      <c r="ALX39" s="836"/>
      <c r="ALY39" s="836"/>
      <c r="ALZ39" s="836"/>
      <c r="AMA39" s="836"/>
      <c r="AMB39" s="836"/>
      <c r="AMC39" s="836"/>
      <c r="AMD39" s="836"/>
      <c r="AME39" s="836"/>
      <c r="AMF39" s="836"/>
      <c r="AMG39" s="836"/>
      <c r="AMH39" s="836"/>
      <c r="AMI39" s="836"/>
      <c r="AMJ39" s="836"/>
      <c r="AMK39" s="836"/>
      <c r="AML39" s="836"/>
      <c r="AMM39" s="836"/>
      <c r="AMN39" s="836"/>
      <c r="AMO39" s="836"/>
      <c r="AMP39" s="836"/>
      <c r="AMQ39" s="836"/>
      <c r="AMR39" s="836"/>
      <c r="AMS39" s="836"/>
      <c r="AMT39" s="836"/>
      <c r="AMU39" s="836"/>
      <c r="AMV39" s="836"/>
      <c r="AMW39" s="836"/>
      <c r="AMX39" s="836"/>
      <c r="AMY39" s="836"/>
      <c r="AMZ39" s="836"/>
      <c r="ANA39" s="836"/>
      <c r="ANB39" s="836"/>
      <c r="ANC39" s="836"/>
      <c r="AND39" s="836"/>
      <c r="ANE39" s="836"/>
      <c r="ANF39" s="836"/>
      <c r="ANG39" s="836"/>
      <c r="ANH39" s="836"/>
      <c r="ANI39" s="836"/>
      <c r="ANJ39" s="836"/>
      <c r="ANK39" s="836"/>
      <c r="ANL39" s="836"/>
      <c r="ANM39" s="836"/>
      <c r="ANN39" s="836"/>
      <c r="ANO39" s="836"/>
      <c r="ANP39" s="836"/>
      <c r="ANQ39" s="836"/>
      <c r="ANR39" s="836"/>
      <c r="ANS39" s="836"/>
      <c r="ANT39" s="836"/>
      <c r="ANU39" s="836"/>
      <c r="ANV39" s="836"/>
      <c r="ANW39" s="836"/>
      <c r="ANX39" s="836"/>
      <c r="ANY39" s="836"/>
      <c r="ANZ39" s="836"/>
      <c r="AOA39" s="836"/>
      <c r="AOB39" s="836"/>
      <c r="AOC39" s="836"/>
      <c r="AOD39" s="836"/>
      <c r="AOE39" s="836"/>
      <c r="AOF39" s="836"/>
      <c r="AOG39" s="836"/>
      <c r="AOH39" s="836"/>
      <c r="AOI39" s="836"/>
      <c r="AOJ39" s="836"/>
      <c r="AOK39" s="836"/>
      <c r="AOL39" s="836"/>
      <c r="AOM39" s="836"/>
      <c r="AON39" s="836"/>
      <c r="AOO39" s="836"/>
      <c r="AOP39" s="836"/>
      <c r="AOQ39" s="836"/>
      <c r="AOR39" s="836"/>
      <c r="AOS39" s="836"/>
      <c r="AOT39" s="836"/>
      <c r="AOU39" s="836"/>
      <c r="AOV39" s="836"/>
      <c r="AOW39" s="836"/>
      <c r="AOX39" s="836"/>
      <c r="AOY39" s="836"/>
      <c r="AOZ39" s="836"/>
      <c r="APA39" s="836"/>
      <c r="APB39" s="836"/>
      <c r="APC39" s="836"/>
      <c r="APD39" s="836"/>
      <c r="APE39" s="836"/>
      <c r="APF39" s="836"/>
      <c r="APG39" s="836"/>
      <c r="APH39" s="836"/>
      <c r="API39" s="836"/>
      <c r="APJ39" s="836"/>
      <c r="APK39" s="836"/>
      <c r="APL39" s="836"/>
      <c r="APM39" s="836"/>
      <c r="APN39" s="836"/>
      <c r="APO39" s="836"/>
      <c r="APP39" s="836"/>
      <c r="APQ39" s="836"/>
      <c r="APR39" s="836"/>
      <c r="APS39" s="836"/>
      <c r="APT39" s="836"/>
      <c r="APU39" s="836"/>
      <c r="APV39" s="836"/>
      <c r="APW39" s="836"/>
      <c r="APX39" s="836"/>
      <c r="APY39" s="836"/>
      <c r="APZ39" s="836"/>
      <c r="AQA39" s="836"/>
      <c r="AQB39" s="836"/>
      <c r="AQC39" s="836"/>
      <c r="AQD39" s="836"/>
      <c r="AQE39" s="836"/>
      <c r="AQF39" s="836"/>
      <c r="AQG39" s="836"/>
      <c r="AQH39" s="836"/>
      <c r="AQI39" s="836"/>
      <c r="AQJ39" s="836"/>
      <c r="AQK39" s="836"/>
      <c r="AQL39" s="836"/>
      <c r="AQM39" s="836"/>
      <c r="AQN39" s="836"/>
      <c r="AQO39" s="836"/>
      <c r="AQP39" s="836"/>
      <c r="AQQ39" s="836"/>
      <c r="AQR39" s="836"/>
      <c r="AQS39" s="836"/>
      <c r="AQT39" s="836"/>
      <c r="AQU39" s="836"/>
      <c r="AQV39" s="836"/>
      <c r="AQW39" s="836"/>
      <c r="AQX39" s="836"/>
      <c r="AQY39" s="836"/>
      <c r="AQZ39" s="836"/>
      <c r="ARA39" s="836"/>
      <c r="ARB39" s="836"/>
      <c r="ARC39" s="836"/>
      <c r="ARD39" s="836"/>
      <c r="ARE39" s="836"/>
      <c r="ARF39" s="836"/>
      <c r="ARG39" s="836"/>
      <c r="ARH39" s="836"/>
      <c r="ARI39" s="836"/>
      <c r="ARJ39" s="836"/>
      <c r="ARK39" s="836"/>
      <c r="ARL39" s="836"/>
      <c r="ARM39" s="836"/>
      <c r="ARN39" s="836"/>
      <c r="ARO39" s="836"/>
      <c r="ARP39" s="836"/>
      <c r="ARQ39" s="836"/>
      <c r="ARR39" s="836"/>
      <c r="ARS39" s="836"/>
      <c r="ART39" s="836"/>
      <c r="ARU39" s="836"/>
      <c r="ARV39" s="836"/>
      <c r="ARW39" s="836"/>
      <c r="ARX39" s="836"/>
      <c r="ARY39" s="836"/>
      <c r="ARZ39" s="836"/>
      <c r="ASA39" s="836"/>
      <c r="ASB39" s="836"/>
      <c r="ASC39" s="836"/>
      <c r="ASD39" s="836"/>
      <c r="ASE39" s="836"/>
      <c r="ASF39" s="836"/>
      <c r="ASG39" s="836"/>
      <c r="ASH39" s="836"/>
      <c r="ASI39" s="836"/>
      <c r="ASJ39" s="836"/>
      <c r="ASK39" s="836"/>
      <c r="ASL39" s="836"/>
      <c r="ASM39" s="836"/>
      <c r="ASN39" s="836"/>
      <c r="ASO39" s="836"/>
      <c r="ASP39" s="836"/>
      <c r="ASQ39" s="836"/>
      <c r="ASR39" s="836"/>
      <c r="ASS39" s="836"/>
      <c r="AST39" s="836"/>
      <c r="ASU39" s="836"/>
      <c r="ASV39" s="836"/>
      <c r="ASW39" s="836"/>
      <c r="ASX39" s="836"/>
      <c r="ASY39" s="836"/>
      <c r="ASZ39" s="836"/>
      <c r="ATA39" s="836"/>
      <c r="ATB39" s="836"/>
      <c r="ATC39" s="836"/>
      <c r="ATD39" s="836"/>
      <c r="ATE39" s="836"/>
      <c r="ATF39" s="836"/>
      <c r="ATG39" s="836"/>
      <c r="ATH39" s="836"/>
      <c r="ATI39" s="836"/>
      <c r="ATJ39" s="836"/>
      <c r="ATK39" s="836"/>
      <c r="ATL39" s="836"/>
      <c r="ATM39" s="836"/>
      <c r="ATN39" s="836"/>
      <c r="ATO39" s="836"/>
      <c r="ATP39" s="836"/>
      <c r="ATQ39" s="836"/>
      <c r="ATR39" s="836"/>
      <c r="ATS39" s="836"/>
      <c r="ATT39" s="836"/>
      <c r="ATU39" s="836"/>
      <c r="ATV39" s="836"/>
      <c r="ATW39" s="836"/>
      <c r="ATX39" s="836"/>
      <c r="ATY39" s="836"/>
      <c r="ATZ39" s="836"/>
      <c r="AUA39" s="836"/>
      <c r="AUB39" s="836"/>
      <c r="AUC39" s="836"/>
      <c r="AUD39" s="836"/>
      <c r="AUE39" s="836"/>
      <c r="AUF39" s="836"/>
      <c r="AUG39" s="836"/>
      <c r="AUH39" s="836"/>
      <c r="AUI39" s="836"/>
      <c r="AUJ39" s="836"/>
      <c r="AUK39" s="836"/>
      <c r="AUL39" s="836"/>
      <c r="AUM39" s="836"/>
      <c r="AUN39" s="836"/>
      <c r="AUO39" s="836"/>
      <c r="AUP39" s="836"/>
      <c r="AUQ39" s="836"/>
      <c r="AUR39" s="836"/>
      <c r="AUS39" s="836"/>
      <c r="AUT39" s="836"/>
      <c r="AUU39" s="836"/>
      <c r="AUV39" s="836"/>
      <c r="AUW39" s="836"/>
      <c r="AUX39" s="836"/>
      <c r="AUY39" s="836"/>
      <c r="AUZ39" s="836"/>
      <c r="AVA39" s="836"/>
      <c r="AVB39" s="836"/>
      <c r="AVC39" s="836"/>
      <c r="AVD39" s="836"/>
      <c r="AVE39" s="836"/>
      <c r="AVF39" s="836"/>
      <c r="AVG39" s="836"/>
      <c r="AVH39" s="836"/>
      <c r="AVI39" s="836"/>
      <c r="AVJ39" s="836"/>
      <c r="AVK39" s="836"/>
      <c r="AVL39" s="836"/>
      <c r="AVM39" s="836"/>
      <c r="AVN39" s="836"/>
      <c r="AVO39" s="836"/>
      <c r="AVP39" s="836"/>
      <c r="AVQ39" s="836"/>
      <c r="AVR39" s="836"/>
      <c r="AVS39" s="836"/>
      <c r="AVT39" s="836"/>
      <c r="AVU39" s="836"/>
      <c r="AVV39" s="836"/>
      <c r="AVW39" s="836"/>
      <c r="AVX39" s="836"/>
      <c r="AVY39" s="836"/>
      <c r="AVZ39" s="836"/>
      <c r="AWA39" s="836"/>
      <c r="AWB39" s="836"/>
      <c r="AWC39" s="836"/>
      <c r="AWD39" s="836"/>
      <c r="AWE39" s="836"/>
      <c r="AWF39" s="836"/>
      <c r="AWG39" s="836"/>
      <c r="AWH39" s="836"/>
      <c r="AWI39" s="836"/>
      <c r="AWJ39" s="836"/>
      <c r="AWK39" s="836"/>
      <c r="AWL39" s="836"/>
      <c r="AWM39" s="836"/>
      <c r="AWN39" s="836"/>
      <c r="AWO39" s="836"/>
      <c r="AWP39" s="836"/>
      <c r="AWQ39" s="836"/>
      <c r="AWR39" s="836"/>
      <c r="AWS39" s="836"/>
      <c r="AWT39" s="836"/>
      <c r="AWU39" s="836"/>
      <c r="AWV39" s="836"/>
      <c r="AWW39" s="836"/>
      <c r="AWX39" s="836"/>
      <c r="AWY39" s="836"/>
      <c r="AWZ39" s="836"/>
      <c r="AXA39" s="836"/>
      <c r="AXB39" s="836"/>
      <c r="AXC39" s="836"/>
      <c r="AXD39" s="836"/>
      <c r="AXE39" s="836"/>
      <c r="AXF39" s="836"/>
      <c r="AXG39" s="836"/>
      <c r="AXH39" s="836"/>
      <c r="AXI39" s="836"/>
      <c r="AXJ39" s="836"/>
      <c r="AXK39" s="836"/>
      <c r="AXL39" s="836"/>
      <c r="AXM39" s="836"/>
      <c r="AXN39" s="836"/>
      <c r="AXO39" s="836"/>
      <c r="AXP39" s="836"/>
      <c r="AXQ39" s="836"/>
      <c r="AXR39" s="836"/>
      <c r="AXS39" s="836"/>
      <c r="AXT39" s="836"/>
      <c r="AXU39" s="836"/>
      <c r="AXV39" s="836"/>
      <c r="AXW39" s="836"/>
      <c r="AXX39" s="836"/>
      <c r="AXY39" s="836"/>
      <c r="AXZ39" s="836"/>
      <c r="AYA39" s="836"/>
      <c r="AYB39" s="836"/>
      <c r="AYC39" s="836"/>
      <c r="AYD39" s="836"/>
      <c r="AYE39" s="836"/>
      <c r="AYF39" s="836"/>
      <c r="AYG39" s="836"/>
      <c r="AYH39" s="836"/>
      <c r="AYI39" s="836"/>
      <c r="AYJ39" s="836"/>
      <c r="AYK39" s="836"/>
      <c r="AYL39" s="836"/>
      <c r="AYM39" s="836"/>
      <c r="AYN39" s="836"/>
      <c r="AYO39" s="836"/>
      <c r="AYP39" s="836"/>
      <c r="AYQ39" s="836"/>
      <c r="AYR39" s="836"/>
      <c r="AYS39" s="836"/>
      <c r="AYT39" s="836"/>
      <c r="AYU39" s="836"/>
      <c r="AYV39" s="836"/>
      <c r="AYW39" s="836"/>
      <c r="AYX39" s="836"/>
      <c r="AYY39" s="836"/>
      <c r="AYZ39" s="836"/>
      <c r="AZA39" s="836"/>
      <c r="AZB39" s="836"/>
      <c r="AZC39" s="836"/>
      <c r="AZD39" s="836"/>
      <c r="AZE39" s="836"/>
      <c r="AZF39" s="836"/>
      <c r="AZG39" s="836"/>
      <c r="AZH39" s="836"/>
      <c r="AZI39" s="836"/>
      <c r="AZJ39" s="836"/>
      <c r="AZK39" s="836"/>
      <c r="AZL39" s="836"/>
      <c r="AZM39" s="836"/>
      <c r="AZN39" s="836"/>
      <c r="AZO39" s="836"/>
      <c r="AZP39" s="836"/>
      <c r="AZQ39" s="836"/>
      <c r="AZR39" s="836"/>
      <c r="AZS39" s="836"/>
      <c r="AZT39" s="836"/>
      <c r="AZU39" s="836"/>
      <c r="AZV39" s="836"/>
      <c r="AZW39" s="836"/>
      <c r="AZX39" s="836"/>
      <c r="AZY39" s="836"/>
      <c r="AZZ39" s="836"/>
      <c r="BAA39" s="836"/>
      <c r="BAB39" s="836"/>
      <c r="BAC39" s="836"/>
      <c r="BAD39" s="836"/>
      <c r="BAE39" s="836"/>
      <c r="BAF39" s="836"/>
      <c r="BAG39" s="836"/>
      <c r="BAH39" s="836"/>
      <c r="BAI39" s="836"/>
      <c r="BAJ39" s="836"/>
      <c r="BAK39" s="836"/>
      <c r="BAL39" s="836"/>
      <c r="BAM39" s="836"/>
      <c r="BAN39" s="836"/>
      <c r="BAO39" s="836"/>
      <c r="BAP39" s="836"/>
      <c r="BAQ39" s="836"/>
      <c r="BAR39" s="836"/>
      <c r="BAS39" s="836"/>
      <c r="BAT39" s="836"/>
      <c r="BAU39" s="836"/>
      <c r="BAV39" s="836"/>
      <c r="BAW39" s="836"/>
      <c r="BAX39" s="836"/>
      <c r="BAY39" s="836"/>
      <c r="BAZ39" s="836"/>
      <c r="BBA39" s="836"/>
      <c r="BBB39" s="836"/>
      <c r="BBC39" s="836"/>
      <c r="BBD39" s="836"/>
      <c r="BBE39" s="836"/>
      <c r="BBF39" s="836"/>
      <c r="BBG39" s="836"/>
      <c r="BBH39" s="836"/>
      <c r="BBI39" s="836"/>
      <c r="BBJ39" s="836"/>
      <c r="BBK39" s="836"/>
      <c r="BBL39" s="836"/>
      <c r="BBM39" s="836"/>
      <c r="BBN39" s="836"/>
      <c r="BBO39" s="836"/>
      <c r="BBP39" s="836"/>
      <c r="BBQ39" s="836"/>
      <c r="BBR39" s="836"/>
      <c r="BBS39" s="836"/>
      <c r="BBT39" s="836"/>
      <c r="BBU39" s="836"/>
      <c r="BBV39" s="836"/>
      <c r="BBW39" s="836"/>
      <c r="BBX39" s="836"/>
      <c r="BBY39" s="836"/>
      <c r="BBZ39" s="836"/>
      <c r="BCA39" s="836"/>
      <c r="BCB39" s="836"/>
      <c r="BCC39" s="836"/>
      <c r="BCD39" s="836"/>
      <c r="BCE39" s="836"/>
      <c r="BCF39" s="836"/>
      <c r="BCG39" s="836"/>
      <c r="BCH39" s="836"/>
      <c r="BCI39" s="836"/>
      <c r="BCJ39" s="836"/>
      <c r="BCK39" s="836"/>
      <c r="BCL39" s="836"/>
      <c r="BCM39" s="836"/>
      <c r="BCN39" s="836"/>
      <c r="BCO39" s="836"/>
      <c r="BCP39" s="836"/>
      <c r="BCQ39" s="836"/>
      <c r="BCR39" s="836"/>
      <c r="BCS39" s="836"/>
      <c r="BCT39" s="836"/>
      <c r="BCU39" s="836"/>
      <c r="BCV39" s="836"/>
      <c r="BCW39" s="836"/>
      <c r="BCX39" s="836"/>
      <c r="BCY39" s="836"/>
      <c r="BCZ39" s="836"/>
      <c r="BDA39" s="836"/>
      <c r="BDB39" s="836"/>
      <c r="BDC39" s="836"/>
      <c r="BDD39" s="836"/>
      <c r="BDE39" s="836"/>
      <c r="BDF39" s="836"/>
      <c r="BDG39" s="836"/>
      <c r="BDH39" s="836"/>
      <c r="BDI39" s="836"/>
      <c r="BDJ39" s="836"/>
      <c r="BDK39" s="836"/>
      <c r="BDL39" s="836"/>
      <c r="BDM39" s="836"/>
      <c r="BDN39" s="836"/>
      <c r="BDO39" s="836"/>
      <c r="BDP39" s="836"/>
      <c r="BDQ39" s="836"/>
      <c r="BDR39" s="836"/>
      <c r="BDS39" s="836"/>
      <c r="BDT39" s="836"/>
      <c r="BDU39" s="836"/>
      <c r="BDV39" s="836"/>
      <c r="BDW39" s="836"/>
      <c r="BDX39" s="836"/>
      <c r="BDY39" s="836"/>
      <c r="BDZ39" s="836"/>
      <c r="BEA39" s="836"/>
      <c r="BEB39" s="836"/>
      <c r="BEC39" s="836"/>
      <c r="BED39" s="836"/>
      <c r="BEE39" s="836"/>
      <c r="BEF39" s="836"/>
      <c r="BEG39" s="836"/>
      <c r="BEH39" s="836"/>
      <c r="BEI39" s="836"/>
      <c r="BEJ39" s="836"/>
      <c r="BEK39" s="836"/>
      <c r="BEL39" s="836"/>
      <c r="BEM39" s="836"/>
      <c r="BEN39" s="836"/>
      <c r="BEO39" s="836"/>
      <c r="BEP39" s="836"/>
      <c r="BEQ39" s="836"/>
      <c r="BER39" s="836"/>
      <c r="BES39" s="836"/>
      <c r="BET39" s="836"/>
      <c r="BEU39" s="836"/>
      <c r="BEV39" s="836"/>
      <c r="BEW39" s="836"/>
      <c r="BEX39" s="836"/>
      <c r="BEY39" s="836"/>
      <c r="BEZ39" s="836"/>
      <c r="BFA39" s="836"/>
      <c r="BFB39" s="836"/>
      <c r="BFC39" s="836"/>
      <c r="BFD39" s="836"/>
      <c r="BFE39" s="836"/>
      <c r="BFF39" s="836"/>
      <c r="BFG39" s="836"/>
      <c r="BFH39" s="836"/>
      <c r="BFI39" s="836"/>
      <c r="BFJ39" s="836"/>
      <c r="BFK39" s="836"/>
      <c r="BFL39" s="836"/>
      <c r="BFM39" s="836"/>
      <c r="BFN39" s="836"/>
      <c r="BFO39" s="836"/>
      <c r="BFP39" s="836"/>
      <c r="BFQ39" s="836"/>
      <c r="BFR39" s="836"/>
      <c r="BFS39" s="836"/>
      <c r="BFT39" s="836"/>
      <c r="BFU39" s="836"/>
      <c r="BFV39" s="836"/>
      <c r="BFW39" s="836"/>
      <c r="BFX39" s="836"/>
      <c r="BFY39" s="836"/>
      <c r="BFZ39" s="836"/>
      <c r="BGA39" s="836"/>
      <c r="BGB39" s="836"/>
      <c r="BGC39" s="836"/>
      <c r="BGD39" s="836"/>
      <c r="BGE39" s="836"/>
      <c r="BGF39" s="836"/>
      <c r="BGG39" s="836"/>
      <c r="BGH39" s="836"/>
      <c r="BGI39" s="836"/>
      <c r="BGJ39" s="836"/>
      <c r="BGK39" s="836"/>
      <c r="BGL39" s="836"/>
      <c r="BGM39" s="836"/>
      <c r="BGN39" s="836"/>
      <c r="BGO39" s="836"/>
      <c r="BGP39" s="836"/>
      <c r="BGQ39" s="836"/>
      <c r="BGR39" s="836"/>
      <c r="BGS39" s="836"/>
      <c r="BGT39" s="836"/>
      <c r="BGU39" s="836"/>
      <c r="BGV39" s="836"/>
      <c r="BGW39" s="836"/>
      <c r="BGX39" s="836"/>
      <c r="BGY39" s="836"/>
      <c r="BGZ39" s="836"/>
      <c r="BHA39" s="836"/>
      <c r="BHB39" s="836"/>
      <c r="BHC39" s="836"/>
      <c r="BHD39" s="836"/>
      <c r="BHE39" s="836"/>
      <c r="BHF39" s="836"/>
      <c r="BHG39" s="836"/>
      <c r="BHH39" s="836"/>
      <c r="BHI39" s="836"/>
      <c r="BHJ39" s="836"/>
      <c r="BHK39" s="836"/>
      <c r="BHL39" s="836"/>
      <c r="BHM39" s="836"/>
      <c r="BHN39" s="836"/>
      <c r="BHO39" s="836"/>
      <c r="BHP39" s="836"/>
      <c r="BHQ39" s="836"/>
      <c r="BHR39" s="836"/>
      <c r="BHS39" s="836"/>
      <c r="BHT39" s="836"/>
      <c r="BHU39" s="836"/>
      <c r="BHV39" s="836"/>
      <c r="BHW39" s="836"/>
      <c r="BHX39" s="836"/>
      <c r="BHY39" s="836"/>
      <c r="BHZ39" s="836"/>
      <c r="BIA39" s="836"/>
      <c r="BIB39" s="836"/>
      <c r="BIC39" s="836"/>
      <c r="BID39" s="836"/>
      <c r="BIE39" s="836"/>
      <c r="BIF39" s="836"/>
      <c r="BIG39" s="836"/>
      <c r="BIH39" s="836"/>
      <c r="BII39" s="836"/>
      <c r="BIJ39" s="836"/>
      <c r="BIK39" s="836"/>
      <c r="BIL39" s="836"/>
      <c r="BIM39" s="836"/>
      <c r="BIN39" s="836"/>
      <c r="BIO39" s="836"/>
      <c r="BIP39" s="836"/>
      <c r="BIQ39" s="836"/>
      <c r="BIR39" s="836"/>
      <c r="BIS39" s="836"/>
      <c r="BIT39" s="836"/>
      <c r="BIU39" s="836"/>
      <c r="BIV39" s="836"/>
      <c r="BIW39" s="836"/>
      <c r="BIX39" s="836"/>
      <c r="BIY39" s="836"/>
      <c r="BIZ39" s="836"/>
      <c r="BJA39" s="836"/>
      <c r="BJB39" s="836"/>
      <c r="BJC39" s="836"/>
      <c r="BJD39" s="836"/>
      <c r="BJE39" s="836"/>
      <c r="BJF39" s="836"/>
      <c r="BJG39" s="836"/>
      <c r="BJH39" s="836"/>
      <c r="BJI39" s="836"/>
      <c r="BJJ39" s="836"/>
      <c r="BJK39" s="836"/>
      <c r="BJL39" s="836"/>
      <c r="BJM39" s="836"/>
      <c r="BJN39" s="836"/>
      <c r="BJO39" s="836"/>
      <c r="BJP39" s="836"/>
      <c r="BJQ39" s="836"/>
      <c r="BJR39" s="836"/>
      <c r="BJS39" s="836"/>
      <c r="BJT39" s="836"/>
      <c r="BJU39" s="836"/>
      <c r="BJV39" s="836"/>
      <c r="BJW39" s="836"/>
      <c r="BJX39" s="836"/>
      <c r="BJY39" s="836"/>
      <c r="BJZ39" s="836"/>
      <c r="BKA39" s="836"/>
      <c r="BKB39" s="836"/>
      <c r="BKC39" s="836"/>
      <c r="BKD39" s="836"/>
      <c r="BKE39" s="836"/>
      <c r="BKF39" s="836"/>
      <c r="BKG39" s="836"/>
      <c r="BKH39" s="836"/>
      <c r="BKI39" s="836"/>
      <c r="BKJ39" s="836"/>
      <c r="BKK39" s="836"/>
      <c r="BKL39" s="836"/>
      <c r="BKM39" s="836"/>
      <c r="BKN39" s="836"/>
      <c r="BKO39" s="836"/>
      <c r="BKP39" s="836"/>
      <c r="BKQ39" s="836"/>
      <c r="BKR39" s="836"/>
      <c r="BKS39" s="836"/>
      <c r="BKT39" s="836"/>
      <c r="BKU39" s="836"/>
      <c r="BKV39" s="836"/>
      <c r="BKW39" s="836"/>
      <c r="BKX39" s="836"/>
      <c r="BKY39" s="836"/>
      <c r="BKZ39" s="836"/>
      <c r="BLA39" s="836"/>
      <c r="BLB39" s="836"/>
      <c r="BLC39" s="836"/>
      <c r="BLD39" s="836"/>
      <c r="BLE39" s="836"/>
      <c r="BLF39" s="836"/>
      <c r="BLG39" s="836"/>
      <c r="BLH39" s="836"/>
      <c r="BLI39" s="836"/>
      <c r="BLJ39" s="836"/>
      <c r="BLK39" s="836"/>
      <c r="BLL39" s="836"/>
      <c r="BLM39" s="836"/>
      <c r="BLN39" s="836"/>
      <c r="BLO39" s="836"/>
      <c r="BLP39" s="836"/>
      <c r="BLQ39" s="836"/>
      <c r="BLR39" s="836"/>
      <c r="BLS39" s="836"/>
      <c r="BLT39" s="836"/>
      <c r="BLU39" s="836"/>
      <c r="BLV39" s="836"/>
      <c r="BLW39" s="836"/>
      <c r="BLX39" s="836"/>
      <c r="BLY39" s="836"/>
      <c r="BLZ39" s="836"/>
      <c r="BMA39" s="836"/>
      <c r="BMB39" s="836"/>
      <c r="BMC39" s="836"/>
      <c r="BMD39" s="836"/>
      <c r="BME39" s="836"/>
      <c r="BMF39" s="836"/>
      <c r="BMG39" s="836"/>
      <c r="BMH39" s="836"/>
      <c r="BMI39" s="836"/>
      <c r="BMJ39" s="836"/>
      <c r="BMK39" s="836"/>
      <c r="BML39" s="836"/>
      <c r="BMM39" s="836"/>
      <c r="BMN39" s="836"/>
      <c r="BMO39" s="836"/>
      <c r="BMP39" s="836"/>
      <c r="BMQ39" s="836"/>
      <c r="BMR39" s="836"/>
      <c r="BMS39" s="836"/>
      <c r="BMT39" s="836"/>
      <c r="BMU39" s="836"/>
      <c r="BMV39" s="836"/>
      <c r="BMW39" s="836"/>
      <c r="BMX39" s="836"/>
      <c r="BMY39" s="836"/>
      <c r="BMZ39" s="836"/>
      <c r="BNA39" s="836"/>
      <c r="BNB39" s="836"/>
      <c r="BNC39" s="836"/>
      <c r="BND39" s="836"/>
      <c r="BNE39" s="836"/>
      <c r="BNF39" s="836"/>
      <c r="BNG39" s="836"/>
      <c r="BNH39" s="836"/>
      <c r="BNI39" s="836"/>
      <c r="BNJ39" s="836"/>
      <c r="BNK39" s="836"/>
      <c r="BNL39" s="836"/>
      <c r="BNM39" s="836"/>
      <c r="BNN39" s="836"/>
      <c r="BNO39" s="836"/>
      <c r="BNP39" s="836"/>
      <c r="BNQ39" s="836"/>
      <c r="BNR39" s="836"/>
      <c r="BNS39" s="836"/>
      <c r="BNT39" s="836"/>
      <c r="BNU39" s="836"/>
      <c r="BNV39" s="836"/>
      <c r="BNW39" s="836"/>
      <c r="BNX39" s="836"/>
      <c r="BNY39" s="836"/>
      <c r="BNZ39" s="836"/>
      <c r="BOA39" s="836"/>
      <c r="BOB39" s="836"/>
      <c r="BOC39" s="836"/>
      <c r="BOD39" s="836"/>
      <c r="BOE39" s="836"/>
      <c r="BOF39" s="836"/>
      <c r="BOG39" s="836"/>
      <c r="BOH39" s="836"/>
      <c r="BOI39" s="836"/>
      <c r="BOJ39" s="836"/>
      <c r="BOK39" s="836"/>
      <c r="BOL39" s="836"/>
      <c r="BOM39" s="836"/>
      <c r="BON39" s="836"/>
      <c r="BOO39" s="836"/>
      <c r="BOP39" s="836"/>
      <c r="BOQ39" s="836"/>
      <c r="BOR39" s="836"/>
      <c r="BOS39" s="836"/>
      <c r="BOT39" s="836"/>
      <c r="BOU39" s="836"/>
      <c r="BOV39" s="836"/>
      <c r="BOW39" s="836"/>
      <c r="BOX39" s="836"/>
      <c r="BOY39" s="836"/>
      <c r="BOZ39" s="836"/>
      <c r="BPA39" s="836"/>
      <c r="BPB39" s="836"/>
      <c r="BPC39" s="836"/>
      <c r="BPD39" s="836"/>
      <c r="BPE39" s="836"/>
      <c r="BPF39" s="836"/>
      <c r="BPG39" s="836"/>
      <c r="BPH39" s="836"/>
      <c r="BPI39" s="836"/>
      <c r="BPJ39" s="836"/>
      <c r="BPK39" s="836"/>
      <c r="BPL39" s="836"/>
      <c r="BPM39" s="836"/>
      <c r="BPN39" s="836"/>
      <c r="BPO39" s="836"/>
      <c r="BPP39" s="836"/>
      <c r="BPQ39" s="836"/>
      <c r="BPR39" s="836"/>
      <c r="BPS39" s="836"/>
      <c r="BPT39" s="836"/>
      <c r="BPU39" s="836"/>
      <c r="BPV39" s="836"/>
      <c r="BPW39" s="836"/>
      <c r="BPX39" s="836"/>
      <c r="BPY39" s="836"/>
      <c r="BPZ39" s="836"/>
      <c r="BQA39" s="836"/>
      <c r="BQB39" s="836"/>
      <c r="BQC39" s="836"/>
      <c r="BQD39" s="836"/>
      <c r="BQE39" s="836"/>
      <c r="BQF39" s="836"/>
      <c r="BQG39" s="836"/>
      <c r="BQH39" s="836"/>
      <c r="BQI39" s="836"/>
      <c r="BQJ39" s="836"/>
      <c r="BQK39" s="836"/>
      <c r="BQL39" s="836"/>
      <c r="BQM39" s="836"/>
      <c r="BQN39" s="836"/>
      <c r="BQO39" s="836"/>
      <c r="BQP39" s="836"/>
      <c r="BQQ39" s="836"/>
      <c r="BQR39" s="836"/>
      <c r="BQS39" s="836"/>
      <c r="BQT39" s="836"/>
      <c r="BQU39" s="836"/>
      <c r="BQV39" s="836"/>
      <c r="BQW39" s="836"/>
      <c r="BQX39" s="836"/>
      <c r="BQY39" s="836"/>
      <c r="BQZ39" s="836"/>
      <c r="BRA39" s="836"/>
      <c r="BRB39" s="836"/>
      <c r="BRC39" s="836"/>
      <c r="BRD39" s="836"/>
      <c r="BRE39" s="836"/>
      <c r="BRF39" s="836"/>
      <c r="BRG39" s="836"/>
      <c r="BRH39" s="836"/>
      <c r="BRI39" s="836"/>
      <c r="BRJ39" s="836"/>
      <c r="BRK39" s="836"/>
      <c r="BRL39" s="836"/>
      <c r="BRM39" s="836"/>
      <c r="BRN39" s="836"/>
      <c r="BRO39" s="836"/>
      <c r="BRP39" s="836"/>
      <c r="BRQ39" s="836"/>
      <c r="BRR39" s="836"/>
      <c r="BRS39" s="836"/>
      <c r="BRT39" s="836"/>
      <c r="BRU39" s="836"/>
      <c r="BRV39" s="836"/>
      <c r="BRW39" s="836"/>
      <c r="BRX39" s="836"/>
      <c r="BRY39" s="836"/>
      <c r="BRZ39" s="836"/>
      <c r="BSA39" s="836"/>
      <c r="BSB39" s="836"/>
      <c r="BSC39" s="836"/>
      <c r="BSD39" s="836"/>
      <c r="BSE39" s="836"/>
      <c r="BSF39" s="836"/>
      <c r="BSG39" s="836"/>
      <c r="BSH39" s="836"/>
      <c r="BSI39" s="836"/>
      <c r="BSJ39" s="836"/>
      <c r="BSK39" s="836"/>
      <c r="BSL39" s="836"/>
      <c r="BSM39" s="836"/>
      <c r="BSN39" s="836"/>
      <c r="BSO39" s="836"/>
      <c r="BSP39" s="836"/>
      <c r="BSQ39" s="836"/>
      <c r="BSR39" s="836"/>
      <c r="BSS39" s="836"/>
      <c r="BST39" s="836"/>
    </row>
    <row r="40" spans="1:1866" s="832" customFormat="1" ht="21.9" customHeight="1" x14ac:dyDescent="0.25">
      <c r="A40" s="836"/>
      <c r="B40" s="3177" t="s">
        <v>847</v>
      </c>
      <c r="C40" s="3178"/>
      <c r="D40" s="3159"/>
      <c r="E40" s="1439"/>
      <c r="F40" s="1439"/>
      <c r="G40" s="1439"/>
      <c r="H40" s="1439"/>
      <c r="I40" s="1439"/>
      <c r="J40" s="1439"/>
      <c r="K40" s="1439"/>
      <c r="L40" s="1439"/>
      <c r="M40" s="1439"/>
      <c r="N40" s="1439"/>
      <c r="O40" s="1439"/>
      <c r="P40" s="1439"/>
      <c r="Q40" s="1439"/>
      <c r="R40" s="1439"/>
      <c r="S40" s="1439"/>
      <c r="T40" s="1439"/>
      <c r="U40" s="1439"/>
      <c r="V40" s="1274"/>
      <c r="W40" s="835"/>
      <c r="X40" s="835"/>
      <c r="Y40" s="835"/>
      <c r="Z40" s="835"/>
      <c r="AA40" s="869"/>
      <c r="AB40" s="835"/>
      <c r="AC40" s="835"/>
      <c r="AD40" s="835"/>
      <c r="AE40" s="835"/>
      <c r="AF40" s="835"/>
      <c r="AG40" s="835"/>
      <c r="AH40" s="835"/>
      <c r="AI40" s="835"/>
      <c r="AJ40" s="835"/>
      <c r="AK40" s="835"/>
      <c r="AL40" s="835"/>
      <c r="AM40" s="836"/>
      <c r="AN40" s="836"/>
      <c r="AO40" s="836"/>
      <c r="AP40" s="836"/>
      <c r="AQ40" s="836"/>
      <c r="AR40" s="836"/>
      <c r="AS40" s="836"/>
      <c r="AT40" s="836"/>
      <c r="AU40" s="836"/>
      <c r="AV40" s="836"/>
      <c r="AW40" s="836"/>
      <c r="AX40" s="836"/>
      <c r="AY40" s="836"/>
      <c r="AZ40" s="836"/>
      <c r="BA40" s="836"/>
      <c r="BB40" s="836"/>
      <c r="BC40" s="836"/>
      <c r="BD40" s="836"/>
      <c r="BE40" s="836"/>
      <c r="BF40" s="836"/>
      <c r="BG40" s="836"/>
      <c r="BH40" s="836"/>
      <c r="BI40" s="836"/>
      <c r="BJ40" s="836"/>
      <c r="BK40" s="836"/>
      <c r="BL40" s="836"/>
      <c r="BM40" s="836"/>
      <c r="BN40" s="836"/>
      <c r="BO40" s="836"/>
      <c r="BP40" s="836"/>
      <c r="BQ40" s="836"/>
      <c r="BR40" s="836"/>
      <c r="BS40" s="836"/>
      <c r="BT40" s="836"/>
      <c r="BU40" s="836"/>
      <c r="BV40" s="836"/>
      <c r="BW40" s="836"/>
      <c r="BX40" s="836"/>
      <c r="BY40" s="836"/>
      <c r="BZ40" s="836"/>
      <c r="CA40" s="836"/>
      <c r="CB40" s="836"/>
      <c r="CC40" s="836"/>
      <c r="CD40" s="836"/>
      <c r="CE40" s="836"/>
      <c r="CF40" s="836"/>
      <c r="CG40" s="836"/>
      <c r="CH40" s="836"/>
      <c r="CI40" s="836"/>
      <c r="CJ40" s="836"/>
      <c r="CK40" s="836"/>
      <c r="CL40" s="836"/>
      <c r="CM40" s="836"/>
      <c r="CN40" s="836"/>
      <c r="CO40" s="836"/>
      <c r="CP40" s="836"/>
      <c r="CQ40" s="836"/>
      <c r="CR40" s="836"/>
      <c r="CS40" s="836"/>
      <c r="CT40" s="836"/>
      <c r="CU40" s="836"/>
      <c r="CV40" s="836"/>
      <c r="CW40" s="836"/>
      <c r="CX40" s="836"/>
      <c r="CY40" s="836"/>
      <c r="CZ40" s="836"/>
      <c r="DA40" s="836"/>
      <c r="DB40" s="836"/>
      <c r="DC40" s="836"/>
      <c r="DD40" s="836"/>
      <c r="DE40" s="836"/>
      <c r="DF40" s="836"/>
      <c r="DG40" s="836"/>
      <c r="DH40" s="836"/>
      <c r="DI40" s="836"/>
      <c r="DJ40" s="836"/>
      <c r="DK40" s="836"/>
      <c r="DL40" s="836"/>
      <c r="DM40" s="836"/>
      <c r="DN40" s="836"/>
      <c r="DO40" s="836"/>
      <c r="DP40" s="836"/>
      <c r="DQ40" s="836"/>
      <c r="DR40" s="836"/>
      <c r="DS40" s="836"/>
      <c r="DT40" s="836"/>
      <c r="DU40" s="836"/>
      <c r="DV40" s="836"/>
      <c r="DW40" s="836"/>
      <c r="DX40" s="836"/>
      <c r="DY40" s="836"/>
      <c r="DZ40" s="836"/>
      <c r="EA40" s="836"/>
      <c r="EB40" s="836"/>
      <c r="EC40" s="836"/>
      <c r="ED40" s="836"/>
      <c r="EE40" s="836"/>
      <c r="EF40" s="836"/>
      <c r="EG40" s="836"/>
      <c r="EH40" s="836"/>
      <c r="EI40" s="836"/>
      <c r="EJ40" s="836"/>
      <c r="EK40" s="836"/>
      <c r="EL40" s="836"/>
      <c r="EM40" s="836"/>
      <c r="EN40" s="836"/>
      <c r="EO40" s="836"/>
      <c r="EP40" s="836"/>
      <c r="EQ40" s="836"/>
      <c r="ER40" s="836"/>
      <c r="ES40" s="836"/>
      <c r="ET40" s="836"/>
      <c r="EU40" s="836"/>
      <c r="EV40" s="836"/>
      <c r="EW40" s="836"/>
      <c r="EX40" s="836"/>
      <c r="EY40" s="836"/>
      <c r="EZ40" s="836"/>
      <c r="FA40" s="836"/>
      <c r="FB40" s="836"/>
      <c r="FC40" s="836"/>
      <c r="FD40" s="836"/>
      <c r="FE40" s="836"/>
      <c r="FF40" s="836"/>
      <c r="FG40" s="836"/>
      <c r="FH40" s="836"/>
      <c r="FI40" s="836"/>
      <c r="FJ40" s="836"/>
      <c r="FK40" s="836"/>
      <c r="FL40" s="836"/>
      <c r="FM40" s="836"/>
      <c r="FN40" s="836"/>
      <c r="FO40" s="836"/>
      <c r="FP40" s="836"/>
      <c r="FQ40" s="836"/>
      <c r="FR40" s="836"/>
      <c r="FS40" s="836"/>
      <c r="FT40" s="836"/>
      <c r="FU40" s="836"/>
      <c r="FV40" s="836"/>
      <c r="FW40" s="836"/>
      <c r="FX40" s="836"/>
      <c r="FY40" s="836"/>
      <c r="FZ40" s="836"/>
      <c r="GA40" s="836"/>
      <c r="GB40" s="836"/>
      <c r="GC40" s="836"/>
      <c r="GD40" s="836"/>
      <c r="GE40" s="836"/>
      <c r="GF40" s="836"/>
      <c r="GG40" s="836"/>
      <c r="GH40" s="836"/>
      <c r="GI40" s="836"/>
      <c r="GJ40" s="836"/>
      <c r="GK40" s="836"/>
      <c r="GL40" s="836"/>
      <c r="GM40" s="836"/>
      <c r="GN40" s="836"/>
      <c r="GO40" s="836"/>
      <c r="GP40" s="836"/>
      <c r="GQ40" s="836"/>
      <c r="GR40" s="836"/>
      <c r="GS40" s="836"/>
      <c r="GT40" s="836"/>
      <c r="GU40" s="836"/>
      <c r="GV40" s="836"/>
      <c r="GW40" s="836"/>
      <c r="GX40" s="836"/>
      <c r="GY40" s="836"/>
      <c r="GZ40" s="836"/>
      <c r="HA40" s="836"/>
      <c r="HB40" s="836"/>
      <c r="HC40" s="836"/>
      <c r="HD40" s="836"/>
      <c r="HE40" s="836"/>
      <c r="HF40" s="836"/>
      <c r="HG40" s="836"/>
      <c r="HH40" s="836"/>
      <c r="HI40" s="836"/>
      <c r="HJ40" s="836"/>
      <c r="HK40" s="836"/>
      <c r="HL40" s="836"/>
      <c r="HM40" s="836"/>
      <c r="HN40" s="836"/>
      <c r="HO40" s="836"/>
      <c r="HP40" s="836"/>
      <c r="HQ40" s="836"/>
      <c r="HR40" s="836"/>
      <c r="HS40" s="836"/>
      <c r="HT40" s="836"/>
      <c r="HU40" s="836"/>
      <c r="HV40" s="836"/>
      <c r="HW40" s="836"/>
      <c r="HX40" s="836"/>
      <c r="HY40" s="836"/>
      <c r="HZ40" s="836"/>
      <c r="IA40" s="836"/>
      <c r="IB40" s="836"/>
      <c r="IC40" s="836"/>
      <c r="ID40" s="836"/>
      <c r="IE40" s="836"/>
      <c r="IF40" s="836"/>
      <c r="IG40" s="836"/>
      <c r="IH40" s="836"/>
      <c r="II40" s="836"/>
      <c r="IJ40" s="836"/>
      <c r="IK40" s="836"/>
      <c r="IL40" s="836"/>
      <c r="IM40" s="836"/>
      <c r="IN40" s="836"/>
      <c r="IO40" s="836"/>
      <c r="IP40" s="836"/>
      <c r="IQ40" s="836"/>
      <c r="IR40" s="836"/>
      <c r="IS40" s="836"/>
      <c r="IT40" s="836"/>
      <c r="IU40" s="836"/>
      <c r="IV40" s="836"/>
      <c r="IW40" s="836"/>
      <c r="IX40" s="836"/>
      <c r="IY40" s="836"/>
      <c r="IZ40" s="836"/>
      <c r="JA40" s="836"/>
      <c r="JB40" s="836"/>
      <c r="JC40" s="836"/>
      <c r="JD40" s="836"/>
      <c r="JE40" s="836"/>
      <c r="JF40" s="836"/>
      <c r="JG40" s="836"/>
      <c r="JH40" s="836"/>
      <c r="JI40" s="836"/>
      <c r="JJ40" s="836"/>
      <c r="JK40" s="836"/>
      <c r="JL40" s="836"/>
      <c r="JM40" s="836"/>
      <c r="JN40" s="836"/>
      <c r="JO40" s="836"/>
      <c r="JP40" s="836"/>
      <c r="JQ40" s="836"/>
      <c r="JR40" s="836"/>
      <c r="JS40" s="836"/>
      <c r="JT40" s="836"/>
      <c r="JU40" s="836"/>
      <c r="JV40" s="836"/>
      <c r="JW40" s="836"/>
      <c r="JX40" s="836"/>
      <c r="JY40" s="836"/>
      <c r="JZ40" s="836"/>
      <c r="KA40" s="836"/>
      <c r="KB40" s="836"/>
      <c r="KC40" s="836"/>
      <c r="KD40" s="836"/>
      <c r="KE40" s="836"/>
      <c r="KF40" s="836"/>
      <c r="KG40" s="836"/>
      <c r="KH40" s="836"/>
      <c r="KI40" s="836"/>
      <c r="KJ40" s="836"/>
      <c r="KK40" s="836"/>
      <c r="KL40" s="836"/>
      <c r="KM40" s="836"/>
      <c r="KN40" s="836"/>
      <c r="KO40" s="836"/>
      <c r="KP40" s="836"/>
      <c r="KQ40" s="836"/>
      <c r="KR40" s="836"/>
      <c r="KS40" s="836"/>
      <c r="KT40" s="836"/>
      <c r="KU40" s="836"/>
      <c r="KV40" s="836"/>
      <c r="KW40" s="836"/>
      <c r="KX40" s="836"/>
      <c r="KY40" s="836"/>
      <c r="KZ40" s="836"/>
      <c r="LA40" s="836"/>
      <c r="LB40" s="836"/>
      <c r="LC40" s="836"/>
      <c r="LD40" s="836"/>
      <c r="LE40" s="836"/>
      <c r="LF40" s="836"/>
      <c r="LG40" s="836"/>
      <c r="LH40" s="836"/>
      <c r="LI40" s="836"/>
      <c r="LJ40" s="836"/>
      <c r="LK40" s="836"/>
      <c r="LL40" s="836"/>
      <c r="LM40" s="836"/>
      <c r="LN40" s="836"/>
      <c r="LO40" s="836"/>
      <c r="LP40" s="836"/>
      <c r="LQ40" s="836"/>
      <c r="LR40" s="836"/>
      <c r="LS40" s="836"/>
      <c r="LT40" s="836"/>
      <c r="LU40" s="836"/>
      <c r="LV40" s="836"/>
      <c r="LW40" s="836"/>
      <c r="LX40" s="836"/>
      <c r="LY40" s="836"/>
      <c r="LZ40" s="836"/>
      <c r="MA40" s="836"/>
      <c r="MB40" s="836"/>
      <c r="MC40" s="836"/>
      <c r="MD40" s="836"/>
      <c r="ME40" s="836"/>
      <c r="MF40" s="836"/>
      <c r="MG40" s="836"/>
      <c r="MH40" s="836"/>
      <c r="MI40" s="836"/>
      <c r="MJ40" s="836"/>
      <c r="MK40" s="836"/>
      <c r="ML40" s="836"/>
      <c r="MM40" s="836"/>
      <c r="MN40" s="836"/>
      <c r="MO40" s="836"/>
      <c r="MP40" s="836"/>
      <c r="MQ40" s="836"/>
      <c r="MR40" s="836"/>
      <c r="MS40" s="836"/>
      <c r="MT40" s="836"/>
      <c r="MU40" s="836"/>
      <c r="MV40" s="836"/>
      <c r="MW40" s="836"/>
      <c r="MX40" s="836"/>
      <c r="MY40" s="836"/>
      <c r="MZ40" s="836"/>
      <c r="NA40" s="836"/>
      <c r="NB40" s="836"/>
      <c r="NC40" s="836"/>
      <c r="ND40" s="836"/>
      <c r="NE40" s="836"/>
      <c r="NF40" s="836"/>
      <c r="NG40" s="836"/>
      <c r="NH40" s="836"/>
      <c r="NI40" s="836"/>
      <c r="NJ40" s="836"/>
      <c r="NK40" s="836"/>
      <c r="NL40" s="836"/>
      <c r="NM40" s="836"/>
      <c r="NN40" s="836"/>
      <c r="NO40" s="836"/>
      <c r="NP40" s="836"/>
      <c r="NQ40" s="836"/>
      <c r="NR40" s="836"/>
      <c r="NS40" s="836"/>
      <c r="NT40" s="836"/>
      <c r="NU40" s="836"/>
      <c r="NV40" s="836"/>
      <c r="NW40" s="836"/>
      <c r="NX40" s="836"/>
      <c r="NY40" s="836"/>
      <c r="NZ40" s="836"/>
      <c r="OA40" s="836"/>
      <c r="OB40" s="836"/>
      <c r="OC40" s="836"/>
      <c r="OD40" s="836"/>
      <c r="OE40" s="836"/>
      <c r="OF40" s="836"/>
      <c r="OG40" s="836"/>
      <c r="OH40" s="836"/>
      <c r="OI40" s="836"/>
      <c r="OJ40" s="836"/>
      <c r="OK40" s="836"/>
      <c r="OL40" s="836"/>
      <c r="OM40" s="836"/>
      <c r="ON40" s="836"/>
      <c r="OO40" s="836"/>
      <c r="OP40" s="836"/>
      <c r="OQ40" s="836"/>
      <c r="OR40" s="836"/>
      <c r="OS40" s="836"/>
      <c r="OT40" s="836"/>
      <c r="OU40" s="836"/>
      <c r="OV40" s="836"/>
      <c r="OW40" s="836"/>
      <c r="OX40" s="836"/>
      <c r="OY40" s="836"/>
      <c r="OZ40" s="836"/>
      <c r="PA40" s="836"/>
      <c r="PB40" s="836"/>
      <c r="PC40" s="836"/>
      <c r="PD40" s="836"/>
      <c r="PE40" s="836"/>
      <c r="PF40" s="836"/>
      <c r="PG40" s="836"/>
      <c r="PH40" s="836"/>
      <c r="PI40" s="836"/>
      <c r="PJ40" s="836"/>
      <c r="PK40" s="836"/>
      <c r="PL40" s="836"/>
      <c r="PM40" s="836"/>
      <c r="PN40" s="836"/>
      <c r="PO40" s="836"/>
      <c r="PP40" s="836"/>
      <c r="PQ40" s="836"/>
      <c r="PR40" s="836"/>
      <c r="PS40" s="836"/>
      <c r="PT40" s="836"/>
      <c r="PU40" s="836"/>
      <c r="PV40" s="836"/>
      <c r="PW40" s="836"/>
      <c r="PX40" s="836"/>
      <c r="PY40" s="836"/>
      <c r="PZ40" s="836"/>
      <c r="QA40" s="836"/>
      <c r="QB40" s="836"/>
      <c r="QC40" s="836"/>
      <c r="QD40" s="836"/>
      <c r="QE40" s="836"/>
      <c r="QF40" s="836"/>
      <c r="QG40" s="836"/>
      <c r="QH40" s="836"/>
      <c r="QI40" s="836"/>
      <c r="QJ40" s="836"/>
      <c r="QK40" s="836"/>
      <c r="QL40" s="836"/>
      <c r="QM40" s="836"/>
      <c r="QN40" s="836"/>
      <c r="QO40" s="836"/>
      <c r="QP40" s="836"/>
      <c r="QQ40" s="836"/>
      <c r="QR40" s="836"/>
      <c r="QS40" s="836"/>
      <c r="QT40" s="836"/>
      <c r="QU40" s="836"/>
      <c r="QV40" s="836"/>
      <c r="QW40" s="836"/>
      <c r="QX40" s="836"/>
      <c r="QY40" s="836"/>
      <c r="QZ40" s="836"/>
      <c r="RA40" s="836"/>
      <c r="RB40" s="836"/>
      <c r="RC40" s="836"/>
      <c r="RD40" s="836"/>
      <c r="RE40" s="836"/>
      <c r="RF40" s="836"/>
      <c r="RG40" s="836"/>
      <c r="RH40" s="836"/>
      <c r="RI40" s="836"/>
      <c r="RJ40" s="836"/>
      <c r="RK40" s="836"/>
      <c r="RL40" s="836"/>
      <c r="RM40" s="836"/>
      <c r="RN40" s="836"/>
      <c r="RO40" s="836"/>
      <c r="RP40" s="836"/>
      <c r="RQ40" s="836"/>
      <c r="RR40" s="836"/>
      <c r="RS40" s="836"/>
      <c r="RT40" s="836"/>
      <c r="RU40" s="836"/>
      <c r="RV40" s="836"/>
      <c r="RW40" s="836"/>
      <c r="RX40" s="836"/>
      <c r="RY40" s="836"/>
      <c r="RZ40" s="836"/>
      <c r="SA40" s="836"/>
      <c r="SB40" s="836"/>
      <c r="SC40" s="836"/>
      <c r="SD40" s="836"/>
      <c r="SE40" s="836"/>
      <c r="SF40" s="836"/>
      <c r="SG40" s="836"/>
      <c r="SH40" s="836"/>
      <c r="SI40" s="836"/>
      <c r="SJ40" s="836"/>
      <c r="SK40" s="836"/>
      <c r="SL40" s="836"/>
      <c r="SM40" s="836"/>
      <c r="SN40" s="836"/>
      <c r="SO40" s="836"/>
      <c r="SP40" s="836"/>
      <c r="SQ40" s="836"/>
      <c r="SR40" s="836"/>
      <c r="SS40" s="836"/>
      <c r="ST40" s="836"/>
      <c r="SU40" s="836"/>
      <c r="SV40" s="836"/>
      <c r="SW40" s="836"/>
      <c r="SX40" s="836"/>
      <c r="SY40" s="836"/>
      <c r="SZ40" s="836"/>
      <c r="TA40" s="836"/>
      <c r="TB40" s="836"/>
      <c r="TC40" s="836"/>
      <c r="TD40" s="836"/>
      <c r="TE40" s="836"/>
      <c r="TF40" s="836"/>
      <c r="TG40" s="836"/>
      <c r="TH40" s="836"/>
      <c r="TI40" s="836"/>
      <c r="TJ40" s="836"/>
      <c r="TK40" s="836"/>
      <c r="TL40" s="836"/>
      <c r="TM40" s="836"/>
      <c r="TN40" s="836"/>
      <c r="TO40" s="836"/>
      <c r="TP40" s="836"/>
      <c r="TQ40" s="836"/>
      <c r="TR40" s="836"/>
      <c r="TS40" s="836"/>
      <c r="TT40" s="836"/>
      <c r="TU40" s="836"/>
      <c r="TV40" s="836"/>
      <c r="TW40" s="836"/>
      <c r="TX40" s="836"/>
      <c r="TY40" s="836"/>
      <c r="TZ40" s="836"/>
      <c r="UA40" s="836"/>
      <c r="UB40" s="836"/>
      <c r="UC40" s="836"/>
      <c r="UD40" s="836"/>
      <c r="UE40" s="836"/>
      <c r="UF40" s="836"/>
      <c r="UG40" s="836"/>
      <c r="UH40" s="836"/>
      <c r="UI40" s="836"/>
      <c r="UJ40" s="836"/>
      <c r="UK40" s="836"/>
      <c r="UL40" s="836"/>
      <c r="UM40" s="836"/>
      <c r="UN40" s="836"/>
      <c r="UO40" s="836"/>
      <c r="UP40" s="836"/>
      <c r="UQ40" s="836"/>
      <c r="UR40" s="836"/>
      <c r="US40" s="836"/>
      <c r="UT40" s="836"/>
      <c r="UU40" s="836"/>
      <c r="UV40" s="836"/>
      <c r="UW40" s="836"/>
      <c r="UX40" s="836"/>
      <c r="UY40" s="836"/>
      <c r="UZ40" s="836"/>
      <c r="VA40" s="836"/>
      <c r="VB40" s="836"/>
      <c r="VC40" s="836"/>
      <c r="VD40" s="836"/>
      <c r="VE40" s="836"/>
      <c r="VF40" s="836"/>
      <c r="VG40" s="836"/>
      <c r="VH40" s="836"/>
      <c r="VI40" s="836"/>
      <c r="VJ40" s="836"/>
      <c r="VK40" s="836"/>
      <c r="VL40" s="836"/>
      <c r="VM40" s="836"/>
      <c r="VN40" s="836"/>
      <c r="VO40" s="836"/>
      <c r="VP40" s="836"/>
      <c r="VQ40" s="836"/>
      <c r="VR40" s="836"/>
      <c r="VS40" s="836"/>
      <c r="VT40" s="836"/>
      <c r="VU40" s="836"/>
      <c r="VV40" s="836"/>
      <c r="VW40" s="836"/>
      <c r="VX40" s="836"/>
      <c r="VY40" s="836"/>
      <c r="VZ40" s="836"/>
      <c r="WA40" s="836"/>
      <c r="WB40" s="836"/>
      <c r="WC40" s="836"/>
      <c r="WD40" s="836"/>
      <c r="WE40" s="836"/>
      <c r="WF40" s="836"/>
      <c r="WG40" s="836"/>
      <c r="WH40" s="836"/>
      <c r="WI40" s="836"/>
      <c r="WJ40" s="836"/>
      <c r="WK40" s="836"/>
      <c r="WL40" s="836"/>
      <c r="WM40" s="836"/>
      <c r="WN40" s="836"/>
      <c r="WO40" s="836"/>
      <c r="WP40" s="836"/>
      <c r="WQ40" s="836"/>
      <c r="WR40" s="836"/>
      <c r="WS40" s="836"/>
      <c r="WT40" s="836"/>
      <c r="WU40" s="836"/>
      <c r="WV40" s="836"/>
      <c r="WW40" s="836"/>
      <c r="WX40" s="836"/>
      <c r="WY40" s="836"/>
      <c r="WZ40" s="836"/>
      <c r="XA40" s="836"/>
      <c r="XB40" s="836"/>
      <c r="XC40" s="836"/>
      <c r="XD40" s="836"/>
      <c r="XE40" s="836"/>
      <c r="XF40" s="836"/>
      <c r="XG40" s="836"/>
      <c r="XH40" s="836"/>
      <c r="XI40" s="836"/>
      <c r="XJ40" s="836"/>
      <c r="XK40" s="836"/>
      <c r="XL40" s="836"/>
      <c r="XM40" s="836"/>
      <c r="XN40" s="836"/>
      <c r="XO40" s="836"/>
      <c r="XP40" s="836"/>
      <c r="XQ40" s="836"/>
      <c r="XR40" s="836"/>
      <c r="XS40" s="836"/>
      <c r="XT40" s="836"/>
      <c r="XU40" s="836"/>
      <c r="XV40" s="836"/>
      <c r="XW40" s="836"/>
      <c r="XX40" s="836"/>
      <c r="XY40" s="836"/>
      <c r="XZ40" s="836"/>
      <c r="YA40" s="836"/>
      <c r="YB40" s="836"/>
      <c r="YC40" s="836"/>
      <c r="YD40" s="836"/>
      <c r="YE40" s="836"/>
      <c r="YF40" s="836"/>
      <c r="YG40" s="836"/>
      <c r="YH40" s="836"/>
      <c r="YI40" s="836"/>
      <c r="YJ40" s="836"/>
      <c r="YK40" s="836"/>
      <c r="YL40" s="836"/>
      <c r="YM40" s="836"/>
      <c r="YN40" s="836"/>
      <c r="YO40" s="836"/>
      <c r="YP40" s="836"/>
      <c r="YQ40" s="836"/>
      <c r="YR40" s="836"/>
      <c r="YS40" s="836"/>
      <c r="YT40" s="836"/>
      <c r="YU40" s="836"/>
      <c r="YV40" s="836"/>
      <c r="YW40" s="836"/>
      <c r="YX40" s="836"/>
      <c r="YY40" s="836"/>
      <c r="YZ40" s="836"/>
      <c r="ZA40" s="836"/>
      <c r="ZB40" s="836"/>
      <c r="ZC40" s="836"/>
      <c r="ZD40" s="836"/>
      <c r="ZE40" s="836"/>
      <c r="ZF40" s="836"/>
      <c r="ZG40" s="836"/>
      <c r="ZH40" s="836"/>
      <c r="ZI40" s="836"/>
      <c r="ZJ40" s="836"/>
      <c r="ZK40" s="836"/>
      <c r="ZL40" s="836"/>
      <c r="ZM40" s="836"/>
      <c r="ZN40" s="836"/>
      <c r="ZO40" s="836"/>
      <c r="ZP40" s="836"/>
      <c r="ZQ40" s="836"/>
      <c r="ZR40" s="836"/>
      <c r="ZS40" s="836"/>
      <c r="ZT40" s="836"/>
      <c r="ZU40" s="836"/>
      <c r="ZV40" s="836"/>
      <c r="ZW40" s="836"/>
      <c r="ZX40" s="836"/>
      <c r="ZY40" s="836"/>
      <c r="ZZ40" s="836"/>
      <c r="AAA40" s="836"/>
      <c r="AAB40" s="836"/>
      <c r="AAC40" s="836"/>
      <c r="AAD40" s="836"/>
      <c r="AAE40" s="836"/>
      <c r="AAF40" s="836"/>
      <c r="AAG40" s="836"/>
      <c r="AAH40" s="836"/>
      <c r="AAI40" s="836"/>
      <c r="AAJ40" s="836"/>
      <c r="AAK40" s="836"/>
      <c r="AAL40" s="836"/>
      <c r="AAM40" s="836"/>
      <c r="AAN40" s="836"/>
      <c r="AAO40" s="836"/>
      <c r="AAP40" s="836"/>
      <c r="AAQ40" s="836"/>
      <c r="AAR40" s="836"/>
      <c r="AAS40" s="836"/>
      <c r="AAT40" s="836"/>
      <c r="AAU40" s="836"/>
      <c r="AAV40" s="836"/>
      <c r="AAW40" s="836"/>
      <c r="AAX40" s="836"/>
      <c r="AAY40" s="836"/>
      <c r="AAZ40" s="836"/>
      <c r="ABA40" s="836"/>
      <c r="ABB40" s="836"/>
      <c r="ABC40" s="836"/>
      <c r="ABD40" s="836"/>
      <c r="ABE40" s="836"/>
      <c r="ABF40" s="836"/>
      <c r="ABG40" s="836"/>
      <c r="ABH40" s="836"/>
      <c r="ABI40" s="836"/>
      <c r="ABJ40" s="836"/>
      <c r="ABK40" s="836"/>
      <c r="ABL40" s="836"/>
      <c r="ABM40" s="836"/>
      <c r="ABN40" s="836"/>
      <c r="ABO40" s="836"/>
      <c r="ABP40" s="836"/>
      <c r="ABQ40" s="836"/>
      <c r="ABR40" s="836"/>
      <c r="ABS40" s="836"/>
      <c r="ABT40" s="836"/>
      <c r="ABU40" s="836"/>
      <c r="ABV40" s="836"/>
      <c r="ABW40" s="836"/>
      <c r="ABX40" s="836"/>
      <c r="ABY40" s="836"/>
      <c r="ABZ40" s="836"/>
      <c r="ACA40" s="836"/>
      <c r="ACB40" s="836"/>
      <c r="ACC40" s="836"/>
      <c r="ACD40" s="836"/>
      <c r="ACE40" s="836"/>
      <c r="ACF40" s="836"/>
      <c r="ACG40" s="836"/>
      <c r="ACH40" s="836"/>
      <c r="ACI40" s="836"/>
      <c r="ACJ40" s="836"/>
      <c r="ACK40" s="836"/>
      <c r="ACL40" s="836"/>
      <c r="ACM40" s="836"/>
      <c r="ACN40" s="836"/>
      <c r="ACO40" s="836"/>
      <c r="ACP40" s="836"/>
      <c r="ACQ40" s="836"/>
      <c r="ACR40" s="836"/>
      <c r="ACS40" s="836"/>
      <c r="ACT40" s="836"/>
      <c r="ACU40" s="836"/>
      <c r="ACV40" s="836"/>
      <c r="ACW40" s="836"/>
      <c r="ACX40" s="836"/>
      <c r="ACY40" s="836"/>
      <c r="ACZ40" s="836"/>
      <c r="ADA40" s="836"/>
      <c r="ADB40" s="836"/>
      <c r="ADC40" s="836"/>
      <c r="ADD40" s="836"/>
      <c r="ADE40" s="836"/>
      <c r="ADF40" s="836"/>
      <c r="ADG40" s="836"/>
      <c r="ADH40" s="836"/>
      <c r="ADI40" s="836"/>
      <c r="ADJ40" s="836"/>
      <c r="ADK40" s="836"/>
      <c r="ADL40" s="836"/>
      <c r="ADM40" s="836"/>
      <c r="ADN40" s="836"/>
      <c r="ADO40" s="836"/>
      <c r="ADP40" s="836"/>
      <c r="ADQ40" s="836"/>
      <c r="ADR40" s="836"/>
      <c r="ADS40" s="836"/>
      <c r="ADT40" s="836"/>
      <c r="ADU40" s="836"/>
      <c r="ADV40" s="836"/>
      <c r="ADW40" s="836"/>
      <c r="ADX40" s="836"/>
      <c r="ADY40" s="836"/>
      <c r="ADZ40" s="836"/>
      <c r="AEA40" s="836"/>
      <c r="AEB40" s="836"/>
      <c r="AEC40" s="836"/>
      <c r="AED40" s="836"/>
      <c r="AEE40" s="836"/>
      <c r="AEF40" s="836"/>
      <c r="AEG40" s="836"/>
      <c r="AEH40" s="836"/>
      <c r="AEI40" s="836"/>
      <c r="AEJ40" s="836"/>
      <c r="AEK40" s="836"/>
      <c r="AEL40" s="836"/>
      <c r="AEM40" s="836"/>
      <c r="AEN40" s="836"/>
      <c r="AEO40" s="836"/>
      <c r="AEP40" s="836"/>
      <c r="AEQ40" s="836"/>
      <c r="AER40" s="836"/>
      <c r="AES40" s="836"/>
      <c r="AET40" s="836"/>
      <c r="AEU40" s="836"/>
      <c r="AEV40" s="836"/>
      <c r="AEW40" s="836"/>
      <c r="AEX40" s="836"/>
      <c r="AEY40" s="836"/>
      <c r="AEZ40" s="836"/>
      <c r="AFA40" s="836"/>
      <c r="AFB40" s="836"/>
      <c r="AFC40" s="836"/>
      <c r="AFD40" s="836"/>
      <c r="AFE40" s="836"/>
      <c r="AFF40" s="836"/>
      <c r="AFG40" s="836"/>
      <c r="AFH40" s="836"/>
      <c r="AFI40" s="836"/>
      <c r="AFJ40" s="836"/>
      <c r="AFK40" s="836"/>
      <c r="AFL40" s="836"/>
      <c r="AFM40" s="836"/>
      <c r="AFN40" s="836"/>
      <c r="AFO40" s="836"/>
      <c r="AFP40" s="836"/>
      <c r="AFQ40" s="836"/>
      <c r="AFR40" s="836"/>
      <c r="AFS40" s="836"/>
      <c r="AFT40" s="836"/>
      <c r="AFU40" s="836"/>
      <c r="AFV40" s="836"/>
      <c r="AFW40" s="836"/>
      <c r="AFX40" s="836"/>
      <c r="AFY40" s="836"/>
      <c r="AFZ40" s="836"/>
      <c r="AGA40" s="836"/>
      <c r="AGB40" s="836"/>
      <c r="AGC40" s="836"/>
      <c r="AGD40" s="836"/>
      <c r="AGE40" s="836"/>
      <c r="AGF40" s="836"/>
      <c r="AGG40" s="836"/>
      <c r="AGH40" s="836"/>
      <c r="AGI40" s="836"/>
      <c r="AGJ40" s="836"/>
      <c r="AGK40" s="836"/>
      <c r="AGL40" s="836"/>
      <c r="AGM40" s="836"/>
      <c r="AGN40" s="836"/>
      <c r="AGO40" s="836"/>
      <c r="AGP40" s="836"/>
      <c r="AGQ40" s="836"/>
      <c r="AGR40" s="836"/>
      <c r="AGS40" s="836"/>
      <c r="AGT40" s="836"/>
      <c r="AGU40" s="836"/>
      <c r="AGV40" s="836"/>
      <c r="AGW40" s="836"/>
      <c r="AGX40" s="836"/>
      <c r="AGY40" s="836"/>
      <c r="AGZ40" s="836"/>
      <c r="AHA40" s="836"/>
      <c r="AHB40" s="836"/>
      <c r="AHC40" s="836"/>
      <c r="AHD40" s="836"/>
      <c r="AHE40" s="836"/>
      <c r="AHF40" s="836"/>
      <c r="AHG40" s="836"/>
      <c r="AHH40" s="836"/>
      <c r="AHI40" s="836"/>
      <c r="AHJ40" s="836"/>
      <c r="AHK40" s="836"/>
      <c r="AHL40" s="836"/>
      <c r="AHM40" s="836"/>
      <c r="AHN40" s="836"/>
      <c r="AHO40" s="836"/>
      <c r="AHP40" s="836"/>
      <c r="AHQ40" s="836"/>
      <c r="AHR40" s="836"/>
      <c r="AHS40" s="836"/>
      <c r="AHT40" s="836"/>
      <c r="AHU40" s="836"/>
      <c r="AHV40" s="836"/>
      <c r="AHW40" s="836"/>
      <c r="AHX40" s="836"/>
      <c r="AHY40" s="836"/>
      <c r="AHZ40" s="836"/>
      <c r="AIA40" s="836"/>
      <c r="AIB40" s="836"/>
      <c r="AIC40" s="836"/>
      <c r="AID40" s="836"/>
      <c r="AIE40" s="836"/>
      <c r="AIF40" s="836"/>
      <c r="AIG40" s="836"/>
      <c r="AIH40" s="836"/>
      <c r="AII40" s="836"/>
      <c r="AIJ40" s="836"/>
      <c r="AIK40" s="836"/>
      <c r="AIL40" s="836"/>
      <c r="AIM40" s="836"/>
      <c r="AIN40" s="836"/>
      <c r="AIO40" s="836"/>
      <c r="AIP40" s="836"/>
      <c r="AIQ40" s="836"/>
      <c r="AIR40" s="836"/>
      <c r="AIS40" s="836"/>
      <c r="AIT40" s="836"/>
      <c r="AIU40" s="836"/>
      <c r="AIV40" s="836"/>
      <c r="AIW40" s="836"/>
      <c r="AIX40" s="836"/>
      <c r="AIY40" s="836"/>
      <c r="AIZ40" s="836"/>
      <c r="AJA40" s="836"/>
      <c r="AJB40" s="836"/>
      <c r="AJC40" s="836"/>
      <c r="AJD40" s="836"/>
      <c r="AJE40" s="836"/>
      <c r="AJF40" s="836"/>
      <c r="AJG40" s="836"/>
      <c r="AJH40" s="836"/>
      <c r="AJI40" s="836"/>
      <c r="AJJ40" s="836"/>
      <c r="AJK40" s="836"/>
      <c r="AJL40" s="836"/>
      <c r="AJM40" s="836"/>
      <c r="AJN40" s="836"/>
      <c r="AJO40" s="836"/>
      <c r="AJP40" s="836"/>
      <c r="AJQ40" s="836"/>
      <c r="AJR40" s="836"/>
      <c r="AJS40" s="836"/>
      <c r="AJT40" s="836"/>
      <c r="AJU40" s="836"/>
      <c r="AJV40" s="836"/>
      <c r="AJW40" s="836"/>
      <c r="AJX40" s="836"/>
      <c r="AJY40" s="836"/>
      <c r="AJZ40" s="836"/>
      <c r="AKA40" s="836"/>
      <c r="AKB40" s="836"/>
      <c r="AKC40" s="836"/>
      <c r="AKD40" s="836"/>
      <c r="AKE40" s="836"/>
      <c r="AKF40" s="836"/>
      <c r="AKG40" s="836"/>
      <c r="AKH40" s="836"/>
      <c r="AKI40" s="836"/>
      <c r="AKJ40" s="836"/>
      <c r="AKK40" s="836"/>
      <c r="AKL40" s="836"/>
      <c r="AKM40" s="836"/>
      <c r="AKN40" s="836"/>
      <c r="AKO40" s="836"/>
      <c r="AKP40" s="836"/>
      <c r="AKQ40" s="836"/>
      <c r="AKR40" s="836"/>
      <c r="AKS40" s="836"/>
      <c r="AKT40" s="836"/>
      <c r="AKU40" s="836"/>
      <c r="AKV40" s="836"/>
      <c r="AKW40" s="836"/>
      <c r="AKX40" s="836"/>
      <c r="AKY40" s="836"/>
      <c r="AKZ40" s="836"/>
      <c r="ALA40" s="836"/>
      <c r="ALB40" s="836"/>
      <c r="ALC40" s="836"/>
      <c r="ALD40" s="836"/>
      <c r="ALE40" s="836"/>
      <c r="ALF40" s="836"/>
      <c r="ALG40" s="836"/>
      <c r="ALH40" s="836"/>
      <c r="ALI40" s="836"/>
      <c r="ALJ40" s="836"/>
      <c r="ALK40" s="836"/>
      <c r="ALL40" s="836"/>
      <c r="ALM40" s="836"/>
      <c r="ALN40" s="836"/>
      <c r="ALO40" s="836"/>
      <c r="ALP40" s="836"/>
      <c r="ALQ40" s="836"/>
      <c r="ALR40" s="836"/>
      <c r="ALS40" s="836"/>
      <c r="ALT40" s="836"/>
      <c r="ALU40" s="836"/>
      <c r="ALV40" s="836"/>
      <c r="ALW40" s="836"/>
      <c r="ALX40" s="836"/>
      <c r="ALY40" s="836"/>
      <c r="ALZ40" s="836"/>
      <c r="AMA40" s="836"/>
      <c r="AMB40" s="836"/>
      <c r="AMC40" s="836"/>
      <c r="AMD40" s="836"/>
      <c r="AME40" s="836"/>
      <c r="AMF40" s="836"/>
      <c r="AMG40" s="836"/>
      <c r="AMH40" s="836"/>
      <c r="AMI40" s="836"/>
      <c r="AMJ40" s="836"/>
      <c r="AMK40" s="836"/>
      <c r="AML40" s="836"/>
      <c r="AMM40" s="836"/>
      <c r="AMN40" s="836"/>
      <c r="AMO40" s="836"/>
      <c r="AMP40" s="836"/>
      <c r="AMQ40" s="836"/>
      <c r="AMR40" s="836"/>
      <c r="AMS40" s="836"/>
      <c r="AMT40" s="836"/>
      <c r="AMU40" s="836"/>
      <c r="AMV40" s="836"/>
      <c r="AMW40" s="836"/>
      <c r="AMX40" s="836"/>
      <c r="AMY40" s="836"/>
      <c r="AMZ40" s="836"/>
      <c r="ANA40" s="836"/>
      <c r="ANB40" s="836"/>
      <c r="ANC40" s="836"/>
      <c r="AND40" s="836"/>
      <c r="ANE40" s="836"/>
      <c r="ANF40" s="836"/>
      <c r="ANG40" s="836"/>
      <c r="ANH40" s="836"/>
      <c r="ANI40" s="836"/>
      <c r="ANJ40" s="836"/>
      <c r="ANK40" s="836"/>
      <c r="ANL40" s="836"/>
      <c r="ANM40" s="836"/>
      <c r="ANN40" s="836"/>
      <c r="ANO40" s="836"/>
      <c r="ANP40" s="836"/>
      <c r="ANQ40" s="836"/>
      <c r="ANR40" s="836"/>
      <c r="ANS40" s="836"/>
      <c r="ANT40" s="836"/>
      <c r="ANU40" s="836"/>
      <c r="ANV40" s="836"/>
      <c r="ANW40" s="836"/>
      <c r="ANX40" s="836"/>
      <c r="ANY40" s="836"/>
      <c r="ANZ40" s="836"/>
      <c r="AOA40" s="836"/>
      <c r="AOB40" s="836"/>
      <c r="AOC40" s="836"/>
      <c r="AOD40" s="836"/>
      <c r="AOE40" s="836"/>
      <c r="AOF40" s="836"/>
      <c r="AOG40" s="836"/>
      <c r="AOH40" s="836"/>
      <c r="AOI40" s="836"/>
      <c r="AOJ40" s="836"/>
      <c r="AOK40" s="836"/>
      <c r="AOL40" s="836"/>
      <c r="AOM40" s="836"/>
      <c r="AON40" s="836"/>
      <c r="AOO40" s="836"/>
      <c r="AOP40" s="836"/>
      <c r="AOQ40" s="836"/>
      <c r="AOR40" s="836"/>
      <c r="AOS40" s="836"/>
      <c r="AOT40" s="836"/>
      <c r="AOU40" s="836"/>
      <c r="AOV40" s="836"/>
      <c r="AOW40" s="836"/>
      <c r="AOX40" s="836"/>
      <c r="AOY40" s="836"/>
      <c r="AOZ40" s="836"/>
      <c r="APA40" s="836"/>
      <c r="APB40" s="836"/>
      <c r="APC40" s="836"/>
      <c r="APD40" s="836"/>
      <c r="APE40" s="836"/>
      <c r="APF40" s="836"/>
      <c r="APG40" s="836"/>
      <c r="APH40" s="836"/>
      <c r="API40" s="836"/>
      <c r="APJ40" s="836"/>
      <c r="APK40" s="836"/>
      <c r="APL40" s="836"/>
      <c r="APM40" s="836"/>
      <c r="APN40" s="836"/>
      <c r="APO40" s="836"/>
      <c r="APP40" s="836"/>
      <c r="APQ40" s="836"/>
      <c r="APR40" s="836"/>
      <c r="APS40" s="836"/>
      <c r="APT40" s="836"/>
      <c r="APU40" s="836"/>
      <c r="APV40" s="836"/>
      <c r="APW40" s="836"/>
      <c r="APX40" s="836"/>
      <c r="APY40" s="836"/>
      <c r="APZ40" s="836"/>
      <c r="AQA40" s="836"/>
      <c r="AQB40" s="836"/>
      <c r="AQC40" s="836"/>
      <c r="AQD40" s="836"/>
      <c r="AQE40" s="836"/>
      <c r="AQF40" s="836"/>
      <c r="AQG40" s="836"/>
      <c r="AQH40" s="836"/>
      <c r="AQI40" s="836"/>
      <c r="AQJ40" s="836"/>
      <c r="AQK40" s="836"/>
      <c r="AQL40" s="836"/>
      <c r="AQM40" s="836"/>
      <c r="AQN40" s="836"/>
      <c r="AQO40" s="836"/>
      <c r="AQP40" s="836"/>
      <c r="AQQ40" s="836"/>
      <c r="AQR40" s="836"/>
      <c r="AQS40" s="836"/>
      <c r="AQT40" s="836"/>
      <c r="AQU40" s="836"/>
      <c r="AQV40" s="836"/>
      <c r="AQW40" s="836"/>
      <c r="AQX40" s="836"/>
      <c r="AQY40" s="836"/>
      <c r="AQZ40" s="836"/>
      <c r="ARA40" s="836"/>
      <c r="ARB40" s="836"/>
      <c r="ARC40" s="836"/>
      <c r="ARD40" s="836"/>
      <c r="ARE40" s="836"/>
      <c r="ARF40" s="836"/>
      <c r="ARG40" s="836"/>
      <c r="ARH40" s="836"/>
      <c r="ARI40" s="836"/>
      <c r="ARJ40" s="836"/>
      <c r="ARK40" s="836"/>
      <c r="ARL40" s="836"/>
      <c r="ARM40" s="836"/>
      <c r="ARN40" s="836"/>
      <c r="ARO40" s="836"/>
      <c r="ARP40" s="836"/>
      <c r="ARQ40" s="836"/>
      <c r="ARR40" s="836"/>
      <c r="ARS40" s="836"/>
      <c r="ART40" s="836"/>
      <c r="ARU40" s="836"/>
      <c r="ARV40" s="836"/>
      <c r="ARW40" s="836"/>
      <c r="ARX40" s="836"/>
      <c r="ARY40" s="836"/>
      <c r="ARZ40" s="836"/>
      <c r="ASA40" s="836"/>
      <c r="ASB40" s="836"/>
      <c r="ASC40" s="836"/>
      <c r="ASD40" s="836"/>
      <c r="ASE40" s="836"/>
      <c r="ASF40" s="836"/>
      <c r="ASG40" s="836"/>
      <c r="ASH40" s="836"/>
      <c r="ASI40" s="836"/>
      <c r="ASJ40" s="836"/>
      <c r="ASK40" s="836"/>
      <c r="ASL40" s="836"/>
      <c r="ASM40" s="836"/>
      <c r="ASN40" s="836"/>
      <c r="ASO40" s="836"/>
      <c r="ASP40" s="836"/>
      <c r="ASQ40" s="836"/>
      <c r="ASR40" s="836"/>
      <c r="ASS40" s="836"/>
      <c r="AST40" s="836"/>
      <c r="ASU40" s="836"/>
      <c r="ASV40" s="836"/>
      <c r="ASW40" s="836"/>
      <c r="ASX40" s="836"/>
      <c r="ASY40" s="836"/>
      <c r="ASZ40" s="836"/>
      <c r="ATA40" s="836"/>
      <c r="ATB40" s="836"/>
      <c r="ATC40" s="836"/>
      <c r="ATD40" s="836"/>
      <c r="ATE40" s="836"/>
      <c r="ATF40" s="836"/>
      <c r="ATG40" s="836"/>
      <c r="ATH40" s="836"/>
      <c r="ATI40" s="836"/>
      <c r="ATJ40" s="836"/>
      <c r="ATK40" s="836"/>
      <c r="ATL40" s="836"/>
      <c r="ATM40" s="836"/>
      <c r="ATN40" s="836"/>
      <c r="ATO40" s="836"/>
      <c r="ATP40" s="836"/>
      <c r="ATQ40" s="836"/>
      <c r="ATR40" s="836"/>
      <c r="ATS40" s="836"/>
      <c r="ATT40" s="836"/>
      <c r="ATU40" s="836"/>
      <c r="ATV40" s="836"/>
      <c r="ATW40" s="836"/>
      <c r="ATX40" s="836"/>
      <c r="ATY40" s="836"/>
      <c r="ATZ40" s="836"/>
      <c r="AUA40" s="836"/>
      <c r="AUB40" s="836"/>
      <c r="AUC40" s="836"/>
      <c r="AUD40" s="836"/>
      <c r="AUE40" s="836"/>
      <c r="AUF40" s="836"/>
      <c r="AUG40" s="836"/>
      <c r="AUH40" s="836"/>
      <c r="AUI40" s="836"/>
      <c r="AUJ40" s="836"/>
      <c r="AUK40" s="836"/>
      <c r="AUL40" s="836"/>
      <c r="AUM40" s="836"/>
      <c r="AUN40" s="836"/>
      <c r="AUO40" s="836"/>
      <c r="AUP40" s="836"/>
      <c r="AUQ40" s="836"/>
      <c r="AUR40" s="836"/>
      <c r="AUS40" s="836"/>
      <c r="AUT40" s="836"/>
      <c r="AUU40" s="836"/>
      <c r="AUV40" s="836"/>
      <c r="AUW40" s="836"/>
      <c r="AUX40" s="836"/>
      <c r="AUY40" s="836"/>
      <c r="AUZ40" s="836"/>
      <c r="AVA40" s="836"/>
      <c r="AVB40" s="836"/>
      <c r="AVC40" s="836"/>
      <c r="AVD40" s="836"/>
      <c r="AVE40" s="836"/>
      <c r="AVF40" s="836"/>
      <c r="AVG40" s="836"/>
      <c r="AVH40" s="836"/>
      <c r="AVI40" s="836"/>
      <c r="AVJ40" s="836"/>
      <c r="AVK40" s="836"/>
      <c r="AVL40" s="836"/>
      <c r="AVM40" s="836"/>
      <c r="AVN40" s="836"/>
      <c r="AVO40" s="836"/>
      <c r="AVP40" s="836"/>
      <c r="AVQ40" s="836"/>
      <c r="AVR40" s="836"/>
      <c r="AVS40" s="836"/>
      <c r="AVT40" s="836"/>
      <c r="AVU40" s="836"/>
      <c r="AVV40" s="836"/>
      <c r="AVW40" s="836"/>
      <c r="AVX40" s="836"/>
      <c r="AVY40" s="836"/>
      <c r="AVZ40" s="836"/>
      <c r="AWA40" s="836"/>
      <c r="AWB40" s="836"/>
      <c r="AWC40" s="836"/>
      <c r="AWD40" s="836"/>
      <c r="AWE40" s="836"/>
      <c r="AWF40" s="836"/>
      <c r="AWG40" s="836"/>
      <c r="AWH40" s="836"/>
      <c r="AWI40" s="836"/>
      <c r="AWJ40" s="836"/>
      <c r="AWK40" s="836"/>
      <c r="AWL40" s="836"/>
      <c r="AWM40" s="836"/>
      <c r="AWN40" s="836"/>
      <c r="AWO40" s="836"/>
      <c r="AWP40" s="836"/>
      <c r="AWQ40" s="836"/>
      <c r="AWR40" s="836"/>
      <c r="AWS40" s="836"/>
      <c r="AWT40" s="836"/>
      <c r="AWU40" s="836"/>
      <c r="AWV40" s="836"/>
      <c r="AWW40" s="836"/>
      <c r="AWX40" s="836"/>
      <c r="AWY40" s="836"/>
      <c r="AWZ40" s="836"/>
      <c r="AXA40" s="836"/>
      <c r="AXB40" s="836"/>
      <c r="AXC40" s="836"/>
      <c r="AXD40" s="836"/>
      <c r="AXE40" s="836"/>
      <c r="AXF40" s="836"/>
      <c r="AXG40" s="836"/>
      <c r="AXH40" s="836"/>
      <c r="AXI40" s="836"/>
      <c r="AXJ40" s="836"/>
      <c r="AXK40" s="836"/>
      <c r="AXL40" s="836"/>
      <c r="AXM40" s="836"/>
      <c r="AXN40" s="836"/>
      <c r="AXO40" s="836"/>
      <c r="AXP40" s="836"/>
      <c r="AXQ40" s="836"/>
      <c r="AXR40" s="836"/>
      <c r="AXS40" s="836"/>
      <c r="AXT40" s="836"/>
      <c r="AXU40" s="836"/>
      <c r="AXV40" s="836"/>
      <c r="AXW40" s="836"/>
      <c r="AXX40" s="836"/>
      <c r="AXY40" s="836"/>
      <c r="AXZ40" s="836"/>
      <c r="AYA40" s="836"/>
      <c r="AYB40" s="836"/>
      <c r="AYC40" s="836"/>
      <c r="AYD40" s="836"/>
      <c r="AYE40" s="836"/>
      <c r="AYF40" s="836"/>
      <c r="AYG40" s="836"/>
      <c r="AYH40" s="836"/>
      <c r="AYI40" s="836"/>
      <c r="AYJ40" s="836"/>
      <c r="AYK40" s="836"/>
      <c r="AYL40" s="836"/>
      <c r="AYM40" s="836"/>
      <c r="AYN40" s="836"/>
      <c r="AYO40" s="836"/>
      <c r="AYP40" s="836"/>
      <c r="AYQ40" s="836"/>
      <c r="AYR40" s="836"/>
      <c r="AYS40" s="836"/>
      <c r="AYT40" s="836"/>
      <c r="AYU40" s="836"/>
      <c r="AYV40" s="836"/>
      <c r="AYW40" s="836"/>
      <c r="AYX40" s="836"/>
      <c r="AYY40" s="836"/>
      <c r="AYZ40" s="836"/>
      <c r="AZA40" s="836"/>
      <c r="AZB40" s="836"/>
      <c r="AZC40" s="836"/>
      <c r="AZD40" s="836"/>
      <c r="AZE40" s="836"/>
      <c r="AZF40" s="836"/>
      <c r="AZG40" s="836"/>
      <c r="AZH40" s="836"/>
      <c r="AZI40" s="836"/>
      <c r="AZJ40" s="836"/>
      <c r="AZK40" s="836"/>
      <c r="AZL40" s="836"/>
      <c r="AZM40" s="836"/>
      <c r="AZN40" s="836"/>
      <c r="AZO40" s="836"/>
      <c r="AZP40" s="836"/>
      <c r="AZQ40" s="836"/>
      <c r="AZR40" s="836"/>
      <c r="AZS40" s="836"/>
      <c r="AZT40" s="836"/>
      <c r="AZU40" s="836"/>
      <c r="AZV40" s="836"/>
      <c r="AZW40" s="836"/>
      <c r="AZX40" s="836"/>
      <c r="AZY40" s="836"/>
      <c r="AZZ40" s="836"/>
      <c r="BAA40" s="836"/>
      <c r="BAB40" s="836"/>
      <c r="BAC40" s="836"/>
      <c r="BAD40" s="836"/>
      <c r="BAE40" s="836"/>
      <c r="BAF40" s="836"/>
      <c r="BAG40" s="836"/>
      <c r="BAH40" s="836"/>
      <c r="BAI40" s="836"/>
      <c r="BAJ40" s="836"/>
      <c r="BAK40" s="836"/>
      <c r="BAL40" s="836"/>
      <c r="BAM40" s="836"/>
      <c r="BAN40" s="836"/>
      <c r="BAO40" s="836"/>
      <c r="BAP40" s="836"/>
      <c r="BAQ40" s="836"/>
      <c r="BAR40" s="836"/>
      <c r="BAS40" s="836"/>
      <c r="BAT40" s="836"/>
      <c r="BAU40" s="836"/>
      <c r="BAV40" s="836"/>
      <c r="BAW40" s="836"/>
      <c r="BAX40" s="836"/>
      <c r="BAY40" s="836"/>
      <c r="BAZ40" s="836"/>
      <c r="BBA40" s="836"/>
      <c r="BBB40" s="836"/>
      <c r="BBC40" s="836"/>
      <c r="BBD40" s="836"/>
      <c r="BBE40" s="836"/>
      <c r="BBF40" s="836"/>
      <c r="BBG40" s="836"/>
      <c r="BBH40" s="836"/>
      <c r="BBI40" s="836"/>
      <c r="BBJ40" s="836"/>
      <c r="BBK40" s="836"/>
      <c r="BBL40" s="836"/>
      <c r="BBM40" s="836"/>
      <c r="BBN40" s="836"/>
      <c r="BBO40" s="836"/>
      <c r="BBP40" s="836"/>
      <c r="BBQ40" s="836"/>
      <c r="BBR40" s="836"/>
      <c r="BBS40" s="836"/>
      <c r="BBT40" s="836"/>
      <c r="BBU40" s="836"/>
      <c r="BBV40" s="836"/>
      <c r="BBW40" s="836"/>
      <c r="BBX40" s="836"/>
      <c r="BBY40" s="836"/>
      <c r="BBZ40" s="836"/>
      <c r="BCA40" s="836"/>
      <c r="BCB40" s="836"/>
      <c r="BCC40" s="836"/>
      <c r="BCD40" s="836"/>
      <c r="BCE40" s="836"/>
      <c r="BCF40" s="836"/>
      <c r="BCG40" s="836"/>
      <c r="BCH40" s="836"/>
      <c r="BCI40" s="836"/>
      <c r="BCJ40" s="836"/>
      <c r="BCK40" s="836"/>
      <c r="BCL40" s="836"/>
      <c r="BCM40" s="836"/>
      <c r="BCN40" s="836"/>
      <c r="BCO40" s="836"/>
      <c r="BCP40" s="836"/>
      <c r="BCQ40" s="836"/>
      <c r="BCR40" s="836"/>
      <c r="BCS40" s="836"/>
      <c r="BCT40" s="836"/>
      <c r="BCU40" s="836"/>
      <c r="BCV40" s="836"/>
      <c r="BCW40" s="836"/>
      <c r="BCX40" s="836"/>
      <c r="BCY40" s="836"/>
      <c r="BCZ40" s="836"/>
      <c r="BDA40" s="836"/>
      <c r="BDB40" s="836"/>
      <c r="BDC40" s="836"/>
      <c r="BDD40" s="836"/>
      <c r="BDE40" s="836"/>
      <c r="BDF40" s="836"/>
      <c r="BDG40" s="836"/>
      <c r="BDH40" s="836"/>
      <c r="BDI40" s="836"/>
      <c r="BDJ40" s="836"/>
      <c r="BDK40" s="836"/>
      <c r="BDL40" s="836"/>
      <c r="BDM40" s="836"/>
      <c r="BDN40" s="836"/>
      <c r="BDO40" s="836"/>
      <c r="BDP40" s="836"/>
      <c r="BDQ40" s="836"/>
      <c r="BDR40" s="836"/>
      <c r="BDS40" s="836"/>
      <c r="BDT40" s="836"/>
      <c r="BDU40" s="836"/>
      <c r="BDV40" s="836"/>
      <c r="BDW40" s="836"/>
      <c r="BDX40" s="836"/>
      <c r="BDY40" s="836"/>
      <c r="BDZ40" s="836"/>
      <c r="BEA40" s="836"/>
      <c r="BEB40" s="836"/>
      <c r="BEC40" s="836"/>
      <c r="BED40" s="836"/>
      <c r="BEE40" s="836"/>
      <c r="BEF40" s="836"/>
      <c r="BEG40" s="836"/>
      <c r="BEH40" s="836"/>
      <c r="BEI40" s="836"/>
      <c r="BEJ40" s="836"/>
      <c r="BEK40" s="836"/>
      <c r="BEL40" s="836"/>
      <c r="BEM40" s="836"/>
      <c r="BEN40" s="836"/>
      <c r="BEO40" s="836"/>
      <c r="BEP40" s="836"/>
      <c r="BEQ40" s="836"/>
      <c r="BER40" s="836"/>
      <c r="BES40" s="836"/>
      <c r="BET40" s="836"/>
      <c r="BEU40" s="836"/>
      <c r="BEV40" s="836"/>
      <c r="BEW40" s="836"/>
      <c r="BEX40" s="836"/>
      <c r="BEY40" s="836"/>
      <c r="BEZ40" s="836"/>
      <c r="BFA40" s="836"/>
      <c r="BFB40" s="836"/>
      <c r="BFC40" s="836"/>
      <c r="BFD40" s="836"/>
      <c r="BFE40" s="836"/>
      <c r="BFF40" s="836"/>
      <c r="BFG40" s="836"/>
      <c r="BFH40" s="836"/>
      <c r="BFI40" s="836"/>
      <c r="BFJ40" s="836"/>
      <c r="BFK40" s="836"/>
      <c r="BFL40" s="836"/>
      <c r="BFM40" s="836"/>
      <c r="BFN40" s="836"/>
      <c r="BFO40" s="836"/>
      <c r="BFP40" s="836"/>
      <c r="BFQ40" s="836"/>
      <c r="BFR40" s="836"/>
      <c r="BFS40" s="836"/>
      <c r="BFT40" s="836"/>
      <c r="BFU40" s="836"/>
      <c r="BFV40" s="836"/>
      <c r="BFW40" s="836"/>
      <c r="BFX40" s="836"/>
      <c r="BFY40" s="836"/>
      <c r="BFZ40" s="836"/>
      <c r="BGA40" s="836"/>
      <c r="BGB40" s="836"/>
      <c r="BGC40" s="836"/>
      <c r="BGD40" s="836"/>
      <c r="BGE40" s="836"/>
      <c r="BGF40" s="836"/>
      <c r="BGG40" s="836"/>
      <c r="BGH40" s="836"/>
      <c r="BGI40" s="836"/>
      <c r="BGJ40" s="836"/>
      <c r="BGK40" s="836"/>
      <c r="BGL40" s="836"/>
      <c r="BGM40" s="836"/>
      <c r="BGN40" s="836"/>
      <c r="BGO40" s="836"/>
      <c r="BGP40" s="836"/>
      <c r="BGQ40" s="836"/>
      <c r="BGR40" s="836"/>
      <c r="BGS40" s="836"/>
      <c r="BGT40" s="836"/>
      <c r="BGU40" s="836"/>
      <c r="BGV40" s="836"/>
      <c r="BGW40" s="836"/>
      <c r="BGX40" s="836"/>
      <c r="BGY40" s="836"/>
      <c r="BGZ40" s="836"/>
      <c r="BHA40" s="836"/>
      <c r="BHB40" s="836"/>
      <c r="BHC40" s="836"/>
      <c r="BHD40" s="836"/>
      <c r="BHE40" s="836"/>
      <c r="BHF40" s="836"/>
      <c r="BHG40" s="836"/>
      <c r="BHH40" s="836"/>
      <c r="BHI40" s="836"/>
      <c r="BHJ40" s="836"/>
      <c r="BHK40" s="836"/>
      <c r="BHL40" s="836"/>
      <c r="BHM40" s="836"/>
      <c r="BHN40" s="836"/>
      <c r="BHO40" s="836"/>
      <c r="BHP40" s="836"/>
      <c r="BHQ40" s="836"/>
      <c r="BHR40" s="836"/>
      <c r="BHS40" s="836"/>
      <c r="BHT40" s="836"/>
      <c r="BHU40" s="836"/>
      <c r="BHV40" s="836"/>
      <c r="BHW40" s="836"/>
      <c r="BHX40" s="836"/>
      <c r="BHY40" s="836"/>
      <c r="BHZ40" s="836"/>
      <c r="BIA40" s="836"/>
      <c r="BIB40" s="836"/>
      <c r="BIC40" s="836"/>
      <c r="BID40" s="836"/>
      <c r="BIE40" s="836"/>
      <c r="BIF40" s="836"/>
      <c r="BIG40" s="836"/>
      <c r="BIH40" s="836"/>
      <c r="BII40" s="836"/>
      <c r="BIJ40" s="836"/>
      <c r="BIK40" s="836"/>
      <c r="BIL40" s="836"/>
      <c r="BIM40" s="836"/>
      <c r="BIN40" s="836"/>
      <c r="BIO40" s="836"/>
      <c r="BIP40" s="836"/>
      <c r="BIQ40" s="836"/>
      <c r="BIR40" s="836"/>
      <c r="BIS40" s="836"/>
      <c r="BIT40" s="836"/>
      <c r="BIU40" s="836"/>
      <c r="BIV40" s="836"/>
      <c r="BIW40" s="836"/>
      <c r="BIX40" s="836"/>
      <c r="BIY40" s="836"/>
      <c r="BIZ40" s="836"/>
      <c r="BJA40" s="836"/>
      <c r="BJB40" s="836"/>
      <c r="BJC40" s="836"/>
      <c r="BJD40" s="836"/>
      <c r="BJE40" s="836"/>
      <c r="BJF40" s="836"/>
      <c r="BJG40" s="836"/>
      <c r="BJH40" s="836"/>
      <c r="BJI40" s="836"/>
      <c r="BJJ40" s="836"/>
      <c r="BJK40" s="836"/>
      <c r="BJL40" s="836"/>
      <c r="BJM40" s="836"/>
      <c r="BJN40" s="836"/>
      <c r="BJO40" s="836"/>
      <c r="BJP40" s="836"/>
      <c r="BJQ40" s="836"/>
      <c r="BJR40" s="836"/>
      <c r="BJS40" s="836"/>
      <c r="BJT40" s="836"/>
      <c r="BJU40" s="836"/>
      <c r="BJV40" s="836"/>
      <c r="BJW40" s="836"/>
      <c r="BJX40" s="836"/>
      <c r="BJY40" s="836"/>
      <c r="BJZ40" s="836"/>
      <c r="BKA40" s="836"/>
      <c r="BKB40" s="836"/>
      <c r="BKC40" s="836"/>
      <c r="BKD40" s="836"/>
      <c r="BKE40" s="836"/>
      <c r="BKF40" s="836"/>
      <c r="BKG40" s="836"/>
      <c r="BKH40" s="836"/>
      <c r="BKI40" s="836"/>
      <c r="BKJ40" s="836"/>
      <c r="BKK40" s="836"/>
      <c r="BKL40" s="836"/>
      <c r="BKM40" s="836"/>
      <c r="BKN40" s="836"/>
      <c r="BKO40" s="836"/>
      <c r="BKP40" s="836"/>
      <c r="BKQ40" s="836"/>
      <c r="BKR40" s="836"/>
      <c r="BKS40" s="836"/>
      <c r="BKT40" s="836"/>
      <c r="BKU40" s="836"/>
      <c r="BKV40" s="836"/>
      <c r="BKW40" s="836"/>
      <c r="BKX40" s="836"/>
      <c r="BKY40" s="836"/>
      <c r="BKZ40" s="836"/>
      <c r="BLA40" s="836"/>
      <c r="BLB40" s="836"/>
      <c r="BLC40" s="836"/>
      <c r="BLD40" s="836"/>
      <c r="BLE40" s="836"/>
      <c r="BLF40" s="836"/>
      <c r="BLG40" s="836"/>
      <c r="BLH40" s="836"/>
      <c r="BLI40" s="836"/>
      <c r="BLJ40" s="836"/>
      <c r="BLK40" s="836"/>
      <c r="BLL40" s="836"/>
      <c r="BLM40" s="836"/>
      <c r="BLN40" s="836"/>
      <c r="BLO40" s="836"/>
      <c r="BLP40" s="836"/>
      <c r="BLQ40" s="836"/>
      <c r="BLR40" s="836"/>
      <c r="BLS40" s="836"/>
      <c r="BLT40" s="836"/>
      <c r="BLU40" s="836"/>
      <c r="BLV40" s="836"/>
      <c r="BLW40" s="836"/>
      <c r="BLX40" s="836"/>
      <c r="BLY40" s="836"/>
      <c r="BLZ40" s="836"/>
      <c r="BMA40" s="836"/>
      <c r="BMB40" s="836"/>
      <c r="BMC40" s="836"/>
      <c r="BMD40" s="836"/>
      <c r="BME40" s="836"/>
      <c r="BMF40" s="836"/>
      <c r="BMG40" s="836"/>
      <c r="BMH40" s="836"/>
      <c r="BMI40" s="836"/>
      <c r="BMJ40" s="836"/>
      <c r="BMK40" s="836"/>
      <c r="BML40" s="836"/>
      <c r="BMM40" s="836"/>
      <c r="BMN40" s="836"/>
      <c r="BMO40" s="836"/>
      <c r="BMP40" s="836"/>
      <c r="BMQ40" s="836"/>
      <c r="BMR40" s="836"/>
      <c r="BMS40" s="836"/>
      <c r="BMT40" s="836"/>
      <c r="BMU40" s="836"/>
      <c r="BMV40" s="836"/>
      <c r="BMW40" s="836"/>
      <c r="BMX40" s="836"/>
      <c r="BMY40" s="836"/>
      <c r="BMZ40" s="836"/>
      <c r="BNA40" s="836"/>
      <c r="BNB40" s="836"/>
      <c r="BNC40" s="836"/>
      <c r="BND40" s="836"/>
      <c r="BNE40" s="836"/>
      <c r="BNF40" s="836"/>
      <c r="BNG40" s="836"/>
      <c r="BNH40" s="836"/>
      <c r="BNI40" s="836"/>
      <c r="BNJ40" s="836"/>
      <c r="BNK40" s="836"/>
      <c r="BNL40" s="836"/>
      <c r="BNM40" s="836"/>
      <c r="BNN40" s="836"/>
      <c r="BNO40" s="836"/>
      <c r="BNP40" s="836"/>
      <c r="BNQ40" s="836"/>
      <c r="BNR40" s="836"/>
      <c r="BNS40" s="836"/>
      <c r="BNT40" s="836"/>
      <c r="BNU40" s="836"/>
      <c r="BNV40" s="836"/>
      <c r="BNW40" s="836"/>
      <c r="BNX40" s="836"/>
      <c r="BNY40" s="836"/>
      <c r="BNZ40" s="836"/>
      <c r="BOA40" s="836"/>
      <c r="BOB40" s="836"/>
      <c r="BOC40" s="836"/>
      <c r="BOD40" s="836"/>
      <c r="BOE40" s="836"/>
      <c r="BOF40" s="836"/>
      <c r="BOG40" s="836"/>
      <c r="BOH40" s="836"/>
      <c r="BOI40" s="836"/>
      <c r="BOJ40" s="836"/>
      <c r="BOK40" s="836"/>
      <c r="BOL40" s="836"/>
      <c r="BOM40" s="836"/>
      <c r="BON40" s="836"/>
      <c r="BOO40" s="836"/>
      <c r="BOP40" s="836"/>
      <c r="BOQ40" s="836"/>
      <c r="BOR40" s="836"/>
      <c r="BOS40" s="836"/>
      <c r="BOT40" s="836"/>
      <c r="BOU40" s="836"/>
      <c r="BOV40" s="836"/>
      <c r="BOW40" s="836"/>
      <c r="BOX40" s="836"/>
      <c r="BOY40" s="836"/>
      <c r="BOZ40" s="836"/>
      <c r="BPA40" s="836"/>
      <c r="BPB40" s="836"/>
      <c r="BPC40" s="836"/>
      <c r="BPD40" s="836"/>
      <c r="BPE40" s="836"/>
      <c r="BPF40" s="836"/>
      <c r="BPG40" s="836"/>
      <c r="BPH40" s="836"/>
      <c r="BPI40" s="836"/>
      <c r="BPJ40" s="836"/>
      <c r="BPK40" s="836"/>
      <c r="BPL40" s="836"/>
      <c r="BPM40" s="836"/>
      <c r="BPN40" s="836"/>
      <c r="BPO40" s="836"/>
      <c r="BPP40" s="836"/>
      <c r="BPQ40" s="836"/>
      <c r="BPR40" s="836"/>
      <c r="BPS40" s="836"/>
      <c r="BPT40" s="836"/>
      <c r="BPU40" s="836"/>
      <c r="BPV40" s="836"/>
      <c r="BPW40" s="836"/>
      <c r="BPX40" s="836"/>
      <c r="BPY40" s="836"/>
      <c r="BPZ40" s="836"/>
      <c r="BQA40" s="836"/>
      <c r="BQB40" s="836"/>
      <c r="BQC40" s="836"/>
      <c r="BQD40" s="836"/>
      <c r="BQE40" s="836"/>
      <c r="BQF40" s="836"/>
      <c r="BQG40" s="836"/>
      <c r="BQH40" s="836"/>
      <c r="BQI40" s="836"/>
      <c r="BQJ40" s="836"/>
      <c r="BQK40" s="836"/>
      <c r="BQL40" s="836"/>
      <c r="BQM40" s="836"/>
      <c r="BQN40" s="836"/>
      <c r="BQO40" s="836"/>
      <c r="BQP40" s="836"/>
      <c r="BQQ40" s="836"/>
      <c r="BQR40" s="836"/>
      <c r="BQS40" s="836"/>
      <c r="BQT40" s="836"/>
      <c r="BQU40" s="836"/>
      <c r="BQV40" s="836"/>
      <c r="BQW40" s="836"/>
      <c r="BQX40" s="836"/>
      <c r="BQY40" s="836"/>
      <c r="BQZ40" s="836"/>
      <c r="BRA40" s="836"/>
      <c r="BRB40" s="836"/>
      <c r="BRC40" s="836"/>
      <c r="BRD40" s="836"/>
      <c r="BRE40" s="836"/>
      <c r="BRF40" s="836"/>
      <c r="BRG40" s="836"/>
      <c r="BRH40" s="836"/>
      <c r="BRI40" s="836"/>
      <c r="BRJ40" s="836"/>
      <c r="BRK40" s="836"/>
      <c r="BRL40" s="836"/>
      <c r="BRM40" s="836"/>
      <c r="BRN40" s="836"/>
      <c r="BRO40" s="836"/>
      <c r="BRP40" s="836"/>
      <c r="BRQ40" s="836"/>
      <c r="BRR40" s="836"/>
      <c r="BRS40" s="836"/>
      <c r="BRT40" s="836"/>
      <c r="BRU40" s="836"/>
      <c r="BRV40" s="836"/>
      <c r="BRW40" s="836"/>
      <c r="BRX40" s="836"/>
      <c r="BRY40" s="836"/>
      <c r="BRZ40" s="836"/>
      <c r="BSA40" s="836"/>
      <c r="BSB40" s="836"/>
      <c r="BSC40" s="836"/>
      <c r="BSD40" s="836"/>
      <c r="BSE40" s="836"/>
      <c r="BSF40" s="836"/>
      <c r="BSG40" s="836"/>
      <c r="BSH40" s="836"/>
      <c r="BSI40" s="836"/>
      <c r="BSJ40" s="836"/>
      <c r="BSK40" s="836"/>
      <c r="BSL40" s="836"/>
      <c r="BSM40" s="836"/>
      <c r="BSN40" s="836"/>
      <c r="BSO40" s="836"/>
      <c r="BSP40" s="836"/>
      <c r="BSQ40" s="836"/>
      <c r="BSR40" s="836"/>
      <c r="BSS40" s="836"/>
      <c r="BST40" s="836"/>
    </row>
    <row r="41" spans="1:1866" s="832" customFormat="1" ht="21.9" customHeight="1" collapsed="1" x14ac:dyDescent="0.25">
      <c r="A41" s="836"/>
      <c r="B41" s="3177" t="s">
        <v>848</v>
      </c>
      <c r="C41" s="3178"/>
      <c r="D41" s="3159"/>
      <c r="E41" s="1439"/>
      <c r="F41" s="1439"/>
      <c r="G41" s="1439"/>
      <c r="H41" s="1439"/>
      <c r="I41" s="1439"/>
      <c r="J41" s="1439"/>
      <c r="K41" s="1439"/>
      <c r="L41" s="1439"/>
      <c r="M41" s="1439"/>
      <c r="N41" s="1439"/>
      <c r="O41" s="1439"/>
      <c r="P41" s="1439"/>
      <c r="Q41" s="1439"/>
      <c r="R41" s="1439"/>
      <c r="S41" s="1439"/>
      <c r="T41" s="1439"/>
      <c r="U41" s="1439"/>
      <c r="V41" s="1274"/>
      <c r="W41" s="835"/>
      <c r="X41" s="835"/>
      <c r="Y41" s="835"/>
      <c r="Z41" s="835"/>
      <c r="AA41" s="869"/>
      <c r="AB41" s="835"/>
      <c r="AC41" s="835"/>
      <c r="AD41" s="835"/>
      <c r="AE41" s="835"/>
      <c r="AF41" s="835"/>
      <c r="AG41" s="835"/>
      <c r="AH41" s="835"/>
      <c r="AI41" s="835"/>
      <c r="AJ41" s="835"/>
      <c r="AK41" s="835"/>
      <c r="AL41" s="835"/>
      <c r="AM41" s="836"/>
      <c r="AN41" s="836"/>
      <c r="AO41" s="836"/>
      <c r="AP41" s="836"/>
      <c r="AQ41" s="836"/>
      <c r="AR41" s="836"/>
      <c r="AS41" s="836"/>
      <c r="AT41" s="836"/>
      <c r="AU41" s="836"/>
      <c r="AV41" s="836"/>
      <c r="AW41" s="836"/>
      <c r="AX41" s="836"/>
      <c r="AY41" s="836"/>
      <c r="AZ41" s="836"/>
      <c r="BA41" s="836"/>
      <c r="BB41" s="836"/>
      <c r="BC41" s="836"/>
      <c r="BD41" s="836"/>
      <c r="BE41" s="836"/>
      <c r="BF41" s="836"/>
      <c r="BG41" s="836"/>
      <c r="BH41" s="836"/>
      <c r="BI41" s="836"/>
      <c r="BJ41" s="836"/>
      <c r="BK41" s="836"/>
      <c r="BL41" s="836"/>
      <c r="BM41" s="836"/>
      <c r="BN41" s="836"/>
      <c r="BO41" s="836"/>
      <c r="BP41" s="836"/>
      <c r="BQ41" s="836"/>
      <c r="BR41" s="836"/>
      <c r="BS41" s="836"/>
      <c r="BT41" s="836"/>
      <c r="BU41" s="836"/>
      <c r="BV41" s="836"/>
      <c r="BW41" s="836"/>
      <c r="BX41" s="836"/>
      <c r="BY41" s="836"/>
      <c r="BZ41" s="836"/>
      <c r="CA41" s="836"/>
      <c r="CB41" s="836"/>
      <c r="CC41" s="836"/>
      <c r="CD41" s="836"/>
      <c r="CE41" s="836"/>
      <c r="CF41" s="836"/>
      <c r="CG41" s="836"/>
      <c r="CH41" s="836"/>
      <c r="CI41" s="836"/>
      <c r="CJ41" s="836"/>
      <c r="CK41" s="836"/>
      <c r="CL41" s="836"/>
      <c r="CM41" s="836"/>
      <c r="CN41" s="836"/>
      <c r="CO41" s="836"/>
      <c r="CP41" s="836"/>
      <c r="CQ41" s="836"/>
      <c r="CR41" s="836"/>
      <c r="CS41" s="836"/>
      <c r="CT41" s="836"/>
      <c r="CU41" s="836"/>
      <c r="CV41" s="836"/>
      <c r="CW41" s="836"/>
      <c r="CX41" s="836"/>
      <c r="CY41" s="836"/>
      <c r="CZ41" s="836"/>
      <c r="DA41" s="836"/>
      <c r="DB41" s="836"/>
      <c r="DC41" s="836"/>
      <c r="DD41" s="836"/>
      <c r="DE41" s="836"/>
      <c r="DF41" s="836"/>
      <c r="DG41" s="836"/>
      <c r="DH41" s="836"/>
      <c r="DI41" s="836"/>
      <c r="DJ41" s="836"/>
      <c r="DK41" s="836"/>
      <c r="DL41" s="836"/>
      <c r="DM41" s="836"/>
      <c r="DN41" s="836"/>
      <c r="DO41" s="836"/>
      <c r="DP41" s="836"/>
      <c r="DQ41" s="836"/>
      <c r="DR41" s="836"/>
      <c r="DS41" s="836"/>
      <c r="DT41" s="836"/>
      <c r="DU41" s="836"/>
      <c r="DV41" s="836"/>
      <c r="DW41" s="836"/>
      <c r="DX41" s="836"/>
      <c r="DY41" s="836"/>
      <c r="DZ41" s="836"/>
      <c r="EA41" s="836"/>
      <c r="EB41" s="836"/>
      <c r="EC41" s="836"/>
      <c r="ED41" s="836"/>
      <c r="EE41" s="836"/>
      <c r="EF41" s="836"/>
      <c r="EG41" s="836"/>
      <c r="EH41" s="836"/>
      <c r="EI41" s="836"/>
      <c r="EJ41" s="836"/>
      <c r="EK41" s="836"/>
      <c r="EL41" s="836"/>
      <c r="EM41" s="836"/>
      <c r="EN41" s="836"/>
      <c r="EO41" s="836"/>
      <c r="EP41" s="836"/>
      <c r="EQ41" s="836"/>
      <c r="ER41" s="836"/>
      <c r="ES41" s="836"/>
      <c r="ET41" s="836"/>
      <c r="EU41" s="836"/>
      <c r="EV41" s="836"/>
      <c r="EW41" s="836"/>
      <c r="EX41" s="836"/>
      <c r="EY41" s="836"/>
      <c r="EZ41" s="836"/>
      <c r="FA41" s="836"/>
      <c r="FB41" s="836"/>
      <c r="FC41" s="836"/>
      <c r="FD41" s="836"/>
      <c r="FE41" s="836"/>
      <c r="FF41" s="836"/>
      <c r="FG41" s="836"/>
      <c r="FH41" s="836"/>
      <c r="FI41" s="836"/>
      <c r="FJ41" s="836"/>
      <c r="FK41" s="836"/>
      <c r="FL41" s="836"/>
      <c r="FM41" s="836"/>
      <c r="FN41" s="836"/>
      <c r="FO41" s="836"/>
      <c r="FP41" s="836"/>
      <c r="FQ41" s="836"/>
      <c r="FR41" s="836"/>
      <c r="FS41" s="836"/>
      <c r="FT41" s="836"/>
      <c r="FU41" s="836"/>
      <c r="FV41" s="836"/>
      <c r="FW41" s="836"/>
      <c r="FX41" s="836"/>
      <c r="FY41" s="836"/>
      <c r="FZ41" s="836"/>
      <c r="GA41" s="836"/>
      <c r="GB41" s="836"/>
      <c r="GC41" s="836"/>
      <c r="GD41" s="836"/>
      <c r="GE41" s="836"/>
      <c r="GF41" s="836"/>
      <c r="GG41" s="836"/>
      <c r="GH41" s="836"/>
      <c r="GI41" s="836"/>
      <c r="GJ41" s="836"/>
      <c r="GK41" s="836"/>
      <c r="GL41" s="836"/>
      <c r="GM41" s="836"/>
      <c r="GN41" s="836"/>
      <c r="GO41" s="836"/>
      <c r="GP41" s="836"/>
      <c r="GQ41" s="836"/>
      <c r="GR41" s="836"/>
      <c r="GS41" s="836"/>
      <c r="GT41" s="836"/>
      <c r="GU41" s="836"/>
      <c r="GV41" s="836"/>
      <c r="GW41" s="836"/>
      <c r="GX41" s="836"/>
      <c r="GY41" s="836"/>
      <c r="GZ41" s="836"/>
      <c r="HA41" s="836"/>
      <c r="HB41" s="836"/>
      <c r="HC41" s="836"/>
      <c r="HD41" s="836"/>
      <c r="HE41" s="836"/>
      <c r="HF41" s="836"/>
      <c r="HG41" s="836"/>
      <c r="HH41" s="836"/>
      <c r="HI41" s="836"/>
      <c r="HJ41" s="836"/>
      <c r="HK41" s="836"/>
      <c r="HL41" s="836"/>
      <c r="HM41" s="836"/>
      <c r="HN41" s="836"/>
      <c r="HO41" s="836"/>
      <c r="HP41" s="836"/>
      <c r="HQ41" s="836"/>
      <c r="HR41" s="836"/>
      <c r="HS41" s="836"/>
      <c r="HT41" s="836"/>
      <c r="HU41" s="836"/>
      <c r="HV41" s="836"/>
      <c r="HW41" s="836"/>
      <c r="HX41" s="836"/>
      <c r="HY41" s="836"/>
      <c r="HZ41" s="836"/>
      <c r="IA41" s="836"/>
      <c r="IB41" s="836"/>
      <c r="IC41" s="836"/>
      <c r="ID41" s="836"/>
      <c r="IE41" s="836"/>
      <c r="IF41" s="836"/>
      <c r="IG41" s="836"/>
      <c r="IH41" s="836"/>
      <c r="II41" s="836"/>
      <c r="IJ41" s="836"/>
      <c r="IK41" s="836"/>
      <c r="IL41" s="836"/>
      <c r="IM41" s="836"/>
      <c r="IN41" s="836"/>
      <c r="IO41" s="836"/>
      <c r="IP41" s="836"/>
      <c r="IQ41" s="836"/>
      <c r="IR41" s="836"/>
      <c r="IS41" s="836"/>
      <c r="IT41" s="836"/>
      <c r="IU41" s="836"/>
      <c r="IV41" s="836"/>
      <c r="IW41" s="836"/>
      <c r="IX41" s="836"/>
      <c r="IY41" s="836"/>
      <c r="IZ41" s="836"/>
      <c r="JA41" s="836"/>
      <c r="JB41" s="836"/>
      <c r="JC41" s="836"/>
      <c r="JD41" s="836"/>
      <c r="JE41" s="836"/>
      <c r="JF41" s="836"/>
      <c r="JG41" s="836"/>
      <c r="JH41" s="836"/>
      <c r="JI41" s="836"/>
      <c r="JJ41" s="836"/>
      <c r="JK41" s="836"/>
      <c r="JL41" s="836"/>
      <c r="JM41" s="836"/>
      <c r="JN41" s="836"/>
      <c r="JO41" s="836"/>
      <c r="JP41" s="836"/>
      <c r="JQ41" s="836"/>
      <c r="JR41" s="836"/>
      <c r="JS41" s="836"/>
      <c r="JT41" s="836"/>
      <c r="JU41" s="836"/>
      <c r="JV41" s="836"/>
      <c r="JW41" s="836"/>
      <c r="JX41" s="836"/>
      <c r="JY41" s="836"/>
      <c r="JZ41" s="836"/>
      <c r="KA41" s="836"/>
      <c r="KB41" s="836"/>
      <c r="KC41" s="836"/>
      <c r="KD41" s="836"/>
      <c r="KE41" s="836"/>
      <c r="KF41" s="836"/>
      <c r="KG41" s="836"/>
      <c r="KH41" s="836"/>
      <c r="KI41" s="836"/>
      <c r="KJ41" s="836"/>
      <c r="KK41" s="836"/>
      <c r="KL41" s="836"/>
      <c r="KM41" s="836"/>
      <c r="KN41" s="836"/>
      <c r="KO41" s="836"/>
      <c r="KP41" s="836"/>
      <c r="KQ41" s="836"/>
      <c r="KR41" s="836"/>
      <c r="KS41" s="836"/>
      <c r="KT41" s="836"/>
      <c r="KU41" s="836"/>
      <c r="KV41" s="836"/>
      <c r="KW41" s="836"/>
      <c r="KX41" s="836"/>
      <c r="KY41" s="836"/>
      <c r="KZ41" s="836"/>
      <c r="LA41" s="836"/>
      <c r="LB41" s="836"/>
      <c r="LC41" s="836"/>
      <c r="LD41" s="836"/>
      <c r="LE41" s="836"/>
      <c r="LF41" s="836"/>
      <c r="LG41" s="836"/>
      <c r="LH41" s="836"/>
      <c r="LI41" s="836"/>
      <c r="LJ41" s="836"/>
      <c r="LK41" s="836"/>
      <c r="LL41" s="836"/>
      <c r="LM41" s="836"/>
      <c r="LN41" s="836"/>
      <c r="LO41" s="836"/>
      <c r="LP41" s="836"/>
      <c r="LQ41" s="836"/>
      <c r="LR41" s="836"/>
      <c r="LS41" s="836"/>
      <c r="LT41" s="836"/>
      <c r="LU41" s="836"/>
      <c r="LV41" s="836"/>
      <c r="LW41" s="836"/>
      <c r="LX41" s="836"/>
      <c r="LY41" s="836"/>
      <c r="LZ41" s="836"/>
      <c r="MA41" s="836"/>
      <c r="MB41" s="836"/>
      <c r="MC41" s="836"/>
      <c r="MD41" s="836"/>
      <c r="ME41" s="836"/>
      <c r="MF41" s="836"/>
      <c r="MG41" s="836"/>
      <c r="MH41" s="836"/>
      <c r="MI41" s="836"/>
      <c r="MJ41" s="836"/>
      <c r="MK41" s="836"/>
      <c r="ML41" s="836"/>
      <c r="MM41" s="836"/>
      <c r="MN41" s="836"/>
      <c r="MO41" s="836"/>
      <c r="MP41" s="836"/>
      <c r="MQ41" s="836"/>
      <c r="MR41" s="836"/>
      <c r="MS41" s="836"/>
      <c r="MT41" s="836"/>
      <c r="MU41" s="836"/>
      <c r="MV41" s="836"/>
      <c r="MW41" s="836"/>
      <c r="MX41" s="836"/>
      <c r="MY41" s="836"/>
      <c r="MZ41" s="836"/>
      <c r="NA41" s="836"/>
      <c r="NB41" s="836"/>
      <c r="NC41" s="836"/>
      <c r="ND41" s="836"/>
      <c r="NE41" s="836"/>
      <c r="NF41" s="836"/>
      <c r="NG41" s="836"/>
      <c r="NH41" s="836"/>
      <c r="NI41" s="836"/>
      <c r="NJ41" s="836"/>
      <c r="NK41" s="836"/>
      <c r="NL41" s="836"/>
      <c r="NM41" s="836"/>
      <c r="NN41" s="836"/>
      <c r="NO41" s="836"/>
      <c r="NP41" s="836"/>
      <c r="NQ41" s="836"/>
      <c r="NR41" s="836"/>
      <c r="NS41" s="836"/>
      <c r="NT41" s="836"/>
      <c r="NU41" s="836"/>
      <c r="NV41" s="836"/>
      <c r="NW41" s="836"/>
      <c r="NX41" s="836"/>
      <c r="NY41" s="836"/>
      <c r="NZ41" s="836"/>
      <c r="OA41" s="836"/>
      <c r="OB41" s="836"/>
      <c r="OC41" s="836"/>
      <c r="OD41" s="836"/>
      <c r="OE41" s="836"/>
      <c r="OF41" s="836"/>
      <c r="OG41" s="836"/>
      <c r="OH41" s="836"/>
      <c r="OI41" s="836"/>
      <c r="OJ41" s="836"/>
      <c r="OK41" s="836"/>
      <c r="OL41" s="836"/>
      <c r="OM41" s="836"/>
      <c r="ON41" s="836"/>
      <c r="OO41" s="836"/>
      <c r="OP41" s="836"/>
      <c r="OQ41" s="836"/>
      <c r="OR41" s="836"/>
      <c r="OS41" s="836"/>
      <c r="OT41" s="836"/>
      <c r="OU41" s="836"/>
      <c r="OV41" s="836"/>
      <c r="OW41" s="836"/>
      <c r="OX41" s="836"/>
      <c r="OY41" s="836"/>
      <c r="OZ41" s="836"/>
      <c r="PA41" s="836"/>
      <c r="PB41" s="836"/>
      <c r="PC41" s="836"/>
      <c r="PD41" s="836"/>
      <c r="PE41" s="836"/>
      <c r="PF41" s="836"/>
      <c r="PG41" s="836"/>
      <c r="PH41" s="836"/>
      <c r="PI41" s="836"/>
      <c r="PJ41" s="836"/>
      <c r="PK41" s="836"/>
      <c r="PL41" s="836"/>
      <c r="PM41" s="836"/>
      <c r="PN41" s="836"/>
      <c r="PO41" s="836"/>
      <c r="PP41" s="836"/>
      <c r="PQ41" s="836"/>
      <c r="PR41" s="836"/>
      <c r="PS41" s="836"/>
      <c r="PT41" s="836"/>
      <c r="PU41" s="836"/>
      <c r="PV41" s="836"/>
      <c r="PW41" s="836"/>
      <c r="PX41" s="836"/>
      <c r="PY41" s="836"/>
      <c r="PZ41" s="836"/>
      <c r="QA41" s="836"/>
      <c r="QB41" s="836"/>
      <c r="QC41" s="836"/>
      <c r="QD41" s="836"/>
      <c r="QE41" s="836"/>
      <c r="QF41" s="836"/>
      <c r="QG41" s="836"/>
      <c r="QH41" s="836"/>
      <c r="QI41" s="836"/>
      <c r="QJ41" s="836"/>
      <c r="QK41" s="836"/>
      <c r="QL41" s="836"/>
      <c r="QM41" s="836"/>
      <c r="QN41" s="836"/>
      <c r="QO41" s="836"/>
      <c r="QP41" s="836"/>
      <c r="QQ41" s="836"/>
      <c r="QR41" s="836"/>
      <c r="QS41" s="836"/>
      <c r="QT41" s="836"/>
      <c r="QU41" s="836"/>
      <c r="QV41" s="836"/>
      <c r="QW41" s="836"/>
      <c r="QX41" s="836"/>
      <c r="QY41" s="836"/>
      <c r="QZ41" s="836"/>
      <c r="RA41" s="836"/>
      <c r="RB41" s="836"/>
      <c r="RC41" s="836"/>
      <c r="RD41" s="836"/>
      <c r="RE41" s="836"/>
      <c r="RF41" s="836"/>
      <c r="RG41" s="836"/>
      <c r="RH41" s="836"/>
      <c r="RI41" s="836"/>
      <c r="RJ41" s="836"/>
      <c r="RK41" s="836"/>
      <c r="RL41" s="836"/>
      <c r="RM41" s="836"/>
      <c r="RN41" s="836"/>
      <c r="RO41" s="836"/>
      <c r="RP41" s="836"/>
      <c r="RQ41" s="836"/>
      <c r="RR41" s="836"/>
      <c r="RS41" s="836"/>
      <c r="RT41" s="836"/>
      <c r="RU41" s="836"/>
      <c r="RV41" s="836"/>
      <c r="RW41" s="836"/>
      <c r="RX41" s="836"/>
      <c r="RY41" s="836"/>
      <c r="RZ41" s="836"/>
      <c r="SA41" s="836"/>
      <c r="SB41" s="836"/>
      <c r="SC41" s="836"/>
      <c r="SD41" s="836"/>
      <c r="SE41" s="836"/>
      <c r="SF41" s="836"/>
      <c r="SG41" s="836"/>
      <c r="SH41" s="836"/>
      <c r="SI41" s="836"/>
      <c r="SJ41" s="836"/>
      <c r="SK41" s="836"/>
      <c r="SL41" s="836"/>
      <c r="SM41" s="836"/>
      <c r="SN41" s="836"/>
      <c r="SO41" s="836"/>
      <c r="SP41" s="836"/>
      <c r="SQ41" s="836"/>
      <c r="SR41" s="836"/>
      <c r="SS41" s="836"/>
      <c r="ST41" s="836"/>
      <c r="SU41" s="836"/>
      <c r="SV41" s="836"/>
      <c r="SW41" s="836"/>
      <c r="SX41" s="836"/>
      <c r="SY41" s="836"/>
      <c r="SZ41" s="836"/>
      <c r="TA41" s="836"/>
      <c r="TB41" s="836"/>
      <c r="TC41" s="836"/>
      <c r="TD41" s="836"/>
      <c r="TE41" s="836"/>
      <c r="TF41" s="836"/>
      <c r="TG41" s="836"/>
      <c r="TH41" s="836"/>
      <c r="TI41" s="836"/>
      <c r="TJ41" s="836"/>
      <c r="TK41" s="836"/>
      <c r="TL41" s="836"/>
      <c r="TM41" s="836"/>
      <c r="TN41" s="836"/>
      <c r="TO41" s="836"/>
      <c r="TP41" s="836"/>
      <c r="TQ41" s="836"/>
      <c r="TR41" s="836"/>
      <c r="TS41" s="836"/>
      <c r="TT41" s="836"/>
      <c r="TU41" s="836"/>
      <c r="TV41" s="836"/>
      <c r="TW41" s="836"/>
      <c r="TX41" s="836"/>
      <c r="TY41" s="836"/>
      <c r="TZ41" s="836"/>
      <c r="UA41" s="836"/>
      <c r="UB41" s="836"/>
      <c r="UC41" s="836"/>
      <c r="UD41" s="836"/>
      <c r="UE41" s="836"/>
      <c r="UF41" s="836"/>
      <c r="UG41" s="836"/>
      <c r="UH41" s="836"/>
      <c r="UI41" s="836"/>
      <c r="UJ41" s="836"/>
      <c r="UK41" s="836"/>
      <c r="UL41" s="836"/>
      <c r="UM41" s="836"/>
      <c r="UN41" s="836"/>
      <c r="UO41" s="836"/>
      <c r="UP41" s="836"/>
      <c r="UQ41" s="836"/>
      <c r="UR41" s="836"/>
      <c r="US41" s="836"/>
      <c r="UT41" s="836"/>
      <c r="UU41" s="836"/>
      <c r="UV41" s="836"/>
      <c r="UW41" s="836"/>
      <c r="UX41" s="836"/>
      <c r="UY41" s="836"/>
      <c r="UZ41" s="836"/>
      <c r="VA41" s="836"/>
      <c r="VB41" s="836"/>
      <c r="VC41" s="836"/>
      <c r="VD41" s="836"/>
      <c r="VE41" s="836"/>
      <c r="VF41" s="836"/>
      <c r="VG41" s="836"/>
      <c r="VH41" s="836"/>
      <c r="VI41" s="836"/>
      <c r="VJ41" s="836"/>
      <c r="VK41" s="836"/>
      <c r="VL41" s="836"/>
      <c r="VM41" s="836"/>
      <c r="VN41" s="836"/>
      <c r="VO41" s="836"/>
      <c r="VP41" s="836"/>
      <c r="VQ41" s="836"/>
      <c r="VR41" s="836"/>
      <c r="VS41" s="836"/>
      <c r="VT41" s="836"/>
      <c r="VU41" s="836"/>
      <c r="VV41" s="836"/>
      <c r="VW41" s="836"/>
      <c r="VX41" s="836"/>
      <c r="VY41" s="836"/>
      <c r="VZ41" s="836"/>
      <c r="WA41" s="836"/>
      <c r="WB41" s="836"/>
      <c r="WC41" s="836"/>
      <c r="WD41" s="836"/>
      <c r="WE41" s="836"/>
      <c r="WF41" s="836"/>
      <c r="WG41" s="836"/>
      <c r="WH41" s="836"/>
      <c r="WI41" s="836"/>
      <c r="WJ41" s="836"/>
      <c r="WK41" s="836"/>
      <c r="WL41" s="836"/>
      <c r="WM41" s="836"/>
      <c r="WN41" s="836"/>
      <c r="WO41" s="836"/>
      <c r="WP41" s="836"/>
      <c r="WQ41" s="836"/>
      <c r="WR41" s="836"/>
      <c r="WS41" s="836"/>
      <c r="WT41" s="836"/>
      <c r="WU41" s="836"/>
      <c r="WV41" s="836"/>
      <c r="WW41" s="836"/>
      <c r="WX41" s="836"/>
      <c r="WY41" s="836"/>
      <c r="WZ41" s="836"/>
      <c r="XA41" s="836"/>
      <c r="XB41" s="836"/>
      <c r="XC41" s="836"/>
      <c r="XD41" s="836"/>
      <c r="XE41" s="836"/>
      <c r="XF41" s="836"/>
      <c r="XG41" s="836"/>
      <c r="XH41" s="836"/>
      <c r="XI41" s="836"/>
      <c r="XJ41" s="836"/>
      <c r="XK41" s="836"/>
      <c r="XL41" s="836"/>
      <c r="XM41" s="836"/>
      <c r="XN41" s="836"/>
      <c r="XO41" s="836"/>
      <c r="XP41" s="836"/>
      <c r="XQ41" s="836"/>
      <c r="XR41" s="836"/>
      <c r="XS41" s="836"/>
      <c r="XT41" s="836"/>
      <c r="XU41" s="836"/>
      <c r="XV41" s="836"/>
      <c r="XW41" s="836"/>
      <c r="XX41" s="836"/>
      <c r="XY41" s="836"/>
      <c r="XZ41" s="836"/>
      <c r="YA41" s="836"/>
      <c r="YB41" s="836"/>
      <c r="YC41" s="836"/>
      <c r="YD41" s="836"/>
      <c r="YE41" s="836"/>
      <c r="YF41" s="836"/>
      <c r="YG41" s="836"/>
      <c r="YH41" s="836"/>
      <c r="YI41" s="836"/>
      <c r="YJ41" s="836"/>
      <c r="YK41" s="836"/>
      <c r="YL41" s="836"/>
      <c r="YM41" s="836"/>
      <c r="YN41" s="836"/>
      <c r="YO41" s="836"/>
      <c r="YP41" s="836"/>
      <c r="YQ41" s="836"/>
      <c r="YR41" s="836"/>
      <c r="YS41" s="836"/>
      <c r="YT41" s="836"/>
      <c r="YU41" s="836"/>
      <c r="YV41" s="836"/>
      <c r="YW41" s="836"/>
      <c r="YX41" s="836"/>
      <c r="YY41" s="836"/>
      <c r="YZ41" s="836"/>
      <c r="ZA41" s="836"/>
      <c r="ZB41" s="836"/>
      <c r="ZC41" s="836"/>
      <c r="ZD41" s="836"/>
      <c r="ZE41" s="836"/>
      <c r="ZF41" s="836"/>
      <c r="ZG41" s="836"/>
      <c r="ZH41" s="836"/>
      <c r="ZI41" s="836"/>
      <c r="ZJ41" s="836"/>
      <c r="ZK41" s="836"/>
      <c r="ZL41" s="836"/>
      <c r="ZM41" s="836"/>
      <c r="ZN41" s="836"/>
      <c r="ZO41" s="836"/>
      <c r="ZP41" s="836"/>
      <c r="ZQ41" s="836"/>
      <c r="ZR41" s="836"/>
      <c r="ZS41" s="836"/>
      <c r="ZT41" s="836"/>
      <c r="ZU41" s="836"/>
      <c r="ZV41" s="836"/>
      <c r="ZW41" s="836"/>
      <c r="ZX41" s="836"/>
      <c r="ZY41" s="836"/>
      <c r="ZZ41" s="836"/>
      <c r="AAA41" s="836"/>
      <c r="AAB41" s="836"/>
      <c r="AAC41" s="836"/>
      <c r="AAD41" s="836"/>
      <c r="AAE41" s="836"/>
      <c r="AAF41" s="836"/>
      <c r="AAG41" s="836"/>
      <c r="AAH41" s="836"/>
      <c r="AAI41" s="836"/>
      <c r="AAJ41" s="836"/>
      <c r="AAK41" s="836"/>
      <c r="AAL41" s="836"/>
      <c r="AAM41" s="836"/>
      <c r="AAN41" s="836"/>
      <c r="AAO41" s="836"/>
      <c r="AAP41" s="836"/>
      <c r="AAQ41" s="836"/>
      <c r="AAR41" s="836"/>
      <c r="AAS41" s="836"/>
      <c r="AAT41" s="836"/>
      <c r="AAU41" s="836"/>
      <c r="AAV41" s="836"/>
      <c r="AAW41" s="836"/>
      <c r="AAX41" s="836"/>
      <c r="AAY41" s="836"/>
      <c r="AAZ41" s="836"/>
      <c r="ABA41" s="836"/>
      <c r="ABB41" s="836"/>
      <c r="ABC41" s="836"/>
      <c r="ABD41" s="836"/>
      <c r="ABE41" s="836"/>
      <c r="ABF41" s="836"/>
      <c r="ABG41" s="836"/>
      <c r="ABH41" s="836"/>
      <c r="ABI41" s="836"/>
      <c r="ABJ41" s="836"/>
      <c r="ABK41" s="836"/>
      <c r="ABL41" s="836"/>
      <c r="ABM41" s="836"/>
      <c r="ABN41" s="836"/>
      <c r="ABO41" s="836"/>
      <c r="ABP41" s="836"/>
      <c r="ABQ41" s="836"/>
      <c r="ABR41" s="836"/>
      <c r="ABS41" s="836"/>
      <c r="ABT41" s="836"/>
      <c r="ABU41" s="836"/>
      <c r="ABV41" s="836"/>
      <c r="ABW41" s="836"/>
      <c r="ABX41" s="836"/>
      <c r="ABY41" s="836"/>
      <c r="ABZ41" s="836"/>
      <c r="ACA41" s="836"/>
      <c r="ACB41" s="836"/>
      <c r="ACC41" s="836"/>
      <c r="ACD41" s="836"/>
      <c r="ACE41" s="836"/>
      <c r="ACF41" s="836"/>
      <c r="ACG41" s="836"/>
      <c r="ACH41" s="836"/>
      <c r="ACI41" s="836"/>
      <c r="ACJ41" s="836"/>
      <c r="ACK41" s="836"/>
      <c r="ACL41" s="836"/>
      <c r="ACM41" s="836"/>
      <c r="ACN41" s="836"/>
      <c r="ACO41" s="836"/>
      <c r="ACP41" s="836"/>
      <c r="ACQ41" s="836"/>
      <c r="ACR41" s="836"/>
      <c r="ACS41" s="836"/>
      <c r="ACT41" s="836"/>
      <c r="ACU41" s="836"/>
      <c r="ACV41" s="836"/>
      <c r="ACW41" s="836"/>
      <c r="ACX41" s="836"/>
      <c r="ACY41" s="836"/>
      <c r="ACZ41" s="836"/>
      <c r="ADA41" s="836"/>
      <c r="ADB41" s="836"/>
      <c r="ADC41" s="836"/>
      <c r="ADD41" s="836"/>
      <c r="ADE41" s="836"/>
      <c r="ADF41" s="836"/>
      <c r="ADG41" s="836"/>
      <c r="ADH41" s="836"/>
      <c r="ADI41" s="836"/>
      <c r="ADJ41" s="836"/>
      <c r="ADK41" s="836"/>
      <c r="ADL41" s="836"/>
      <c r="ADM41" s="836"/>
      <c r="ADN41" s="836"/>
      <c r="ADO41" s="836"/>
      <c r="ADP41" s="836"/>
      <c r="ADQ41" s="836"/>
      <c r="ADR41" s="836"/>
      <c r="ADS41" s="836"/>
      <c r="ADT41" s="836"/>
      <c r="ADU41" s="836"/>
      <c r="ADV41" s="836"/>
      <c r="ADW41" s="836"/>
      <c r="ADX41" s="836"/>
      <c r="ADY41" s="836"/>
      <c r="ADZ41" s="836"/>
      <c r="AEA41" s="836"/>
      <c r="AEB41" s="836"/>
      <c r="AEC41" s="836"/>
      <c r="AED41" s="836"/>
      <c r="AEE41" s="836"/>
      <c r="AEF41" s="836"/>
      <c r="AEG41" s="836"/>
      <c r="AEH41" s="836"/>
      <c r="AEI41" s="836"/>
      <c r="AEJ41" s="836"/>
      <c r="AEK41" s="836"/>
      <c r="AEL41" s="836"/>
      <c r="AEM41" s="836"/>
      <c r="AEN41" s="836"/>
      <c r="AEO41" s="836"/>
      <c r="AEP41" s="836"/>
      <c r="AEQ41" s="836"/>
      <c r="AER41" s="836"/>
      <c r="AES41" s="836"/>
      <c r="AET41" s="836"/>
      <c r="AEU41" s="836"/>
      <c r="AEV41" s="836"/>
      <c r="AEW41" s="836"/>
      <c r="AEX41" s="836"/>
      <c r="AEY41" s="836"/>
      <c r="AEZ41" s="836"/>
      <c r="AFA41" s="836"/>
      <c r="AFB41" s="836"/>
      <c r="AFC41" s="836"/>
      <c r="AFD41" s="836"/>
      <c r="AFE41" s="836"/>
      <c r="AFF41" s="836"/>
      <c r="AFG41" s="836"/>
      <c r="AFH41" s="836"/>
      <c r="AFI41" s="836"/>
      <c r="AFJ41" s="836"/>
      <c r="AFK41" s="836"/>
      <c r="AFL41" s="836"/>
      <c r="AFM41" s="836"/>
      <c r="AFN41" s="836"/>
      <c r="AFO41" s="836"/>
      <c r="AFP41" s="836"/>
      <c r="AFQ41" s="836"/>
      <c r="AFR41" s="836"/>
      <c r="AFS41" s="836"/>
      <c r="AFT41" s="836"/>
      <c r="AFU41" s="836"/>
      <c r="AFV41" s="836"/>
      <c r="AFW41" s="836"/>
      <c r="AFX41" s="836"/>
      <c r="AFY41" s="836"/>
      <c r="AFZ41" s="836"/>
      <c r="AGA41" s="836"/>
      <c r="AGB41" s="836"/>
      <c r="AGC41" s="836"/>
      <c r="AGD41" s="836"/>
      <c r="AGE41" s="836"/>
      <c r="AGF41" s="836"/>
      <c r="AGG41" s="836"/>
      <c r="AGH41" s="836"/>
      <c r="AGI41" s="836"/>
      <c r="AGJ41" s="836"/>
      <c r="AGK41" s="836"/>
      <c r="AGL41" s="836"/>
      <c r="AGM41" s="836"/>
      <c r="AGN41" s="836"/>
      <c r="AGO41" s="836"/>
      <c r="AGP41" s="836"/>
      <c r="AGQ41" s="836"/>
      <c r="AGR41" s="836"/>
      <c r="AGS41" s="836"/>
      <c r="AGT41" s="836"/>
      <c r="AGU41" s="836"/>
      <c r="AGV41" s="836"/>
      <c r="AGW41" s="836"/>
      <c r="AGX41" s="836"/>
      <c r="AGY41" s="836"/>
      <c r="AGZ41" s="836"/>
      <c r="AHA41" s="836"/>
      <c r="AHB41" s="836"/>
      <c r="AHC41" s="836"/>
      <c r="AHD41" s="836"/>
      <c r="AHE41" s="836"/>
      <c r="AHF41" s="836"/>
      <c r="AHG41" s="836"/>
      <c r="AHH41" s="836"/>
      <c r="AHI41" s="836"/>
      <c r="AHJ41" s="836"/>
      <c r="AHK41" s="836"/>
      <c r="AHL41" s="836"/>
      <c r="AHM41" s="836"/>
      <c r="AHN41" s="836"/>
      <c r="AHO41" s="836"/>
      <c r="AHP41" s="836"/>
      <c r="AHQ41" s="836"/>
      <c r="AHR41" s="836"/>
      <c r="AHS41" s="836"/>
      <c r="AHT41" s="836"/>
      <c r="AHU41" s="836"/>
      <c r="AHV41" s="836"/>
      <c r="AHW41" s="836"/>
      <c r="AHX41" s="836"/>
      <c r="AHY41" s="836"/>
      <c r="AHZ41" s="836"/>
      <c r="AIA41" s="836"/>
      <c r="AIB41" s="836"/>
      <c r="AIC41" s="836"/>
      <c r="AID41" s="836"/>
      <c r="AIE41" s="836"/>
      <c r="AIF41" s="836"/>
      <c r="AIG41" s="836"/>
      <c r="AIH41" s="836"/>
      <c r="AII41" s="836"/>
      <c r="AIJ41" s="836"/>
      <c r="AIK41" s="836"/>
      <c r="AIL41" s="836"/>
      <c r="AIM41" s="836"/>
      <c r="AIN41" s="836"/>
      <c r="AIO41" s="836"/>
      <c r="AIP41" s="836"/>
      <c r="AIQ41" s="836"/>
      <c r="AIR41" s="836"/>
      <c r="AIS41" s="836"/>
      <c r="AIT41" s="836"/>
      <c r="AIU41" s="836"/>
      <c r="AIV41" s="836"/>
      <c r="AIW41" s="836"/>
      <c r="AIX41" s="836"/>
      <c r="AIY41" s="836"/>
      <c r="AIZ41" s="836"/>
      <c r="AJA41" s="836"/>
      <c r="AJB41" s="836"/>
      <c r="AJC41" s="836"/>
      <c r="AJD41" s="836"/>
      <c r="AJE41" s="836"/>
      <c r="AJF41" s="836"/>
      <c r="AJG41" s="836"/>
      <c r="AJH41" s="836"/>
      <c r="AJI41" s="836"/>
      <c r="AJJ41" s="836"/>
      <c r="AJK41" s="836"/>
      <c r="AJL41" s="836"/>
      <c r="AJM41" s="836"/>
      <c r="AJN41" s="836"/>
      <c r="AJO41" s="836"/>
      <c r="AJP41" s="836"/>
      <c r="AJQ41" s="836"/>
      <c r="AJR41" s="836"/>
      <c r="AJS41" s="836"/>
      <c r="AJT41" s="836"/>
      <c r="AJU41" s="836"/>
      <c r="AJV41" s="836"/>
      <c r="AJW41" s="836"/>
      <c r="AJX41" s="836"/>
      <c r="AJY41" s="836"/>
      <c r="AJZ41" s="836"/>
      <c r="AKA41" s="836"/>
      <c r="AKB41" s="836"/>
      <c r="AKC41" s="836"/>
      <c r="AKD41" s="836"/>
      <c r="AKE41" s="836"/>
      <c r="AKF41" s="836"/>
      <c r="AKG41" s="836"/>
      <c r="AKH41" s="836"/>
      <c r="AKI41" s="836"/>
      <c r="AKJ41" s="836"/>
      <c r="AKK41" s="836"/>
      <c r="AKL41" s="836"/>
      <c r="AKM41" s="836"/>
      <c r="AKN41" s="836"/>
      <c r="AKO41" s="836"/>
      <c r="AKP41" s="836"/>
      <c r="AKQ41" s="836"/>
      <c r="AKR41" s="836"/>
      <c r="AKS41" s="836"/>
      <c r="AKT41" s="836"/>
      <c r="AKU41" s="836"/>
      <c r="AKV41" s="836"/>
      <c r="AKW41" s="836"/>
      <c r="AKX41" s="836"/>
      <c r="AKY41" s="836"/>
      <c r="AKZ41" s="836"/>
      <c r="ALA41" s="836"/>
      <c r="ALB41" s="836"/>
      <c r="ALC41" s="836"/>
      <c r="ALD41" s="836"/>
      <c r="ALE41" s="836"/>
      <c r="ALF41" s="836"/>
      <c r="ALG41" s="836"/>
      <c r="ALH41" s="836"/>
      <c r="ALI41" s="836"/>
      <c r="ALJ41" s="836"/>
      <c r="ALK41" s="836"/>
      <c r="ALL41" s="836"/>
      <c r="ALM41" s="836"/>
      <c r="ALN41" s="836"/>
      <c r="ALO41" s="836"/>
      <c r="ALP41" s="836"/>
      <c r="ALQ41" s="836"/>
      <c r="ALR41" s="836"/>
      <c r="ALS41" s="836"/>
      <c r="ALT41" s="836"/>
      <c r="ALU41" s="836"/>
      <c r="ALV41" s="836"/>
      <c r="ALW41" s="836"/>
      <c r="ALX41" s="836"/>
      <c r="ALY41" s="836"/>
      <c r="ALZ41" s="836"/>
      <c r="AMA41" s="836"/>
      <c r="AMB41" s="836"/>
      <c r="AMC41" s="836"/>
      <c r="AMD41" s="836"/>
      <c r="AME41" s="836"/>
      <c r="AMF41" s="836"/>
      <c r="AMG41" s="836"/>
      <c r="AMH41" s="836"/>
      <c r="AMI41" s="836"/>
      <c r="AMJ41" s="836"/>
      <c r="AMK41" s="836"/>
      <c r="AML41" s="836"/>
      <c r="AMM41" s="836"/>
      <c r="AMN41" s="836"/>
      <c r="AMO41" s="836"/>
      <c r="AMP41" s="836"/>
      <c r="AMQ41" s="836"/>
      <c r="AMR41" s="836"/>
      <c r="AMS41" s="836"/>
      <c r="AMT41" s="836"/>
      <c r="AMU41" s="836"/>
      <c r="AMV41" s="836"/>
      <c r="AMW41" s="836"/>
      <c r="AMX41" s="836"/>
      <c r="AMY41" s="836"/>
      <c r="AMZ41" s="836"/>
      <c r="ANA41" s="836"/>
      <c r="ANB41" s="836"/>
      <c r="ANC41" s="836"/>
      <c r="AND41" s="836"/>
      <c r="ANE41" s="836"/>
      <c r="ANF41" s="836"/>
      <c r="ANG41" s="836"/>
      <c r="ANH41" s="836"/>
      <c r="ANI41" s="836"/>
      <c r="ANJ41" s="836"/>
      <c r="ANK41" s="836"/>
      <c r="ANL41" s="836"/>
      <c r="ANM41" s="836"/>
      <c r="ANN41" s="836"/>
      <c r="ANO41" s="836"/>
      <c r="ANP41" s="836"/>
      <c r="ANQ41" s="836"/>
      <c r="ANR41" s="836"/>
      <c r="ANS41" s="836"/>
      <c r="ANT41" s="836"/>
      <c r="ANU41" s="836"/>
      <c r="ANV41" s="836"/>
      <c r="ANW41" s="836"/>
      <c r="ANX41" s="836"/>
      <c r="ANY41" s="836"/>
      <c r="ANZ41" s="836"/>
      <c r="AOA41" s="836"/>
      <c r="AOB41" s="836"/>
      <c r="AOC41" s="836"/>
      <c r="AOD41" s="836"/>
      <c r="AOE41" s="836"/>
      <c r="AOF41" s="836"/>
      <c r="AOG41" s="836"/>
      <c r="AOH41" s="836"/>
      <c r="AOI41" s="836"/>
      <c r="AOJ41" s="836"/>
      <c r="AOK41" s="836"/>
      <c r="AOL41" s="836"/>
      <c r="AOM41" s="836"/>
      <c r="AON41" s="836"/>
      <c r="AOO41" s="836"/>
      <c r="AOP41" s="836"/>
      <c r="AOQ41" s="836"/>
      <c r="AOR41" s="836"/>
      <c r="AOS41" s="836"/>
      <c r="AOT41" s="836"/>
      <c r="AOU41" s="836"/>
      <c r="AOV41" s="836"/>
      <c r="AOW41" s="836"/>
      <c r="AOX41" s="836"/>
      <c r="AOY41" s="836"/>
      <c r="AOZ41" s="836"/>
      <c r="APA41" s="836"/>
      <c r="APB41" s="836"/>
      <c r="APC41" s="836"/>
      <c r="APD41" s="836"/>
      <c r="APE41" s="836"/>
      <c r="APF41" s="836"/>
      <c r="APG41" s="836"/>
      <c r="APH41" s="836"/>
      <c r="API41" s="836"/>
      <c r="APJ41" s="836"/>
      <c r="APK41" s="836"/>
      <c r="APL41" s="836"/>
      <c r="APM41" s="836"/>
      <c r="APN41" s="836"/>
      <c r="APO41" s="836"/>
      <c r="APP41" s="836"/>
      <c r="APQ41" s="836"/>
      <c r="APR41" s="836"/>
      <c r="APS41" s="836"/>
      <c r="APT41" s="836"/>
      <c r="APU41" s="836"/>
      <c r="APV41" s="836"/>
      <c r="APW41" s="836"/>
      <c r="APX41" s="836"/>
      <c r="APY41" s="836"/>
      <c r="APZ41" s="836"/>
      <c r="AQA41" s="836"/>
      <c r="AQB41" s="836"/>
      <c r="AQC41" s="836"/>
      <c r="AQD41" s="836"/>
      <c r="AQE41" s="836"/>
      <c r="AQF41" s="836"/>
      <c r="AQG41" s="836"/>
      <c r="AQH41" s="836"/>
      <c r="AQI41" s="836"/>
      <c r="AQJ41" s="836"/>
      <c r="AQK41" s="836"/>
      <c r="AQL41" s="836"/>
      <c r="AQM41" s="836"/>
      <c r="AQN41" s="836"/>
      <c r="AQO41" s="836"/>
      <c r="AQP41" s="836"/>
      <c r="AQQ41" s="836"/>
      <c r="AQR41" s="836"/>
      <c r="AQS41" s="836"/>
      <c r="AQT41" s="836"/>
      <c r="AQU41" s="836"/>
      <c r="AQV41" s="836"/>
      <c r="AQW41" s="836"/>
      <c r="AQX41" s="836"/>
      <c r="AQY41" s="836"/>
      <c r="AQZ41" s="836"/>
      <c r="ARA41" s="836"/>
      <c r="ARB41" s="836"/>
      <c r="ARC41" s="836"/>
      <c r="ARD41" s="836"/>
      <c r="ARE41" s="836"/>
      <c r="ARF41" s="836"/>
      <c r="ARG41" s="836"/>
      <c r="ARH41" s="836"/>
      <c r="ARI41" s="836"/>
      <c r="ARJ41" s="836"/>
      <c r="ARK41" s="836"/>
      <c r="ARL41" s="836"/>
      <c r="ARM41" s="836"/>
      <c r="ARN41" s="836"/>
      <c r="ARO41" s="836"/>
      <c r="ARP41" s="836"/>
      <c r="ARQ41" s="836"/>
      <c r="ARR41" s="836"/>
      <c r="ARS41" s="836"/>
      <c r="ART41" s="836"/>
      <c r="ARU41" s="836"/>
      <c r="ARV41" s="836"/>
      <c r="ARW41" s="836"/>
      <c r="ARX41" s="836"/>
      <c r="ARY41" s="836"/>
      <c r="ARZ41" s="836"/>
      <c r="ASA41" s="836"/>
      <c r="ASB41" s="836"/>
      <c r="ASC41" s="836"/>
      <c r="ASD41" s="836"/>
      <c r="ASE41" s="836"/>
      <c r="ASF41" s="836"/>
      <c r="ASG41" s="836"/>
      <c r="ASH41" s="836"/>
      <c r="ASI41" s="836"/>
      <c r="ASJ41" s="836"/>
      <c r="ASK41" s="836"/>
      <c r="ASL41" s="836"/>
      <c r="ASM41" s="836"/>
      <c r="ASN41" s="836"/>
      <c r="ASO41" s="836"/>
      <c r="ASP41" s="836"/>
      <c r="ASQ41" s="836"/>
      <c r="ASR41" s="836"/>
      <c r="ASS41" s="836"/>
      <c r="AST41" s="836"/>
      <c r="ASU41" s="836"/>
      <c r="ASV41" s="836"/>
      <c r="ASW41" s="836"/>
      <c r="ASX41" s="836"/>
      <c r="ASY41" s="836"/>
      <c r="ASZ41" s="836"/>
      <c r="ATA41" s="836"/>
      <c r="ATB41" s="836"/>
      <c r="ATC41" s="836"/>
      <c r="ATD41" s="836"/>
      <c r="ATE41" s="836"/>
      <c r="ATF41" s="836"/>
      <c r="ATG41" s="836"/>
      <c r="ATH41" s="836"/>
      <c r="ATI41" s="836"/>
      <c r="ATJ41" s="836"/>
      <c r="ATK41" s="836"/>
      <c r="ATL41" s="836"/>
      <c r="ATM41" s="836"/>
      <c r="ATN41" s="836"/>
      <c r="ATO41" s="836"/>
      <c r="ATP41" s="836"/>
      <c r="ATQ41" s="836"/>
      <c r="ATR41" s="836"/>
      <c r="ATS41" s="836"/>
      <c r="ATT41" s="836"/>
      <c r="ATU41" s="836"/>
      <c r="ATV41" s="836"/>
      <c r="ATW41" s="836"/>
      <c r="ATX41" s="836"/>
      <c r="ATY41" s="836"/>
      <c r="ATZ41" s="836"/>
      <c r="AUA41" s="836"/>
      <c r="AUB41" s="836"/>
      <c r="AUC41" s="836"/>
      <c r="AUD41" s="836"/>
      <c r="AUE41" s="836"/>
      <c r="AUF41" s="836"/>
      <c r="AUG41" s="836"/>
      <c r="AUH41" s="836"/>
      <c r="AUI41" s="836"/>
      <c r="AUJ41" s="836"/>
      <c r="AUK41" s="836"/>
      <c r="AUL41" s="836"/>
      <c r="AUM41" s="836"/>
      <c r="AUN41" s="836"/>
      <c r="AUO41" s="836"/>
      <c r="AUP41" s="836"/>
      <c r="AUQ41" s="836"/>
      <c r="AUR41" s="836"/>
      <c r="AUS41" s="836"/>
      <c r="AUT41" s="836"/>
      <c r="AUU41" s="836"/>
      <c r="AUV41" s="836"/>
      <c r="AUW41" s="836"/>
      <c r="AUX41" s="836"/>
      <c r="AUY41" s="836"/>
      <c r="AUZ41" s="836"/>
      <c r="AVA41" s="836"/>
      <c r="AVB41" s="836"/>
      <c r="AVC41" s="836"/>
      <c r="AVD41" s="836"/>
      <c r="AVE41" s="836"/>
      <c r="AVF41" s="836"/>
      <c r="AVG41" s="836"/>
      <c r="AVH41" s="836"/>
      <c r="AVI41" s="836"/>
      <c r="AVJ41" s="836"/>
      <c r="AVK41" s="836"/>
      <c r="AVL41" s="836"/>
      <c r="AVM41" s="836"/>
      <c r="AVN41" s="836"/>
      <c r="AVO41" s="836"/>
      <c r="AVP41" s="836"/>
      <c r="AVQ41" s="836"/>
      <c r="AVR41" s="836"/>
      <c r="AVS41" s="836"/>
      <c r="AVT41" s="836"/>
      <c r="AVU41" s="836"/>
      <c r="AVV41" s="836"/>
      <c r="AVW41" s="836"/>
      <c r="AVX41" s="836"/>
      <c r="AVY41" s="836"/>
      <c r="AVZ41" s="836"/>
      <c r="AWA41" s="836"/>
      <c r="AWB41" s="836"/>
      <c r="AWC41" s="836"/>
      <c r="AWD41" s="836"/>
      <c r="AWE41" s="836"/>
      <c r="AWF41" s="836"/>
      <c r="AWG41" s="836"/>
      <c r="AWH41" s="836"/>
      <c r="AWI41" s="836"/>
      <c r="AWJ41" s="836"/>
      <c r="AWK41" s="836"/>
      <c r="AWL41" s="836"/>
      <c r="AWM41" s="836"/>
      <c r="AWN41" s="836"/>
      <c r="AWO41" s="836"/>
      <c r="AWP41" s="836"/>
      <c r="AWQ41" s="836"/>
      <c r="AWR41" s="836"/>
      <c r="AWS41" s="836"/>
      <c r="AWT41" s="836"/>
      <c r="AWU41" s="836"/>
      <c r="AWV41" s="836"/>
      <c r="AWW41" s="836"/>
      <c r="AWX41" s="836"/>
      <c r="AWY41" s="836"/>
      <c r="AWZ41" s="836"/>
      <c r="AXA41" s="836"/>
      <c r="AXB41" s="836"/>
      <c r="AXC41" s="836"/>
      <c r="AXD41" s="836"/>
      <c r="AXE41" s="836"/>
      <c r="AXF41" s="836"/>
      <c r="AXG41" s="836"/>
      <c r="AXH41" s="836"/>
      <c r="AXI41" s="836"/>
      <c r="AXJ41" s="836"/>
      <c r="AXK41" s="836"/>
      <c r="AXL41" s="836"/>
      <c r="AXM41" s="836"/>
      <c r="AXN41" s="836"/>
      <c r="AXO41" s="836"/>
      <c r="AXP41" s="836"/>
      <c r="AXQ41" s="836"/>
      <c r="AXR41" s="836"/>
      <c r="AXS41" s="836"/>
      <c r="AXT41" s="836"/>
      <c r="AXU41" s="836"/>
      <c r="AXV41" s="836"/>
      <c r="AXW41" s="836"/>
      <c r="AXX41" s="836"/>
      <c r="AXY41" s="836"/>
      <c r="AXZ41" s="836"/>
      <c r="AYA41" s="836"/>
      <c r="AYB41" s="836"/>
      <c r="AYC41" s="836"/>
      <c r="AYD41" s="836"/>
      <c r="AYE41" s="836"/>
      <c r="AYF41" s="836"/>
      <c r="AYG41" s="836"/>
      <c r="AYH41" s="836"/>
      <c r="AYI41" s="836"/>
      <c r="AYJ41" s="836"/>
      <c r="AYK41" s="836"/>
      <c r="AYL41" s="836"/>
      <c r="AYM41" s="836"/>
      <c r="AYN41" s="836"/>
      <c r="AYO41" s="836"/>
      <c r="AYP41" s="836"/>
      <c r="AYQ41" s="836"/>
      <c r="AYR41" s="836"/>
      <c r="AYS41" s="836"/>
      <c r="AYT41" s="836"/>
      <c r="AYU41" s="836"/>
      <c r="AYV41" s="836"/>
      <c r="AYW41" s="836"/>
      <c r="AYX41" s="836"/>
      <c r="AYY41" s="836"/>
      <c r="AYZ41" s="836"/>
      <c r="AZA41" s="836"/>
      <c r="AZB41" s="836"/>
      <c r="AZC41" s="836"/>
      <c r="AZD41" s="836"/>
      <c r="AZE41" s="836"/>
      <c r="AZF41" s="836"/>
      <c r="AZG41" s="836"/>
      <c r="AZH41" s="836"/>
      <c r="AZI41" s="836"/>
      <c r="AZJ41" s="836"/>
      <c r="AZK41" s="836"/>
      <c r="AZL41" s="836"/>
      <c r="AZM41" s="836"/>
      <c r="AZN41" s="836"/>
      <c r="AZO41" s="836"/>
      <c r="AZP41" s="836"/>
      <c r="AZQ41" s="836"/>
      <c r="AZR41" s="836"/>
      <c r="AZS41" s="836"/>
      <c r="AZT41" s="836"/>
      <c r="AZU41" s="836"/>
      <c r="AZV41" s="836"/>
      <c r="AZW41" s="836"/>
      <c r="AZX41" s="836"/>
      <c r="AZY41" s="836"/>
      <c r="AZZ41" s="836"/>
      <c r="BAA41" s="836"/>
      <c r="BAB41" s="836"/>
      <c r="BAC41" s="836"/>
      <c r="BAD41" s="836"/>
      <c r="BAE41" s="836"/>
      <c r="BAF41" s="836"/>
      <c r="BAG41" s="836"/>
      <c r="BAH41" s="836"/>
      <c r="BAI41" s="836"/>
      <c r="BAJ41" s="836"/>
      <c r="BAK41" s="836"/>
      <c r="BAL41" s="836"/>
      <c r="BAM41" s="836"/>
      <c r="BAN41" s="836"/>
      <c r="BAO41" s="836"/>
      <c r="BAP41" s="836"/>
      <c r="BAQ41" s="836"/>
      <c r="BAR41" s="836"/>
      <c r="BAS41" s="836"/>
      <c r="BAT41" s="836"/>
      <c r="BAU41" s="836"/>
      <c r="BAV41" s="836"/>
      <c r="BAW41" s="836"/>
      <c r="BAX41" s="836"/>
      <c r="BAY41" s="836"/>
      <c r="BAZ41" s="836"/>
      <c r="BBA41" s="836"/>
      <c r="BBB41" s="836"/>
      <c r="BBC41" s="836"/>
      <c r="BBD41" s="836"/>
      <c r="BBE41" s="836"/>
      <c r="BBF41" s="836"/>
      <c r="BBG41" s="836"/>
      <c r="BBH41" s="836"/>
      <c r="BBI41" s="836"/>
      <c r="BBJ41" s="836"/>
      <c r="BBK41" s="836"/>
      <c r="BBL41" s="836"/>
      <c r="BBM41" s="836"/>
      <c r="BBN41" s="836"/>
      <c r="BBO41" s="836"/>
      <c r="BBP41" s="836"/>
      <c r="BBQ41" s="836"/>
      <c r="BBR41" s="836"/>
      <c r="BBS41" s="836"/>
      <c r="BBT41" s="836"/>
      <c r="BBU41" s="836"/>
      <c r="BBV41" s="836"/>
      <c r="BBW41" s="836"/>
      <c r="BBX41" s="836"/>
      <c r="BBY41" s="836"/>
      <c r="BBZ41" s="836"/>
      <c r="BCA41" s="836"/>
      <c r="BCB41" s="836"/>
      <c r="BCC41" s="836"/>
      <c r="BCD41" s="836"/>
      <c r="BCE41" s="836"/>
      <c r="BCF41" s="836"/>
      <c r="BCG41" s="836"/>
      <c r="BCH41" s="836"/>
      <c r="BCI41" s="836"/>
      <c r="BCJ41" s="836"/>
      <c r="BCK41" s="836"/>
      <c r="BCL41" s="836"/>
      <c r="BCM41" s="836"/>
      <c r="BCN41" s="836"/>
      <c r="BCO41" s="836"/>
      <c r="BCP41" s="836"/>
      <c r="BCQ41" s="836"/>
      <c r="BCR41" s="836"/>
      <c r="BCS41" s="836"/>
      <c r="BCT41" s="836"/>
      <c r="BCU41" s="836"/>
      <c r="BCV41" s="836"/>
      <c r="BCW41" s="836"/>
      <c r="BCX41" s="836"/>
      <c r="BCY41" s="836"/>
      <c r="BCZ41" s="836"/>
      <c r="BDA41" s="836"/>
      <c r="BDB41" s="836"/>
      <c r="BDC41" s="836"/>
      <c r="BDD41" s="836"/>
      <c r="BDE41" s="836"/>
      <c r="BDF41" s="836"/>
      <c r="BDG41" s="836"/>
      <c r="BDH41" s="836"/>
      <c r="BDI41" s="836"/>
      <c r="BDJ41" s="836"/>
      <c r="BDK41" s="836"/>
      <c r="BDL41" s="836"/>
      <c r="BDM41" s="836"/>
      <c r="BDN41" s="836"/>
      <c r="BDO41" s="836"/>
      <c r="BDP41" s="836"/>
      <c r="BDQ41" s="836"/>
      <c r="BDR41" s="836"/>
      <c r="BDS41" s="836"/>
      <c r="BDT41" s="836"/>
      <c r="BDU41" s="836"/>
      <c r="BDV41" s="836"/>
      <c r="BDW41" s="836"/>
      <c r="BDX41" s="836"/>
      <c r="BDY41" s="836"/>
      <c r="BDZ41" s="836"/>
      <c r="BEA41" s="836"/>
      <c r="BEB41" s="836"/>
      <c r="BEC41" s="836"/>
      <c r="BED41" s="836"/>
      <c r="BEE41" s="836"/>
      <c r="BEF41" s="836"/>
      <c r="BEG41" s="836"/>
      <c r="BEH41" s="836"/>
      <c r="BEI41" s="836"/>
      <c r="BEJ41" s="836"/>
      <c r="BEK41" s="836"/>
      <c r="BEL41" s="836"/>
      <c r="BEM41" s="836"/>
      <c r="BEN41" s="836"/>
      <c r="BEO41" s="836"/>
      <c r="BEP41" s="836"/>
      <c r="BEQ41" s="836"/>
      <c r="BER41" s="836"/>
      <c r="BES41" s="836"/>
      <c r="BET41" s="836"/>
      <c r="BEU41" s="836"/>
      <c r="BEV41" s="836"/>
      <c r="BEW41" s="836"/>
      <c r="BEX41" s="836"/>
      <c r="BEY41" s="836"/>
      <c r="BEZ41" s="836"/>
      <c r="BFA41" s="836"/>
      <c r="BFB41" s="836"/>
      <c r="BFC41" s="836"/>
      <c r="BFD41" s="836"/>
      <c r="BFE41" s="836"/>
      <c r="BFF41" s="836"/>
      <c r="BFG41" s="836"/>
      <c r="BFH41" s="836"/>
      <c r="BFI41" s="836"/>
      <c r="BFJ41" s="836"/>
      <c r="BFK41" s="836"/>
      <c r="BFL41" s="836"/>
      <c r="BFM41" s="836"/>
      <c r="BFN41" s="836"/>
      <c r="BFO41" s="836"/>
      <c r="BFP41" s="836"/>
      <c r="BFQ41" s="836"/>
      <c r="BFR41" s="836"/>
      <c r="BFS41" s="836"/>
      <c r="BFT41" s="836"/>
      <c r="BFU41" s="836"/>
      <c r="BFV41" s="836"/>
      <c r="BFW41" s="836"/>
      <c r="BFX41" s="836"/>
      <c r="BFY41" s="836"/>
      <c r="BFZ41" s="836"/>
      <c r="BGA41" s="836"/>
      <c r="BGB41" s="836"/>
      <c r="BGC41" s="836"/>
      <c r="BGD41" s="836"/>
      <c r="BGE41" s="836"/>
      <c r="BGF41" s="836"/>
      <c r="BGG41" s="836"/>
      <c r="BGH41" s="836"/>
      <c r="BGI41" s="836"/>
      <c r="BGJ41" s="836"/>
      <c r="BGK41" s="836"/>
      <c r="BGL41" s="836"/>
      <c r="BGM41" s="836"/>
      <c r="BGN41" s="836"/>
      <c r="BGO41" s="836"/>
      <c r="BGP41" s="836"/>
      <c r="BGQ41" s="836"/>
      <c r="BGR41" s="836"/>
      <c r="BGS41" s="836"/>
      <c r="BGT41" s="836"/>
      <c r="BGU41" s="836"/>
      <c r="BGV41" s="836"/>
      <c r="BGW41" s="836"/>
      <c r="BGX41" s="836"/>
      <c r="BGY41" s="836"/>
      <c r="BGZ41" s="836"/>
      <c r="BHA41" s="836"/>
      <c r="BHB41" s="836"/>
      <c r="BHC41" s="836"/>
      <c r="BHD41" s="836"/>
      <c r="BHE41" s="836"/>
      <c r="BHF41" s="836"/>
      <c r="BHG41" s="836"/>
      <c r="BHH41" s="836"/>
      <c r="BHI41" s="836"/>
      <c r="BHJ41" s="836"/>
      <c r="BHK41" s="836"/>
      <c r="BHL41" s="836"/>
      <c r="BHM41" s="836"/>
      <c r="BHN41" s="836"/>
      <c r="BHO41" s="836"/>
      <c r="BHP41" s="836"/>
      <c r="BHQ41" s="836"/>
      <c r="BHR41" s="836"/>
      <c r="BHS41" s="836"/>
      <c r="BHT41" s="836"/>
      <c r="BHU41" s="836"/>
      <c r="BHV41" s="836"/>
      <c r="BHW41" s="836"/>
      <c r="BHX41" s="836"/>
      <c r="BHY41" s="836"/>
      <c r="BHZ41" s="836"/>
      <c r="BIA41" s="836"/>
      <c r="BIB41" s="836"/>
      <c r="BIC41" s="836"/>
      <c r="BID41" s="836"/>
      <c r="BIE41" s="836"/>
      <c r="BIF41" s="836"/>
      <c r="BIG41" s="836"/>
      <c r="BIH41" s="836"/>
      <c r="BII41" s="836"/>
      <c r="BIJ41" s="836"/>
      <c r="BIK41" s="836"/>
      <c r="BIL41" s="836"/>
      <c r="BIM41" s="836"/>
      <c r="BIN41" s="836"/>
      <c r="BIO41" s="836"/>
      <c r="BIP41" s="836"/>
      <c r="BIQ41" s="836"/>
      <c r="BIR41" s="836"/>
      <c r="BIS41" s="836"/>
      <c r="BIT41" s="836"/>
      <c r="BIU41" s="836"/>
      <c r="BIV41" s="836"/>
      <c r="BIW41" s="836"/>
      <c r="BIX41" s="836"/>
      <c r="BIY41" s="836"/>
      <c r="BIZ41" s="836"/>
      <c r="BJA41" s="836"/>
      <c r="BJB41" s="836"/>
      <c r="BJC41" s="836"/>
      <c r="BJD41" s="836"/>
      <c r="BJE41" s="836"/>
      <c r="BJF41" s="836"/>
      <c r="BJG41" s="836"/>
      <c r="BJH41" s="836"/>
      <c r="BJI41" s="836"/>
      <c r="BJJ41" s="836"/>
      <c r="BJK41" s="836"/>
      <c r="BJL41" s="836"/>
      <c r="BJM41" s="836"/>
      <c r="BJN41" s="836"/>
      <c r="BJO41" s="836"/>
      <c r="BJP41" s="836"/>
      <c r="BJQ41" s="836"/>
      <c r="BJR41" s="836"/>
      <c r="BJS41" s="836"/>
      <c r="BJT41" s="836"/>
      <c r="BJU41" s="836"/>
      <c r="BJV41" s="836"/>
      <c r="BJW41" s="836"/>
      <c r="BJX41" s="836"/>
      <c r="BJY41" s="836"/>
      <c r="BJZ41" s="836"/>
      <c r="BKA41" s="836"/>
      <c r="BKB41" s="836"/>
      <c r="BKC41" s="836"/>
      <c r="BKD41" s="836"/>
      <c r="BKE41" s="836"/>
      <c r="BKF41" s="836"/>
      <c r="BKG41" s="836"/>
      <c r="BKH41" s="836"/>
      <c r="BKI41" s="836"/>
      <c r="BKJ41" s="836"/>
      <c r="BKK41" s="836"/>
      <c r="BKL41" s="836"/>
      <c r="BKM41" s="836"/>
      <c r="BKN41" s="836"/>
      <c r="BKO41" s="836"/>
      <c r="BKP41" s="836"/>
      <c r="BKQ41" s="836"/>
      <c r="BKR41" s="836"/>
      <c r="BKS41" s="836"/>
      <c r="BKT41" s="836"/>
      <c r="BKU41" s="836"/>
      <c r="BKV41" s="836"/>
      <c r="BKW41" s="836"/>
      <c r="BKX41" s="836"/>
      <c r="BKY41" s="836"/>
      <c r="BKZ41" s="836"/>
      <c r="BLA41" s="836"/>
      <c r="BLB41" s="836"/>
      <c r="BLC41" s="836"/>
      <c r="BLD41" s="836"/>
      <c r="BLE41" s="836"/>
      <c r="BLF41" s="836"/>
      <c r="BLG41" s="836"/>
      <c r="BLH41" s="836"/>
      <c r="BLI41" s="836"/>
      <c r="BLJ41" s="836"/>
      <c r="BLK41" s="836"/>
      <c r="BLL41" s="836"/>
      <c r="BLM41" s="836"/>
      <c r="BLN41" s="836"/>
      <c r="BLO41" s="836"/>
      <c r="BLP41" s="836"/>
      <c r="BLQ41" s="836"/>
      <c r="BLR41" s="836"/>
      <c r="BLS41" s="836"/>
      <c r="BLT41" s="836"/>
      <c r="BLU41" s="836"/>
      <c r="BLV41" s="836"/>
      <c r="BLW41" s="836"/>
      <c r="BLX41" s="836"/>
      <c r="BLY41" s="836"/>
      <c r="BLZ41" s="836"/>
      <c r="BMA41" s="836"/>
      <c r="BMB41" s="836"/>
      <c r="BMC41" s="836"/>
      <c r="BMD41" s="836"/>
      <c r="BME41" s="836"/>
      <c r="BMF41" s="836"/>
      <c r="BMG41" s="836"/>
      <c r="BMH41" s="836"/>
      <c r="BMI41" s="836"/>
      <c r="BMJ41" s="836"/>
      <c r="BMK41" s="836"/>
      <c r="BML41" s="836"/>
      <c r="BMM41" s="836"/>
      <c r="BMN41" s="836"/>
      <c r="BMO41" s="836"/>
      <c r="BMP41" s="836"/>
      <c r="BMQ41" s="836"/>
      <c r="BMR41" s="836"/>
      <c r="BMS41" s="836"/>
      <c r="BMT41" s="836"/>
      <c r="BMU41" s="836"/>
      <c r="BMV41" s="836"/>
      <c r="BMW41" s="836"/>
      <c r="BMX41" s="836"/>
      <c r="BMY41" s="836"/>
      <c r="BMZ41" s="836"/>
      <c r="BNA41" s="836"/>
      <c r="BNB41" s="836"/>
      <c r="BNC41" s="836"/>
      <c r="BND41" s="836"/>
      <c r="BNE41" s="836"/>
      <c r="BNF41" s="836"/>
      <c r="BNG41" s="836"/>
      <c r="BNH41" s="836"/>
      <c r="BNI41" s="836"/>
      <c r="BNJ41" s="836"/>
      <c r="BNK41" s="836"/>
      <c r="BNL41" s="836"/>
      <c r="BNM41" s="836"/>
      <c r="BNN41" s="836"/>
      <c r="BNO41" s="836"/>
      <c r="BNP41" s="836"/>
      <c r="BNQ41" s="836"/>
      <c r="BNR41" s="836"/>
      <c r="BNS41" s="836"/>
      <c r="BNT41" s="836"/>
      <c r="BNU41" s="836"/>
      <c r="BNV41" s="836"/>
      <c r="BNW41" s="836"/>
      <c r="BNX41" s="836"/>
      <c r="BNY41" s="836"/>
      <c r="BNZ41" s="836"/>
      <c r="BOA41" s="836"/>
      <c r="BOB41" s="836"/>
      <c r="BOC41" s="836"/>
      <c r="BOD41" s="836"/>
      <c r="BOE41" s="836"/>
      <c r="BOF41" s="836"/>
      <c r="BOG41" s="836"/>
      <c r="BOH41" s="836"/>
      <c r="BOI41" s="836"/>
      <c r="BOJ41" s="836"/>
      <c r="BOK41" s="836"/>
      <c r="BOL41" s="836"/>
      <c r="BOM41" s="836"/>
      <c r="BON41" s="836"/>
      <c r="BOO41" s="836"/>
      <c r="BOP41" s="836"/>
      <c r="BOQ41" s="836"/>
      <c r="BOR41" s="836"/>
      <c r="BOS41" s="836"/>
      <c r="BOT41" s="836"/>
      <c r="BOU41" s="836"/>
      <c r="BOV41" s="836"/>
      <c r="BOW41" s="836"/>
      <c r="BOX41" s="836"/>
      <c r="BOY41" s="836"/>
      <c r="BOZ41" s="836"/>
      <c r="BPA41" s="836"/>
      <c r="BPB41" s="836"/>
      <c r="BPC41" s="836"/>
      <c r="BPD41" s="836"/>
      <c r="BPE41" s="836"/>
      <c r="BPF41" s="836"/>
      <c r="BPG41" s="836"/>
      <c r="BPH41" s="836"/>
      <c r="BPI41" s="836"/>
      <c r="BPJ41" s="836"/>
      <c r="BPK41" s="836"/>
      <c r="BPL41" s="836"/>
      <c r="BPM41" s="836"/>
      <c r="BPN41" s="836"/>
      <c r="BPO41" s="836"/>
      <c r="BPP41" s="836"/>
      <c r="BPQ41" s="836"/>
      <c r="BPR41" s="836"/>
      <c r="BPS41" s="836"/>
      <c r="BPT41" s="836"/>
      <c r="BPU41" s="836"/>
      <c r="BPV41" s="836"/>
      <c r="BPW41" s="836"/>
      <c r="BPX41" s="836"/>
      <c r="BPY41" s="836"/>
      <c r="BPZ41" s="836"/>
      <c r="BQA41" s="836"/>
      <c r="BQB41" s="836"/>
      <c r="BQC41" s="836"/>
      <c r="BQD41" s="836"/>
      <c r="BQE41" s="836"/>
      <c r="BQF41" s="836"/>
      <c r="BQG41" s="836"/>
      <c r="BQH41" s="836"/>
      <c r="BQI41" s="836"/>
      <c r="BQJ41" s="836"/>
      <c r="BQK41" s="836"/>
      <c r="BQL41" s="836"/>
      <c r="BQM41" s="836"/>
      <c r="BQN41" s="836"/>
      <c r="BQO41" s="836"/>
      <c r="BQP41" s="836"/>
      <c r="BQQ41" s="836"/>
      <c r="BQR41" s="836"/>
      <c r="BQS41" s="836"/>
      <c r="BQT41" s="836"/>
      <c r="BQU41" s="836"/>
      <c r="BQV41" s="836"/>
      <c r="BQW41" s="836"/>
      <c r="BQX41" s="836"/>
      <c r="BQY41" s="836"/>
      <c r="BQZ41" s="836"/>
      <c r="BRA41" s="836"/>
      <c r="BRB41" s="836"/>
      <c r="BRC41" s="836"/>
      <c r="BRD41" s="836"/>
      <c r="BRE41" s="836"/>
      <c r="BRF41" s="836"/>
      <c r="BRG41" s="836"/>
      <c r="BRH41" s="836"/>
      <c r="BRI41" s="836"/>
      <c r="BRJ41" s="836"/>
      <c r="BRK41" s="836"/>
      <c r="BRL41" s="836"/>
      <c r="BRM41" s="836"/>
      <c r="BRN41" s="836"/>
      <c r="BRO41" s="836"/>
      <c r="BRP41" s="836"/>
      <c r="BRQ41" s="836"/>
      <c r="BRR41" s="836"/>
      <c r="BRS41" s="836"/>
      <c r="BRT41" s="836"/>
      <c r="BRU41" s="836"/>
      <c r="BRV41" s="836"/>
      <c r="BRW41" s="836"/>
      <c r="BRX41" s="836"/>
      <c r="BRY41" s="836"/>
      <c r="BRZ41" s="836"/>
      <c r="BSA41" s="836"/>
      <c r="BSB41" s="836"/>
      <c r="BSC41" s="836"/>
      <c r="BSD41" s="836"/>
      <c r="BSE41" s="836"/>
      <c r="BSF41" s="836"/>
      <c r="BSG41" s="836"/>
      <c r="BSH41" s="836"/>
      <c r="BSI41" s="836"/>
      <c r="BSJ41" s="836"/>
      <c r="BSK41" s="836"/>
      <c r="BSL41" s="836"/>
      <c r="BSM41" s="836"/>
      <c r="BSN41" s="836"/>
      <c r="BSO41" s="836"/>
      <c r="BSP41" s="836"/>
      <c r="BSQ41" s="836"/>
      <c r="BSR41" s="836"/>
      <c r="BSS41" s="836"/>
      <c r="BST41" s="836"/>
    </row>
    <row r="42" spans="1:1866" s="832" customFormat="1" ht="21.9" customHeight="1" collapsed="1" x14ac:dyDescent="0.25">
      <c r="A42" s="836"/>
      <c r="B42" s="3177" t="s">
        <v>849</v>
      </c>
      <c r="C42" s="3178"/>
      <c r="D42" s="3159"/>
      <c r="E42" s="1439"/>
      <c r="F42" s="1439"/>
      <c r="G42" s="1439"/>
      <c r="H42" s="1439"/>
      <c r="I42" s="1439"/>
      <c r="J42" s="1439"/>
      <c r="K42" s="1439"/>
      <c r="L42" s="1439"/>
      <c r="M42" s="1439"/>
      <c r="N42" s="1439"/>
      <c r="O42" s="1439"/>
      <c r="P42" s="1439"/>
      <c r="Q42" s="1439"/>
      <c r="R42" s="1439"/>
      <c r="S42" s="1439"/>
      <c r="T42" s="1439"/>
      <c r="U42" s="1439"/>
      <c r="V42" s="1274"/>
      <c r="W42" s="835"/>
      <c r="X42" s="835"/>
      <c r="Y42" s="835"/>
      <c r="Z42" s="835"/>
      <c r="AA42" s="869"/>
      <c r="AB42" s="835"/>
      <c r="AC42" s="835"/>
      <c r="AD42" s="835"/>
      <c r="AE42" s="835"/>
      <c r="AF42" s="835"/>
      <c r="AG42" s="835"/>
      <c r="AH42" s="835"/>
      <c r="AI42" s="835"/>
      <c r="AJ42" s="835"/>
      <c r="AK42" s="835"/>
      <c r="AL42" s="835"/>
      <c r="AM42" s="836"/>
      <c r="AN42" s="836"/>
      <c r="AO42" s="836"/>
      <c r="AP42" s="836"/>
      <c r="AQ42" s="836"/>
      <c r="AR42" s="836"/>
      <c r="AS42" s="836"/>
      <c r="AT42" s="836"/>
      <c r="AU42" s="836"/>
      <c r="AV42" s="836"/>
      <c r="AW42" s="836"/>
      <c r="AX42" s="836"/>
      <c r="AY42" s="836"/>
      <c r="AZ42" s="836"/>
      <c r="BA42" s="836"/>
      <c r="BB42" s="836"/>
      <c r="BC42" s="836"/>
      <c r="BD42" s="836"/>
      <c r="BE42" s="836"/>
      <c r="BF42" s="836"/>
      <c r="BG42" s="836"/>
      <c r="BH42" s="836"/>
      <c r="BI42" s="836"/>
      <c r="BJ42" s="836"/>
      <c r="BK42" s="836"/>
      <c r="BL42" s="836"/>
      <c r="BM42" s="836"/>
      <c r="BN42" s="836"/>
      <c r="BO42" s="836"/>
      <c r="BP42" s="836"/>
      <c r="BQ42" s="836"/>
      <c r="BR42" s="836"/>
      <c r="BS42" s="836"/>
      <c r="BT42" s="836"/>
      <c r="BU42" s="836"/>
      <c r="BV42" s="836"/>
      <c r="BW42" s="836"/>
      <c r="BX42" s="836"/>
      <c r="BY42" s="836"/>
      <c r="BZ42" s="836"/>
      <c r="CA42" s="836"/>
      <c r="CB42" s="836"/>
      <c r="CC42" s="836"/>
      <c r="CD42" s="836"/>
      <c r="CE42" s="836"/>
      <c r="CF42" s="836"/>
      <c r="CG42" s="836"/>
      <c r="CH42" s="836"/>
      <c r="CI42" s="836"/>
      <c r="CJ42" s="836"/>
      <c r="CK42" s="836"/>
      <c r="CL42" s="836"/>
      <c r="CM42" s="836"/>
      <c r="CN42" s="836"/>
      <c r="CO42" s="836"/>
      <c r="CP42" s="836"/>
      <c r="CQ42" s="836"/>
      <c r="CR42" s="836"/>
      <c r="CS42" s="836"/>
      <c r="CT42" s="836"/>
      <c r="CU42" s="836"/>
      <c r="CV42" s="836"/>
      <c r="CW42" s="836"/>
      <c r="CX42" s="836"/>
      <c r="CY42" s="836"/>
      <c r="CZ42" s="836"/>
      <c r="DA42" s="836"/>
      <c r="DB42" s="836"/>
      <c r="DC42" s="836"/>
      <c r="DD42" s="836"/>
      <c r="DE42" s="836"/>
      <c r="DF42" s="836"/>
      <c r="DG42" s="836"/>
      <c r="DH42" s="836"/>
      <c r="DI42" s="836"/>
      <c r="DJ42" s="836"/>
      <c r="DK42" s="836"/>
      <c r="DL42" s="836"/>
      <c r="DM42" s="836"/>
      <c r="DN42" s="836"/>
      <c r="DO42" s="836"/>
      <c r="DP42" s="836"/>
      <c r="DQ42" s="836"/>
      <c r="DR42" s="836"/>
      <c r="DS42" s="836"/>
      <c r="DT42" s="836"/>
      <c r="DU42" s="836"/>
      <c r="DV42" s="836"/>
      <c r="DW42" s="836"/>
      <c r="DX42" s="836"/>
      <c r="DY42" s="836"/>
      <c r="DZ42" s="836"/>
      <c r="EA42" s="836"/>
      <c r="EB42" s="836"/>
      <c r="EC42" s="836"/>
      <c r="ED42" s="836"/>
      <c r="EE42" s="836"/>
      <c r="EF42" s="836"/>
      <c r="EG42" s="836"/>
      <c r="EH42" s="836"/>
      <c r="EI42" s="836"/>
      <c r="EJ42" s="836"/>
      <c r="EK42" s="836"/>
      <c r="EL42" s="836"/>
      <c r="EM42" s="836"/>
      <c r="EN42" s="836"/>
      <c r="EO42" s="836"/>
      <c r="EP42" s="836"/>
      <c r="EQ42" s="836"/>
      <c r="ER42" s="836"/>
      <c r="ES42" s="836"/>
      <c r="ET42" s="836"/>
      <c r="EU42" s="836"/>
      <c r="EV42" s="836"/>
      <c r="EW42" s="836"/>
      <c r="EX42" s="836"/>
      <c r="EY42" s="836"/>
      <c r="EZ42" s="836"/>
      <c r="FA42" s="836"/>
      <c r="FB42" s="836"/>
      <c r="FC42" s="836"/>
      <c r="FD42" s="836"/>
      <c r="FE42" s="836"/>
      <c r="FF42" s="836"/>
      <c r="FG42" s="836"/>
      <c r="FH42" s="836"/>
      <c r="FI42" s="836"/>
      <c r="FJ42" s="836"/>
      <c r="FK42" s="836"/>
      <c r="FL42" s="836"/>
      <c r="FM42" s="836"/>
      <c r="FN42" s="836"/>
      <c r="FO42" s="836"/>
      <c r="FP42" s="836"/>
      <c r="FQ42" s="836"/>
      <c r="FR42" s="836"/>
      <c r="FS42" s="836"/>
      <c r="FT42" s="836"/>
      <c r="FU42" s="836"/>
      <c r="FV42" s="836"/>
      <c r="FW42" s="836"/>
      <c r="FX42" s="836"/>
      <c r="FY42" s="836"/>
      <c r="FZ42" s="836"/>
      <c r="GA42" s="836"/>
      <c r="GB42" s="836"/>
      <c r="GC42" s="836"/>
      <c r="GD42" s="836"/>
      <c r="GE42" s="836"/>
      <c r="GF42" s="836"/>
      <c r="GG42" s="836"/>
      <c r="GH42" s="836"/>
      <c r="GI42" s="836"/>
      <c r="GJ42" s="836"/>
      <c r="GK42" s="836"/>
      <c r="GL42" s="836"/>
      <c r="GM42" s="836"/>
      <c r="GN42" s="836"/>
      <c r="GO42" s="836"/>
      <c r="GP42" s="836"/>
      <c r="GQ42" s="836"/>
      <c r="GR42" s="836"/>
      <c r="GS42" s="836"/>
      <c r="GT42" s="836"/>
      <c r="GU42" s="836"/>
      <c r="GV42" s="836"/>
      <c r="GW42" s="836"/>
      <c r="GX42" s="836"/>
      <c r="GY42" s="836"/>
      <c r="GZ42" s="836"/>
      <c r="HA42" s="836"/>
      <c r="HB42" s="836"/>
      <c r="HC42" s="836"/>
      <c r="HD42" s="836"/>
      <c r="HE42" s="836"/>
      <c r="HF42" s="836"/>
      <c r="HG42" s="836"/>
      <c r="HH42" s="836"/>
      <c r="HI42" s="836"/>
      <c r="HJ42" s="836"/>
      <c r="HK42" s="836"/>
      <c r="HL42" s="836"/>
      <c r="HM42" s="836"/>
      <c r="HN42" s="836"/>
      <c r="HO42" s="836"/>
      <c r="HP42" s="836"/>
      <c r="HQ42" s="836"/>
      <c r="HR42" s="836"/>
      <c r="HS42" s="836"/>
      <c r="HT42" s="836"/>
      <c r="HU42" s="836"/>
      <c r="HV42" s="836"/>
      <c r="HW42" s="836"/>
      <c r="HX42" s="836"/>
      <c r="HY42" s="836"/>
      <c r="HZ42" s="836"/>
      <c r="IA42" s="836"/>
      <c r="IB42" s="836"/>
      <c r="IC42" s="836"/>
      <c r="ID42" s="836"/>
      <c r="IE42" s="836"/>
      <c r="IF42" s="836"/>
      <c r="IG42" s="836"/>
      <c r="IH42" s="836"/>
      <c r="II42" s="836"/>
      <c r="IJ42" s="836"/>
      <c r="IK42" s="836"/>
      <c r="IL42" s="836"/>
      <c r="IM42" s="836"/>
      <c r="IN42" s="836"/>
      <c r="IO42" s="836"/>
      <c r="IP42" s="836"/>
      <c r="IQ42" s="836"/>
      <c r="IR42" s="836"/>
      <c r="IS42" s="836"/>
      <c r="IT42" s="836"/>
      <c r="IU42" s="836"/>
      <c r="IV42" s="836"/>
      <c r="IW42" s="836"/>
      <c r="IX42" s="836"/>
      <c r="IY42" s="836"/>
      <c r="IZ42" s="836"/>
      <c r="JA42" s="836"/>
      <c r="JB42" s="836"/>
      <c r="JC42" s="836"/>
      <c r="JD42" s="836"/>
      <c r="JE42" s="836"/>
      <c r="JF42" s="836"/>
      <c r="JG42" s="836"/>
      <c r="JH42" s="836"/>
      <c r="JI42" s="836"/>
      <c r="JJ42" s="836"/>
      <c r="JK42" s="836"/>
      <c r="JL42" s="836"/>
      <c r="JM42" s="836"/>
      <c r="JN42" s="836"/>
      <c r="JO42" s="836"/>
      <c r="JP42" s="836"/>
      <c r="JQ42" s="836"/>
      <c r="JR42" s="836"/>
      <c r="JS42" s="836"/>
      <c r="JT42" s="836"/>
      <c r="JU42" s="836"/>
      <c r="JV42" s="836"/>
      <c r="JW42" s="836"/>
      <c r="JX42" s="836"/>
      <c r="JY42" s="836"/>
      <c r="JZ42" s="836"/>
      <c r="KA42" s="836"/>
      <c r="KB42" s="836"/>
      <c r="KC42" s="836"/>
      <c r="KD42" s="836"/>
      <c r="KE42" s="836"/>
      <c r="KF42" s="836"/>
      <c r="KG42" s="836"/>
      <c r="KH42" s="836"/>
      <c r="KI42" s="836"/>
      <c r="KJ42" s="836"/>
      <c r="KK42" s="836"/>
      <c r="KL42" s="836"/>
      <c r="KM42" s="836"/>
      <c r="KN42" s="836"/>
      <c r="KO42" s="836"/>
      <c r="KP42" s="836"/>
      <c r="KQ42" s="836"/>
      <c r="KR42" s="836"/>
      <c r="KS42" s="836"/>
      <c r="KT42" s="836"/>
      <c r="KU42" s="836"/>
      <c r="KV42" s="836"/>
      <c r="KW42" s="836"/>
      <c r="KX42" s="836"/>
      <c r="KY42" s="836"/>
      <c r="KZ42" s="836"/>
      <c r="LA42" s="836"/>
      <c r="LB42" s="836"/>
      <c r="LC42" s="836"/>
      <c r="LD42" s="836"/>
      <c r="LE42" s="836"/>
      <c r="LF42" s="836"/>
      <c r="LG42" s="836"/>
      <c r="LH42" s="836"/>
      <c r="LI42" s="836"/>
      <c r="LJ42" s="836"/>
      <c r="LK42" s="836"/>
      <c r="LL42" s="836"/>
      <c r="LM42" s="836"/>
      <c r="LN42" s="836"/>
      <c r="LO42" s="836"/>
      <c r="LP42" s="836"/>
      <c r="LQ42" s="836"/>
      <c r="LR42" s="836"/>
      <c r="LS42" s="836"/>
      <c r="LT42" s="836"/>
      <c r="LU42" s="836"/>
      <c r="LV42" s="836"/>
      <c r="LW42" s="836"/>
      <c r="LX42" s="836"/>
      <c r="LY42" s="836"/>
      <c r="LZ42" s="836"/>
      <c r="MA42" s="836"/>
      <c r="MB42" s="836"/>
      <c r="MC42" s="836"/>
      <c r="MD42" s="836"/>
      <c r="ME42" s="836"/>
      <c r="MF42" s="836"/>
      <c r="MG42" s="836"/>
      <c r="MH42" s="836"/>
      <c r="MI42" s="836"/>
      <c r="MJ42" s="836"/>
      <c r="MK42" s="836"/>
      <c r="ML42" s="836"/>
      <c r="MM42" s="836"/>
      <c r="MN42" s="836"/>
      <c r="MO42" s="836"/>
      <c r="MP42" s="836"/>
      <c r="MQ42" s="836"/>
      <c r="MR42" s="836"/>
      <c r="MS42" s="836"/>
      <c r="MT42" s="836"/>
      <c r="MU42" s="836"/>
      <c r="MV42" s="836"/>
      <c r="MW42" s="836"/>
      <c r="MX42" s="836"/>
      <c r="MY42" s="836"/>
      <c r="MZ42" s="836"/>
      <c r="NA42" s="836"/>
      <c r="NB42" s="836"/>
      <c r="NC42" s="836"/>
      <c r="ND42" s="836"/>
      <c r="NE42" s="836"/>
      <c r="NF42" s="836"/>
      <c r="NG42" s="836"/>
      <c r="NH42" s="836"/>
      <c r="NI42" s="836"/>
      <c r="NJ42" s="836"/>
      <c r="NK42" s="836"/>
      <c r="NL42" s="836"/>
      <c r="NM42" s="836"/>
      <c r="NN42" s="836"/>
      <c r="NO42" s="836"/>
      <c r="NP42" s="836"/>
      <c r="NQ42" s="836"/>
      <c r="NR42" s="836"/>
      <c r="NS42" s="836"/>
      <c r="NT42" s="836"/>
      <c r="NU42" s="836"/>
      <c r="NV42" s="836"/>
      <c r="NW42" s="836"/>
      <c r="NX42" s="836"/>
      <c r="NY42" s="836"/>
      <c r="NZ42" s="836"/>
      <c r="OA42" s="836"/>
      <c r="OB42" s="836"/>
      <c r="OC42" s="836"/>
      <c r="OD42" s="836"/>
      <c r="OE42" s="836"/>
      <c r="OF42" s="836"/>
      <c r="OG42" s="836"/>
      <c r="OH42" s="836"/>
      <c r="OI42" s="836"/>
      <c r="OJ42" s="836"/>
      <c r="OK42" s="836"/>
      <c r="OL42" s="836"/>
      <c r="OM42" s="836"/>
      <c r="ON42" s="836"/>
      <c r="OO42" s="836"/>
      <c r="OP42" s="836"/>
      <c r="OQ42" s="836"/>
      <c r="OR42" s="836"/>
      <c r="OS42" s="836"/>
      <c r="OT42" s="836"/>
      <c r="OU42" s="836"/>
      <c r="OV42" s="836"/>
      <c r="OW42" s="836"/>
      <c r="OX42" s="836"/>
      <c r="OY42" s="836"/>
      <c r="OZ42" s="836"/>
      <c r="PA42" s="836"/>
      <c r="PB42" s="836"/>
      <c r="PC42" s="836"/>
      <c r="PD42" s="836"/>
      <c r="PE42" s="836"/>
      <c r="PF42" s="836"/>
      <c r="PG42" s="836"/>
      <c r="PH42" s="836"/>
      <c r="PI42" s="836"/>
      <c r="PJ42" s="836"/>
      <c r="PK42" s="836"/>
      <c r="PL42" s="836"/>
      <c r="PM42" s="836"/>
      <c r="PN42" s="836"/>
      <c r="PO42" s="836"/>
      <c r="PP42" s="836"/>
      <c r="PQ42" s="836"/>
      <c r="PR42" s="836"/>
      <c r="PS42" s="836"/>
      <c r="PT42" s="836"/>
      <c r="PU42" s="836"/>
      <c r="PV42" s="836"/>
      <c r="PW42" s="836"/>
      <c r="PX42" s="836"/>
      <c r="PY42" s="836"/>
      <c r="PZ42" s="836"/>
      <c r="QA42" s="836"/>
      <c r="QB42" s="836"/>
      <c r="QC42" s="836"/>
      <c r="QD42" s="836"/>
      <c r="QE42" s="836"/>
      <c r="QF42" s="836"/>
      <c r="QG42" s="836"/>
      <c r="QH42" s="836"/>
      <c r="QI42" s="836"/>
      <c r="QJ42" s="836"/>
      <c r="QK42" s="836"/>
      <c r="QL42" s="836"/>
      <c r="QM42" s="836"/>
      <c r="QN42" s="836"/>
      <c r="QO42" s="836"/>
      <c r="QP42" s="836"/>
      <c r="QQ42" s="836"/>
      <c r="QR42" s="836"/>
      <c r="QS42" s="836"/>
      <c r="QT42" s="836"/>
      <c r="QU42" s="836"/>
      <c r="QV42" s="836"/>
      <c r="QW42" s="836"/>
      <c r="QX42" s="836"/>
      <c r="QY42" s="836"/>
      <c r="QZ42" s="836"/>
      <c r="RA42" s="836"/>
      <c r="RB42" s="836"/>
      <c r="RC42" s="836"/>
      <c r="RD42" s="836"/>
      <c r="RE42" s="836"/>
      <c r="RF42" s="836"/>
      <c r="RG42" s="836"/>
      <c r="RH42" s="836"/>
      <c r="RI42" s="836"/>
      <c r="RJ42" s="836"/>
      <c r="RK42" s="836"/>
      <c r="RL42" s="836"/>
      <c r="RM42" s="836"/>
      <c r="RN42" s="836"/>
      <c r="RO42" s="836"/>
      <c r="RP42" s="836"/>
      <c r="RQ42" s="836"/>
      <c r="RR42" s="836"/>
      <c r="RS42" s="836"/>
      <c r="RT42" s="836"/>
      <c r="RU42" s="836"/>
      <c r="RV42" s="836"/>
      <c r="RW42" s="836"/>
      <c r="RX42" s="836"/>
      <c r="RY42" s="836"/>
      <c r="RZ42" s="836"/>
      <c r="SA42" s="836"/>
      <c r="SB42" s="836"/>
      <c r="SC42" s="836"/>
      <c r="SD42" s="836"/>
      <c r="SE42" s="836"/>
      <c r="SF42" s="836"/>
      <c r="SG42" s="836"/>
      <c r="SH42" s="836"/>
      <c r="SI42" s="836"/>
      <c r="SJ42" s="836"/>
      <c r="SK42" s="836"/>
      <c r="SL42" s="836"/>
      <c r="SM42" s="836"/>
      <c r="SN42" s="836"/>
      <c r="SO42" s="836"/>
      <c r="SP42" s="836"/>
      <c r="SQ42" s="836"/>
      <c r="SR42" s="836"/>
      <c r="SS42" s="836"/>
      <c r="ST42" s="836"/>
      <c r="SU42" s="836"/>
      <c r="SV42" s="836"/>
      <c r="SW42" s="836"/>
      <c r="SX42" s="836"/>
      <c r="SY42" s="836"/>
      <c r="SZ42" s="836"/>
      <c r="TA42" s="836"/>
      <c r="TB42" s="836"/>
      <c r="TC42" s="836"/>
      <c r="TD42" s="836"/>
      <c r="TE42" s="836"/>
      <c r="TF42" s="836"/>
      <c r="TG42" s="836"/>
      <c r="TH42" s="836"/>
      <c r="TI42" s="836"/>
      <c r="TJ42" s="836"/>
      <c r="TK42" s="836"/>
      <c r="TL42" s="836"/>
      <c r="TM42" s="836"/>
      <c r="TN42" s="836"/>
      <c r="TO42" s="836"/>
      <c r="TP42" s="836"/>
      <c r="TQ42" s="836"/>
      <c r="TR42" s="836"/>
      <c r="TS42" s="836"/>
      <c r="TT42" s="836"/>
      <c r="TU42" s="836"/>
      <c r="TV42" s="836"/>
      <c r="TW42" s="836"/>
      <c r="TX42" s="836"/>
      <c r="TY42" s="836"/>
      <c r="TZ42" s="836"/>
      <c r="UA42" s="836"/>
      <c r="UB42" s="836"/>
      <c r="UC42" s="836"/>
      <c r="UD42" s="836"/>
      <c r="UE42" s="836"/>
      <c r="UF42" s="836"/>
      <c r="UG42" s="836"/>
      <c r="UH42" s="836"/>
      <c r="UI42" s="836"/>
      <c r="UJ42" s="836"/>
      <c r="UK42" s="836"/>
      <c r="UL42" s="836"/>
      <c r="UM42" s="836"/>
      <c r="UN42" s="836"/>
      <c r="UO42" s="836"/>
      <c r="UP42" s="836"/>
      <c r="UQ42" s="836"/>
      <c r="UR42" s="836"/>
      <c r="US42" s="836"/>
      <c r="UT42" s="836"/>
      <c r="UU42" s="836"/>
      <c r="UV42" s="836"/>
      <c r="UW42" s="836"/>
      <c r="UX42" s="836"/>
      <c r="UY42" s="836"/>
      <c r="UZ42" s="836"/>
      <c r="VA42" s="836"/>
      <c r="VB42" s="836"/>
      <c r="VC42" s="836"/>
      <c r="VD42" s="836"/>
      <c r="VE42" s="836"/>
      <c r="VF42" s="836"/>
      <c r="VG42" s="836"/>
      <c r="VH42" s="836"/>
      <c r="VI42" s="836"/>
      <c r="VJ42" s="836"/>
      <c r="VK42" s="836"/>
      <c r="VL42" s="836"/>
      <c r="VM42" s="836"/>
      <c r="VN42" s="836"/>
      <c r="VO42" s="836"/>
      <c r="VP42" s="836"/>
      <c r="VQ42" s="836"/>
      <c r="VR42" s="836"/>
      <c r="VS42" s="836"/>
      <c r="VT42" s="836"/>
      <c r="VU42" s="836"/>
      <c r="VV42" s="836"/>
      <c r="VW42" s="836"/>
      <c r="VX42" s="836"/>
      <c r="VY42" s="836"/>
      <c r="VZ42" s="836"/>
      <c r="WA42" s="836"/>
      <c r="WB42" s="836"/>
      <c r="WC42" s="836"/>
      <c r="WD42" s="836"/>
      <c r="WE42" s="836"/>
      <c r="WF42" s="836"/>
      <c r="WG42" s="836"/>
      <c r="WH42" s="836"/>
      <c r="WI42" s="836"/>
      <c r="WJ42" s="836"/>
      <c r="WK42" s="836"/>
      <c r="WL42" s="836"/>
      <c r="WM42" s="836"/>
      <c r="WN42" s="836"/>
      <c r="WO42" s="836"/>
      <c r="WP42" s="836"/>
      <c r="WQ42" s="836"/>
      <c r="WR42" s="836"/>
      <c r="WS42" s="836"/>
      <c r="WT42" s="836"/>
      <c r="WU42" s="836"/>
      <c r="WV42" s="836"/>
      <c r="WW42" s="836"/>
      <c r="WX42" s="836"/>
      <c r="WY42" s="836"/>
      <c r="WZ42" s="836"/>
      <c r="XA42" s="836"/>
      <c r="XB42" s="836"/>
      <c r="XC42" s="836"/>
      <c r="XD42" s="836"/>
      <c r="XE42" s="836"/>
      <c r="XF42" s="836"/>
      <c r="XG42" s="836"/>
      <c r="XH42" s="836"/>
      <c r="XI42" s="836"/>
      <c r="XJ42" s="836"/>
      <c r="XK42" s="836"/>
      <c r="XL42" s="836"/>
      <c r="XM42" s="836"/>
      <c r="XN42" s="836"/>
      <c r="XO42" s="836"/>
      <c r="XP42" s="836"/>
      <c r="XQ42" s="836"/>
      <c r="XR42" s="836"/>
      <c r="XS42" s="836"/>
      <c r="XT42" s="836"/>
      <c r="XU42" s="836"/>
      <c r="XV42" s="836"/>
      <c r="XW42" s="836"/>
      <c r="XX42" s="836"/>
      <c r="XY42" s="836"/>
      <c r="XZ42" s="836"/>
      <c r="YA42" s="836"/>
      <c r="YB42" s="836"/>
      <c r="YC42" s="836"/>
      <c r="YD42" s="836"/>
      <c r="YE42" s="836"/>
      <c r="YF42" s="836"/>
      <c r="YG42" s="836"/>
      <c r="YH42" s="836"/>
      <c r="YI42" s="836"/>
      <c r="YJ42" s="836"/>
      <c r="YK42" s="836"/>
      <c r="YL42" s="836"/>
      <c r="YM42" s="836"/>
      <c r="YN42" s="836"/>
      <c r="YO42" s="836"/>
      <c r="YP42" s="836"/>
      <c r="YQ42" s="836"/>
      <c r="YR42" s="836"/>
      <c r="YS42" s="836"/>
      <c r="YT42" s="836"/>
      <c r="YU42" s="836"/>
      <c r="YV42" s="836"/>
      <c r="YW42" s="836"/>
      <c r="YX42" s="836"/>
      <c r="YY42" s="836"/>
      <c r="YZ42" s="836"/>
      <c r="ZA42" s="836"/>
      <c r="ZB42" s="836"/>
      <c r="ZC42" s="836"/>
      <c r="ZD42" s="836"/>
      <c r="ZE42" s="836"/>
      <c r="ZF42" s="836"/>
      <c r="ZG42" s="836"/>
      <c r="ZH42" s="836"/>
      <c r="ZI42" s="836"/>
      <c r="ZJ42" s="836"/>
      <c r="ZK42" s="836"/>
      <c r="ZL42" s="836"/>
      <c r="ZM42" s="836"/>
      <c r="ZN42" s="836"/>
      <c r="ZO42" s="836"/>
      <c r="ZP42" s="836"/>
      <c r="ZQ42" s="836"/>
      <c r="ZR42" s="836"/>
      <c r="ZS42" s="836"/>
      <c r="ZT42" s="836"/>
      <c r="ZU42" s="836"/>
      <c r="ZV42" s="836"/>
      <c r="ZW42" s="836"/>
      <c r="ZX42" s="836"/>
      <c r="ZY42" s="836"/>
      <c r="ZZ42" s="836"/>
      <c r="AAA42" s="836"/>
      <c r="AAB42" s="836"/>
      <c r="AAC42" s="836"/>
      <c r="AAD42" s="836"/>
      <c r="AAE42" s="836"/>
      <c r="AAF42" s="836"/>
      <c r="AAG42" s="836"/>
      <c r="AAH42" s="836"/>
      <c r="AAI42" s="836"/>
      <c r="AAJ42" s="836"/>
      <c r="AAK42" s="836"/>
      <c r="AAL42" s="836"/>
      <c r="AAM42" s="836"/>
      <c r="AAN42" s="836"/>
      <c r="AAO42" s="836"/>
      <c r="AAP42" s="836"/>
      <c r="AAQ42" s="836"/>
      <c r="AAR42" s="836"/>
      <c r="AAS42" s="836"/>
      <c r="AAT42" s="836"/>
      <c r="AAU42" s="836"/>
      <c r="AAV42" s="836"/>
      <c r="AAW42" s="836"/>
      <c r="AAX42" s="836"/>
      <c r="AAY42" s="836"/>
      <c r="AAZ42" s="836"/>
      <c r="ABA42" s="836"/>
      <c r="ABB42" s="836"/>
      <c r="ABC42" s="836"/>
      <c r="ABD42" s="836"/>
      <c r="ABE42" s="836"/>
      <c r="ABF42" s="836"/>
      <c r="ABG42" s="836"/>
      <c r="ABH42" s="836"/>
      <c r="ABI42" s="836"/>
      <c r="ABJ42" s="836"/>
      <c r="ABK42" s="836"/>
      <c r="ABL42" s="836"/>
      <c r="ABM42" s="836"/>
      <c r="ABN42" s="836"/>
      <c r="ABO42" s="836"/>
      <c r="ABP42" s="836"/>
      <c r="ABQ42" s="836"/>
      <c r="ABR42" s="836"/>
      <c r="ABS42" s="836"/>
      <c r="ABT42" s="836"/>
      <c r="ABU42" s="836"/>
      <c r="ABV42" s="836"/>
      <c r="ABW42" s="836"/>
      <c r="ABX42" s="836"/>
      <c r="ABY42" s="836"/>
      <c r="ABZ42" s="836"/>
      <c r="ACA42" s="836"/>
      <c r="ACB42" s="836"/>
      <c r="ACC42" s="836"/>
      <c r="ACD42" s="836"/>
      <c r="ACE42" s="836"/>
      <c r="ACF42" s="836"/>
      <c r="ACG42" s="836"/>
      <c r="ACH42" s="836"/>
      <c r="ACI42" s="836"/>
      <c r="ACJ42" s="836"/>
      <c r="ACK42" s="836"/>
      <c r="ACL42" s="836"/>
      <c r="ACM42" s="836"/>
      <c r="ACN42" s="836"/>
      <c r="ACO42" s="836"/>
      <c r="ACP42" s="836"/>
      <c r="ACQ42" s="836"/>
      <c r="ACR42" s="836"/>
      <c r="ACS42" s="836"/>
      <c r="ACT42" s="836"/>
      <c r="ACU42" s="836"/>
      <c r="ACV42" s="836"/>
      <c r="ACW42" s="836"/>
      <c r="ACX42" s="836"/>
      <c r="ACY42" s="836"/>
      <c r="ACZ42" s="836"/>
      <c r="ADA42" s="836"/>
      <c r="ADB42" s="836"/>
      <c r="ADC42" s="836"/>
      <c r="ADD42" s="836"/>
      <c r="ADE42" s="836"/>
      <c r="ADF42" s="836"/>
      <c r="ADG42" s="836"/>
      <c r="ADH42" s="836"/>
      <c r="ADI42" s="836"/>
      <c r="ADJ42" s="836"/>
      <c r="ADK42" s="836"/>
      <c r="ADL42" s="836"/>
      <c r="ADM42" s="836"/>
      <c r="ADN42" s="836"/>
      <c r="ADO42" s="836"/>
      <c r="ADP42" s="836"/>
      <c r="ADQ42" s="836"/>
      <c r="ADR42" s="836"/>
      <c r="ADS42" s="836"/>
      <c r="ADT42" s="836"/>
      <c r="ADU42" s="836"/>
      <c r="ADV42" s="836"/>
      <c r="ADW42" s="836"/>
      <c r="ADX42" s="836"/>
      <c r="ADY42" s="836"/>
      <c r="ADZ42" s="836"/>
      <c r="AEA42" s="836"/>
      <c r="AEB42" s="836"/>
      <c r="AEC42" s="836"/>
      <c r="AED42" s="836"/>
      <c r="AEE42" s="836"/>
      <c r="AEF42" s="836"/>
      <c r="AEG42" s="836"/>
      <c r="AEH42" s="836"/>
      <c r="AEI42" s="836"/>
      <c r="AEJ42" s="836"/>
      <c r="AEK42" s="836"/>
      <c r="AEL42" s="836"/>
      <c r="AEM42" s="836"/>
      <c r="AEN42" s="836"/>
      <c r="AEO42" s="836"/>
      <c r="AEP42" s="836"/>
      <c r="AEQ42" s="836"/>
      <c r="AER42" s="836"/>
      <c r="AES42" s="836"/>
      <c r="AET42" s="836"/>
      <c r="AEU42" s="836"/>
      <c r="AEV42" s="836"/>
      <c r="AEW42" s="836"/>
      <c r="AEX42" s="836"/>
      <c r="AEY42" s="836"/>
      <c r="AEZ42" s="836"/>
      <c r="AFA42" s="836"/>
      <c r="AFB42" s="836"/>
      <c r="AFC42" s="836"/>
      <c r="AFD42" s="836"/>
      <c r="AFE42" s="836"/>
      <c r="AFF42" s="836"/>
      <c r="AFG42" s="836"/>
      <c r="AFH42" s="836"/>
      <c r="AFI42" s="836"/>
      <c r="AFJ42" s="836"/>
      <c r="AFK42" s="836"/>
      <c r="AFL42" s="836"/>
      <c r="AFM42" s="836"/>
      <c r="AFN42" s="836"/>
      <c r="AFO42" s="836"/>
      <c r="AFP42" s="836"/>
      <c r="AFQ42" s="836"/>
      <c r="AFR42" s="836"/>
      <c r="AFS42" s="836"/>
      <c r="AFT42" s="836"/>
      <c r="AFU42" s="836"/>
      <c r="AFV42" s="836"/>
      <c r="AFW42" s="836"/>
      <c r="AFX42" s="836"/>
      <c r="AFY42" s="836"/>
      <c r="AFZ42" s="836"/>
      <c r="AGA42" s="836"/>
      <c r="AGB42" s="836"/>
      <c r="AGC42" s="836"/>
      <c r="AGD42" s="836"/>
      <c r="AGE42" s="836"/>
      <c r="AGF42" s="836"/>
      <c r="AGG42" s="836"/>
      <c r="AGH42" s="836"/>
      <c r="AGI42" s="836"/>
      <c r="AGJ42" s="836"/>
      <c r="AGK42" s="836"/>
      <c r="AGL42" s="836"/>
      <c r="AGM42" s="836"/>
      <c r="AGN42" s="836"/>
      <c r="AGO42" s="836"/>
      <c r="AGP42" s="836"/>
      <c r="AGQ42" s="836"/>
      <c r="AGR42" s="836"/>
      <c r="AGS42" s="836"/>
      <c r="AGT42" s="836"/>
      <c r="AGU42" s="836"/>
      <c r="AGV42" s="836"/>
      <c r="AGW42" s="836"/>
      <c r="AGX42" s="836"/>
      <c r="AGY42" s="836"/>
      <c r="AGZ42" s="836"/>
      <c r="AHA42" s="836"/>
      <c r="AHB42" s="836"/>
      <c r="AHC42" s="836"/>
      <c r="AHD42" s="836"/>
      <c r="AHE42" s="836"/>
      <c r="AHF42" s="836"/>
      <c r="AHG42" s="836"/>
      <c r="AHH42" s="836"/>
      <c r="AHI42" s="836"/>
      <c r="AHJ42" s="836"/>
      <c r="AHK42" s="836"/>
      <c r="AHL42" s="836"/>
      <c r="AHM42" s="836"/>
      <c r="AHN42" s="836"/>
      <c r="AHO42" s="836"/>
      <c r="AHP42" s="836"/>
      <c r="AHQ42" s="836"/>
      <c r="AHR42" s="836"/>
      <c r="AHS42" s="836"/>
      <c r="AHT42" s="836"/>
      <c r="AHU42" s="836"/>
      <c r="AHV42" s="836"/>
      <c r="AHW42" s="836"/>
      <c r="AHX42" s="836"/>
      <c r="AHY42" s="836"/>
      <c r="AHZ42" s="836"/>
      <c r="AIA42" s="836"/>
      <c r="AIB42" s="836"/>
      <c r="AIC42" s="836"/>
      <c r="AID42" s="836"/>
      <c r="AIE42" s="836"/>
      <c r="AIF42" s="836"/>
      <c r="AIG42" s="836"/>
      <c r="AIH42" s="836"/>
      <c r="AII42" s="836"/>
      <c r="AIJ42" s="836"/>
      <c r="AIK42" s="836"/>
      <c r="AIL42" s="836"/>
      <c r="AIM42" s="836"/>
      <c r="AIN42" s="836"/>
      <c r="AIO42" s="836"/>
      <c r="AIP42" s="836"/>
      <c r="AIQ42" s="836"/>
      <c r="AIR42" s="836"/>
      <c r="AIS42" s="836"/>
      <c r="AIT42" s="836"/>
      <c r="AIU42" s="836"/>
      <c r="AIV42" s="836"/>
      <c r="AIW42" s="836"/>
      <c r="AIX42" s="836"/>
      <c r="AIY42" s="836"/>
      <c r="AIZ42" s="836"/>
      <c r="AJA42" s="836"/>
      <c r="AJB42" s="836"/>
      <c r="AJC42" s="836"/>
      <c r="AJD42" s="836"/>
      <c r="AJE42" s="836"/>
      <c r="AJF42" s="836"/>
      <c r="AJG42" s="836"/>
      <c r="AJH42" s="836"/>
      <c r="AJI42" s="836"/>
      <c r="AJJ42" s="836"/>
      <c r="AJK42" s="836"/>
      <c r="AJL42" s="836"/>
      <c r="AJM42" s="836"/>
      <c r="AJN42" s="836"/>
      <c r="AJO42" s="836"/>
      <c r="AJP42" s="836"/>
      <c r="AJQ42" s="836"/>
      <c r="AJR42" s="836"/>
      <c r="AJS42" s="836"/>
      <c r="AJT42" s="836"/>
      <c r="AJU42" s="836"/>
      <c r="AJV42" s="836"/>
      <c r="AJW42" s="836"/>
      <c r="AJX42" s="836"/>
      <c r="AJY42" s="836"/>
      <c r="AJZ42" s="836"/>
      <c r="AKA42" s="836"/>
      <c r="AKB42" s="836"/>
      <c r="AKC42" s="836"/>
      <c r="AKD42" s="836"/>
      <c r="AKE42" s="836"/>
      <c r="AKF42" s="836"/>
      <c r="AKG42" s="836"/>
      <c r="AKH42" s="836"/>
      <c r="AKI42" s="836"/>
      <c r="AKJ42" s="836"/>
      <c r="AKK42" s="836"/>
      <c r="AKL42" s="836"/>
      <c r="AKM42" s="836"/>
      <c r="AKN42" s="836"/>
      <c r="AKO42" s="836"/>
      <c r="AKP42" s="836"/>
      <c r="AKQ42" s="836"/>
      <c r="AKR42" s="836"/>
      <c r="AKS42" s="836"/>
      <c r="AKT42" s="836"/>
      <c r="AKU42" s="836"/>
      <c r="AKV42" s="836"/>
      <c r="AKW42" s="836"/>
      <c r="AKX42" s="836"/>
      <c r="AKY42" s="836"/>
      <c r="AKZ42" s="836"/>
      <c r="ALA42" s="836"/>
      <c r="ALB42" s="836"/>
      <c r="ALC42" s="836"/>
      <c r="ALD42" s="836"/>
      <c r="ALE42" s="836"/>
      <c r="ALF42" s="836"/>
      <c r="ALG42" s="836"/>
      <c r="ALH42" s="836"/>
      <c r="ALI42" s="836"/>
      <c r="ALJ42" s="836"/>
      <c r="ALK42" s="836"/>
      <c r="ALL42" s="836"/>
      <c r="ALM42" s="836"/>
      <c r="ALN42" s="836"/>
      <c r="ALO42" s="836"/>
      <c r="ALP42" s="836"/>
      <c r="ALQ42" s="836"/>
      <c r="ALR42" s="836"/>
      <c r="ALS42" s="836"/>
      <c r="ALT42" s="836"/>
      <c r="ALU42" s="836"/>
      <c r="ALV42" s="836"/>
      <c r="ALW42" s="836"/>
      <c r="ALX42" s="836"/>
      <c r="ALY42" s="836"/>
      <c r="ALZ42" s="836"/>
      <c r="AMA42" s="836"/>
      <c r="AMB42" s="836"/>
      <c r="AMC42" s="836"/>
      <c r="AMD42" s="836"/>
      <c r="AME42" s="836"/>
      <c r="AMF42" s="836"/>
      <c r="AMG42" s="836"/>
      <c r="AMH42" s="836"/>
      <c r="AMI42" s="836"/>
      <c r="AMJ42" s="836"/>
      <c r="AMK42" s="836"/>
      <c r="AML42" s="836"/>
      <c r="AMM42" s="836"/>
      <c r="AMN42" s="836"/>
      <c r="AMO42" s="836"/>
      <c r="AMP42" s="836"/>
      <c r="AMQ42" s="836"/>
      <c r="AMR42" s="836"/>
      <c r="AMS42" s="836"/>
      <c r="AMT42" s="836"/>
      <c r="AMU42" s="836"/>
      <c r="AMV42" s="836"/>
      <c r="AMW42" s="836"/>
      <c r="AMX42" s="836"/>
      <c r="AMY42" s="836"/>
      <c r="AMZ42" s="836"/>
      <c r="ANA42" s="836"/>
      <c r="ANB42" s="836"/>
      <c r="ANC42" s="836"/>
      <c r="AND42" s="836"/>
      <c r="ANE42" s="836"/>
      <c r="ANF42" s="836"/>
      <c r="ANG42" s="836"/>
      <c r="ANH42" s="836"/>
      <c r="ANI42" s="836"/>
      <c r="ANJ42" s="836"/>
      <c r="ANK42" s="836"/>
      <c r="ANL42" s="836"/>
      <c r="ANM42" s="836"/>
      <c r="ANN42" s="836"/>
      <c r="ANO42" s="836"/>
      <c r="ANP42" s="836"/>
      <c r="ANQ42" s="836"/>
      <c r="ANR42" s="836"/>
      <c r="ANS42" s="836"/>
      <c r="ANT42" s="836"/>
      <c r="ANU42" s="836"/>
      <c r="ANV42" s="836"/>
      <c r="ANW42" s="836"/>
      <c r="ANX42" s="836"/>
      <c r="ANY42" s="836"/>
      <c r="ANZ42" s="836"/>
      <c r="AOA42" s="836"/>
      <c r="AOB42" s="836"/>
      <c r="AOC42" s="836"/>
      <c r="AOD42" s="836"/>
      <c r="AOE42" s="836"/>
      <c r="AOF42" s="836"/>
      <c r="AOG42" s="836"/>
      <c r="AOH42" s="836"/>
      <c r="AOI42" s="836"/>
      <c r="AOJ42" s="836"/>
      <c r="AOK42" s="836"/>
      <c r="AOL42" s="836"/>
      <c r="AOM42" s="836"/>
      <c r="AON42" s="836"/>
      <c r="AOO42" s="836"/>
      <c r="AOP42" s="836"/>
      <c r="AOQ42" s="836"/>
      <c r="AOR42" s="836"/>
      <c r="AOS42" s="836"/>
      <c r="AOT42" s="836"/>
      <c r="AOU42" s="836"/>
      <c r="AOV42" s="836"/>
      <c r="AOW42" s="836"/>
      <c r="AOX42" s="836"/>
      <c r="AOY42" s="836"/>
      <c r="AOZ42" s="836"/>
      <c r="APA42" s="836"/>
      <c r="APB42" s="836"/>
      <c r="APC42" s="836"/>
      <c r="APD42" s="836"/>
      <c r="APE42" s="836"/>
      <c r="APF42" s="836"/>
      <c r="APG42" s="836"/>
      <c r="APH42" s="836"/>
      <c r="API42" s="836"/>
      <c r="APJ42" s="836"/>
      <c r="APK42" s="836"/>
      <c r="APL42" s="836"/>
      <c r="APM42" s="836"/>
      <c r="APN42" s="836"/>
      <c r="APO42" s="836"/>
      <c r="APP42" s="836"/>
      <c r="APQ42" s="836"/>
      <c r="APR42" s="836"/>
      <c r="APS42" s="836"/>
      <c r="APT42" s="836"/>
      <c r="APU42" s="836"/>
      <c r="APV42" s="836"/>
      <c r="APW42" s="836"/>
      <c r="APX42" s="836"/>
      <c r="APY42" s="836"/>
      <c r="APZ42" s="836"/>
      <c r="AQA42" s="836"/>
      <c r="AQB42" s="836"/>
      <c r="AQC42" s="836"/>
      <c r="AQD42" s="836"/>
      <c r="AQE42" s="836"/>
      <c r="AQF42" s="836"/>
      <c r="AQG42" s="836"/>
      <c r="AQH42" s="836"/>
      <c r="AQI42" s="836"/>
      <c r="AQJ42" s="836"/>
      <c r="AQK42" s="836"/>
      <c r="AQL42" s="836"/>
      <c r="AQM42" s="836"/>
      <c r="AQN42" s="836"/>
      <c r="AQO42" s="836"/>
      <c r="AQP42" s="836"/>
      <c r="AQQ42" s="836"/>
      <c r="AQR42" s="836"/>
      <c r="AQS42" s="836"/>
      <c r="AQT42" s="836"/>
      <c r="AQU42" s="836"/>
      <c r="AQV42" s="836"/>
      <c r="AQW42" s="836"/>
      <c r="AQX42" s="836"/>
      <c r="AQY42" s="836"/>
      <c r="AQZ42" s="836"/>
      <c r="ARA42" s="836"/>
      <c r="ARB42" s="836"/>
      <c r="ARC42" s="836"/>
      <c r="ARD42" s="836"/>
      <c r="ARE42" s="836"/>
      <c r="ARF42" s="836"/>
      <c r="ARG42" s="836"/>
      <c r="ARH42" s="836"/>
      <c r="ARI42" s="836"/>
      <c r="ARJ42" s="836"/>
      <c r="ARK42" s="836"/>
      <c r="ARL42" s="836"/>
      <c r="ARM42" s="836"/>
      <c r="ARN42" s="836"/>
      <c r="ARO42" s="836"/>
      <c r="ARP42" s="836"/>
      <c r="ARQ42" s="836"/>
      <c r="ARR42" s="836"/>
      <c r="ARS42" s="836"/>
      <c r="ART42" s="836"/>
      <c r="ARU42" s="836"/>
      <c r="ARV42" s="836"/>
      <c r="ARW42" s="836"/>
      <c r="ARX42" s="836"/>
      <c r="ARY42" s="836"/>
      <c r="ARZ42" s="836"/>
      <c r="ASA42" s="836"/>
      <c r="ASB42" s="836"/>
      <c r="ASC42" s="836"/>
      <c r="ASD42" s="836"/>
      <c r="ASE42" s="836"/>
      <c r="ASF42" s="836"/>
      <c r="ASG42" s="836"/>
      <c r="ASH42" s="836"/>
      <c r="ASI42" s="836"/>
      <c r="ASJ42" s="836"/>
      <c r="ASK42" s="836"/>
      <c r="ASL42" s="836"/>
      <c r="ASM42" s="836"/>
      <c r="ASN42" s="836"/>
      <c r="ASO42" s="836"/>
      <c r="ASP42" s="836"/>
      <c r="ASQ42" s="836"/>
      <c r="ASR42" s="836"/>
      <c r="ASS42" s="836"/>
      <c r="AST42" s="836"/>
      <c r="ASU42" s="836"/>
      <c r="ASV42" s="836"/>
      <c r="ASW42" s="836"/>
      <c r="ASX42" s="836"/>
      <c r="ASY42" s="836"/>
      <c r="ASZ42" s="836"/>
      <c r="ATA42" s="836"/>
      <c r="ATB42" s="836"/>
      <c r="ATC42" s="836"/>
      <c r="ATD42" s="836"/>
      <c r="ATE42" s="836"/>
      <c r="ATF42" s="836"/>
      <c r="ATG42" s="836"/>
      <c r="ATH42" s="836"/>
      <c r="ATI42" s="836"/>
      <c r="ATJ42" s="836"/>
      <c r="ATK42" s="836"/>
      <c r="ATL42" s="836"/>
      <c r="ATM42" s="836"/>
      <c r="ATN42" s="836"/>
      <c r="ATO42" s="836"/>
      <c r="ATP42" s="836"/>
      <c r="ATQ42" s="836"/>
      <c r="ATR42" s="836"/>
      <c r="ATS42" s="836"/>
      <c r="ATT42" s="836"/>
      <c r="ATU42" s="836"/>
      <c r="ATV42" s="836"/>
      <c r="ATW42" s="836"/>
      <c r="ATX42" s="836"/>
      <c r="ATY42" s="836"/>
      <c r="ATZ42" s="836"/>
      <c r="AUA42" s="836"/>
      <c r="AUB42" s="836"/>
      <c r="AUC42" s="836"/>
      <c r="AUD42" s="836"/>
      <c r="AUE42" s="836"/>
      <c r="AUF42" s="836"/>
      <c r="AUG42" s="836"/>
      <c r="AUH42" s="836"/>
      <c r="AUI42" s="836"/>
      <c r="AUJ42" s="836"/>
      <c r="AUK42" s="836"/>
      <c r="AUL42" s="836"/>
      <c r="AUM42" s="836"/>
      <c r="AUN42" s="836"/>
      <c r="AUO42" s="836"/>
      <c r="AUP42" s="836"/>
      <c r="AUQ42" s="836"/>
      <c r="AUR42" s="836"/>
      <c r="AUS42" s="836"/>
      <c r="AUT42" s="836"/>
      <c r="AUU42" s="836"/>
      <c r="AUV42" s="836"/>
      <c r="AUW42" s="836"/>
      <c r="AUX42" s="836"/>
      <c r="AUY42" s="836"/>
      <c r="AUZ42" s="836"/>
      <c r="AVA42" s="836"/>
      <c r="AVB42" s="836"/>
      <c r="AVC42" s="836"/>
      <c r="AVD42" s="836"/>
      <c r="AVE42" s="836"/>
      <c r="AVF42" s="836"/>
      <c r="AVG42" s="836"/>
      <c r="AVH42" s="836"/>
      <c r="AVI42" s="836"/>
      <c r="AVJ42" s="836"/>
      <c r="AVK42" s="836"/>
      <c r="AVL42" s="836"/>
      <c r="AVM42" s="836"/>
      <c r="AVN42" s="836"/>
      <c r="AVO42" s="836"/>
      <c r="AVP42" s="836"/>
      <c r="AVQ42" s="836"/>
      <c r="AVR42" s="836"/>
      <c r="AVS42" s="836"/>
      <c r="AVT42" s="836"/>
      <c r="AVU42" s="836"/>
      <c r="AVV42" s="836"/>
      <c r="AVW42" s="836"/>
      <c r="AVX42" s="836"/>
      <c r="AVY42" s="836"/>
      <c r="AVZ42" s="836"/>
      <c r="AWA42" s="836"/>
      <c r="AWB42" s="836"/>
      <c r="AWC42" s="836"/>
      <c r="AWD42" s="836"/>
      <c r="AWE42" s="836"/>
      <c r="AWF42" s="836"/>
      <c r="AWG42" s="836"/>
      <c r="AWH42" s="836"/>
      <c r="AWI42" s="836"/>
      <c r="AWJ42" s="836"/>
      <c r="AWK42" s="836"/>
      <c r="AWL42" s="836"/>
      <c r="AWM42" s="836"/>
      <c r="AWN42" s="836"/>
      <c r="AWO42" s="836"/>
      <c r="AWP42" s="836"/>
      <c r="AWQ42" s="836"/>
      <c r="AWR42" s="836"/>
      <c r="AWS42" s="836"/>
      <c r="AWT42" s="836"/>
      <c r="AWU42" s="836"/>
      <c r="AWV42" s="836"/>
      <c r="AWW42" s="836"/>
      <c r="AWX42" s="836"/>
      <c r="AWY42" s="836"/>
      <c r="AWZ42" s="836"/>
      <c r="AXA42" s="836"/>
      <c r="AXB42" s="836"/>
      <c r="AXC42" s="836"/>
      <c r="AXD42" s="836"/>
      <c r="AXE42" s="836"/>
      <c r="AXF42" s="836"/>
      <c r="AXG42" s="836"/>
      <c r="AXH42" s="836"/>
      <c r="AXI42" s="836"/>
      <c r="AXJ42" s="836"/>
      <c r="AXK42" s="836"/>
      <c r="AXL42" s="836"/>
      <c r="AXM42" s="836"/>
      <c r="AXN42" s="836"/>
      <c r="AXO42" s="836"/>
      <c r="AXP42" s="836"/>
      <c r="AXQ42" s="836"/>
      <c r="AXR42" s="836"/>
      <c r="AXS42" s="836"/>
      <c r="AXT42" s="836"/>
      <c r="AXU42" s="836"/>
      <c r="AXV42" s="836"/>
      <c r="AXW42" s="836"/>
      <c r="AXX42" s="836"/>
      <c r="AXY42" s="836"/>
      <c r="AXZ42" s="836"/>
      <c r="AYA42" s="836"/>
      <c r="AYB42" s="836"/>
      <c r="AYC42" s="836"/>
      <c r="AYD42" s="836"/>
      <c r="AYE42" s="836"/>
      <c r="AYF42" s="836"/>
      <c r="AYG42" s="836"/>
      <c r="AYH42" s="836"/>
      <c r="AYI42" s="836"/>
      <c r="AYJ42" s="836"/>
      <c r="AYK42" s="836"/>
      <c r="AYL42" s="836"/>
      <c r="AYM42" s="836"/>
      <c r="AYN42" s="836"/>
      <c r="AYO42" s="836"/>
      <c r="AYP42" s="836"/>
      <c r="AYQ42" s="836"/>
      <c r="AYR42" s="836"/>
      <c r="AYS42" s="836"/>
      <c r="AYT42" s="836"/>
      <c r="AYU42" s="836"/>
      <c r="AYV42" s="836"/>
      <c r="AYW42" s="836"/>
      <c r="AYX42" s="836"/>
      <c r="AYY42" s="836"/>
      <c r="AYZ42" s="836"/>
      <c r="AZA42" s="836"/>
      <c r="AZB42" s="836"/>
      <c r="AZC42" s="836"/>
      <c r="AZD42" s="836"/>
      <c r="AZE42" s="836"/>
      <c r="AZF42" s="836"/>
      <c r="AZG42" s="836"/>
      <c r="AZH42" s="836"/>
      <c r="AZI42" s="836"/>
      <c r="AZJ42" s="836"/>
      <c r="AZK42" s="836"/>
      <c r="AZL42" s="836"/>
      <c r="AZM42" s="836"/>
      <c r="AZN42" s="836"/>
      <c r="AZO42" s="836"/>
      <c r="AZP42" s="836"/>
      <c r="AZQ42" s="836"/>
      <c r="AZR42" s="836"/>
      <c r="AZS42" s="836"/>
      <c r="AZT42" s="836"/>
      <c r="AZU42" s="836"/>
      <c r="AZV42" s="836"/>
      <c r="AZW42" s="836"/>
      <c r="AZX42" s="836"/>
      <c r="AZY42" s="836"/>
      <c r="AZZ42" s="836"/>
      <c r="BAA42" s="836"/>
      <c r="BAB42" s="836"/>
      <c r="BAC42" s="836"/>
      <c r="BAD42" s="836"/>
      <c r="BAE42" s="836"/>
      <c r="BAF42" s="836"/>
      <c r="BAG42" s="836"/>
      <c r="BAH42" s="836"/>
      <c r="BAI42" s="836"/>
      <c r="BAJ42" s="836"/>
      <c r="BAK42" s="836"/>
      <c r="BAL42" s="836"/>
      <c r="BAM42" s="836"/>
      <c r="BAN42" s="836"/>
      <c r="BAO42" s="836"/>
      <c r="BAP42" s="836"/>
      <c r="BAQ42" s="836"/>
      <c r="BAR42" s="836"/>
      <c r="BAS42" s="836"/>
      <c r="BAT42" s="836"/>
      <c r="BAU42" s="836"/>
      <c r="BAV42" s="836"/>
      <c r="BAW42" s="836"/>
      <c r="BAX42" s="836"/>
      <c r="BAY42" s="836"/>
      <c r="BAZ42" s="836"/>
      <c r="BBA42" s="836"/>
      <c r="BBB42" s="836"/>
      <c r="BBC42" s="836"/>
      <c r="BBD42" s="836"/>
      <c r="BBE42" s="836"/>
      <c r="BBF42" s="836"/>
      <c r="BBG42" s="836"/>
      <c r="BBH42" s="836"/>
      <c r="BBI42" s="836"/>
      <c r="BBJ42" s="836"/>
      <c r="BBK42" s="836"/>
      <c r="BBL42" s="836"/>
      <c r="BBM42" s="836"/>
      <c r="BBN42" s="836"/>
      <c r="BBO42" s="836"/>
      <c r="BBP42" s="836"/>
      <c r="BBQ42" s="836"/>
      <c r="BBR42" s="836"/>
      <c r="BBS42" s="836"/>
      <c r="BBT42" s="836"/>
      <c r="BBU42" s="836"/>
      <c r="BBV42" s="836"/>
      <c r="BBW42" s="836"/>
      <c r="BBX42" s="836"/>
      <c r="BBY42" s="836"/>
      <c r="BBZ42" s="836"/>
      <c r="BCA42" s="836"/>
      <c r="BCB42" s="836"/>
      <c r="BCC42" s="836"/>
      <c r="BCD42" s="836"/>
      <c r="BCE42" s="836"/>
      <c r="BCF42" s="836"/>
      <c r="BCG42" s="836"/>
      <c r="BCH42" s="836"/>
      <c r="BCI42" s="836"/>
      <c r="BCJ42" s="836"/>
      <c r="BCK42" s="836"/>
      <c r="BCL42" s="836"/>
      <c r="BCM42" s="836"/>
      <c r="BCN42" s="836"/>
      <c r="BCO42" s="836"/>
      <c r="BCP42" s="836"/>
      <c r="BCQ42" s="836"/>
      <c r="BCR42" s="836"/>
      <c r="BCS42" s="836"/>
      <c r="BCT42" s="836"/>
      <c r="BCU42" s="836"/>
      <c r="BCV42" s="836"/>
      <c r="BCW42" s="836"/>
      <c r="BCX42" s="836"/>
      <c r="BCY42" s="836"/>
      <c r="BCZ42" s="836"/>
      <c r="BDA42" s="836"/>
      <c r="BDB42" s="836"/>
      <c r="BDC42" s="836"/>
      <c r="BDD42" s="836"/>
      <c r="BDE42" s="836"/>
      <c r="BDF42" s="836"/>
      <c r="BDG42" s="836"/>
      <c r="BDH42" s="836"/>
      <c r="BDI42" s="836"/>
      <c r="BDJ42" s="836"/>
      <c r="BDK42" s="836"/>
      <c r="BDL42" s="836"/>
      <c r="BDM42" s="836"/>
      <c r="BDN42" s="836"/>
      <c r="BDO42" s="836"/>
      <c r="BDP42" s="836"/>
      <c r="BDQ42" s="836"/>
      <c r="BDR42" s="836"/>
      <c r="BDS42" s="836"/>
      <c r="BDT42" s="836"/>
      <c r="BDU42" s="836"/>
      <c r="BDV42" s="836"/>
      <c r="BDW42" s="836"/>
      <c r="BDX42" s="836"/>
      <c r="BDY42" s="836"/>
      <c r="BDZ42" s="836"/>
      <c r="BEA42" s="836"/>
      <c r="BEB42" s="836"/>
      <c r="BEC42" s="836"/>
      <c r="BED42" s="836"/>
      <c r="BEE42" s="836"/>
      <c r="BEF42" s="836"/>
      <c r="BEG42" s="836"/>
      <c r="BEH42" s="836"/>
      <c r="BEI42" s="836"/>
      <c r="BEJ42" s="836"/>
      <c r="BEK42" s="836"/>
      <c r="BEL42" s="836"/>
      <c r="BEM42" s="836"/>
      <c r="BEN42" s="836"/>
      <c r="BEO42" s="836"/>
      <c r="BEP42" s="836"/>
      <c r="BEQ42" s="836"/>
      <c r="BER42" s="836"/>
      <c r="BES42" s="836"/>
      <c r="BET42" s="836"/>
      <c r="BEU42" s="836"/>
      <c r="BEV42" s="836"/>
      <c r="BEW42" s="836"/>
      <c r="BEX42" s="836"/>
      <c r="BEY42" s="836"/>
      <c r="BEZ42" s="836"/>
      <c r="BFA42" s="836"/>
      <c r="BFB42" s="836"/>
      <c r="BFC42" s="836"/>
      <c r="BFD42" s="836"/>
      <c r="BFE42" s="836"/>
      <c r="BFF42" s="836"/>
      <c r="BFG42" s="836"/>
      <c r="BFH42" s="836"/>
      <c r="BFI42" s="836"/>
      <c r="BFJ42" s="836"/>
      <c r="BFK42" s="836"/>
      <c r="BFL42" s="836"/>
      <c r="BFM42" s="836"/>
      <c r="BFN42" s="836"/>
      <c r="BFO42" s="836"/>
      <c r="BFP42" s="836"/>
      <c r="BFQ42" s="836"/>
      <c r="BFR42" s="836"/>
      <c r="BFS42" s="836"/>
      <c r="BFT42" s="836"/>
      <c r="BFU42" s="836"/>
      <c r="BFV42" s="836"/>
      <c r="BFW42" s="836"/>
      <c r="BFX42" s="836"/>
      <c r="BFY42" s="836"/>
      <c r="BFZ42" s="836"/>
      <c r="BGA42" s="836"/>
      <c r="BGB42" s="836"/>
      <c r="BGC42" s="836"/>
      <c r="BGD42" s="836"/>
      <c r="BGE42" s="836"/>
      <c r="BGF42" s="836"/>
      <c r="BGG42" s="836"/>
      <c r="BGH42" s="836"/>
      <c r="BGI42" s="836"/>
      <c r="BGJ42" s="836"/>
      <c r="BGK42" s="836"/>
      <c r="BGL42" s="836"/>
      <c r="BGM42" s="836"/>
      <c r="BGN42" s="836"/>
      <c r="BGO42" s="836"/>
      <c r="BGP42" s="836"/>
      <c r="BGQ42" s="836"/>
      <c r="BGR42" s="836"/>
      <c r="BGS42" s="836"/>
      <c r="BGT42" s="836"/>
      <c r="BGU42" s="836"/>
      <c r="BGV42" s="836"/>
      <c r="BGW42" s="836"/>
      <c r="BGX42" s="836"/>
      <c r="BGY42" s="836"/>
      <c r="BGZ42" s="836"/>
      <c r="BHA42" s="836"/>
      <c r="BHB42" s="836"/>
      <c r="BHC42" s="836"/>
      <c r="BHD42" s="836"/>
      <c r="BHE42" s="836"/>
      <c r="BHF42" s="836"/>
      <c r="BHG42" s="836"/>
      <c r="BHH42" s="836"/>
      <c r="BHI42" s="836"/>
      <c r="BHJ42" s="836"/>
      <c r="BHK42" s="836"/>
      <c r="BHL42" s="836"/>
      <c r="BHM42" s="836"/>
      <c r="BHN42" s="836"/>
      <c r="BHO42" s="836"/>
      <c r="BHP42" s="836"/>
      <c r="BHQ42" s="836"/>
      <c r="BHR42" s="836"/>
      <c r="BHS42" s="836"/>
      <c r="BHT42" s="836"/>
      <c r="BHU42" s="836"/>
      <c r="BHV42" s="836"/>
      <c r="BHW42" s="836"/>
      <c r="BHX42" s="836"/>
      <c r="BHY42" s="836"/>
      <c r="BHZ42" s="836"/>
      <c r="BIA42" s="836"/>
      <c r="BIB42" s="836"/>
      <c r="BIC42" s="836"/>
      <c r="BID42" s="836"/>
      <c r="BIE42" s="836"/>
      <c r="BIF42" s="836"/>
      <c r="BIG42" s="836"/>
      <c r="BIH42" s="836"/>
      <c r="BII42" s="836"/>
      <c r="BIJ42" s="836"/>
      <c r="BIK42" s="836"/>
      <c r="BIL42" s="836"/>
      <c r="BIM42" s="836"/>
      <c r="BIN42" s="836"/>
      <c r="BIO42" s="836"/>
      <c r="BIP42" s="836"/>
      <c r="BIQ42" s="836"/>
      <c r="BIR42" s="836"/>
      <c r="BIS42" s="836"/>
      <c r="BIT42" s="836"/>
      <c r="BIU42" s="836"/>
      <c r="BIV42" s="836"/>
      <c r="BIW42" s="836"/>
      <c r="BIX42" s="836"/>
      <c r="BIY42" s="836"/>
      <c r="BIZ42" s="836"/>
      <c r="BJA42" s="836"/>
      <c r="BJB42" s="836"/>
      <c r="BJC42" s="836"/>
      <c r="BJD42" s="836"/>
      <c r="BJE42" s="836"/>
      <c r="BJF42" s="836"/>
      <c r="BJG42" s="836"/>
      <c r="BJH42" s="836"/>
      <c r="BJI42" s="836"/>
      <c r="BJJ42" s="836"/>
      <c r="BJK42" s="836"/>
      <c r="BJL42" s="836"/>
      <c r="BJM42" s="836"/>
      <c r="BJN42" s="836"/>
      <c r="BJO42" s="836"/>
      <c r="BJP42" s="836"/>
      <c r="BJQ42" s="836"/>
      <c r="BJR42" s="836"/>
      <c r="BJS42" s="836"/>
      <c r="BJT42" s="836"/>
      <c r="BJU42" s="836"/>
      <c r="BJV42" s="836"/>
      <c r="BJW42" s="836"/>
      <c r="BJX42" s="836"/>
      <c r="BJY42" s="836"/>
      <c r="BJZ42" s="836"/>
      <c r="BKA42" s="836"/>
      <c r="BKB42" s="836"/>
      <c r="BKC42" s="836"/>
      <c r="BKD42" s="836"/>
      <c r="BKE42" s="836"/>
      <c r="BKF42" s="836"/>
      <c r="BKG42" s="836"/>
      <c r="BKH42" s="836"/>
      <c r="BKI42" s="836"/>
      <c r="BKJ42" s="836"/>
      <c r="BKK42" s="836"/>
      <c r="BKL42" s="836"/>
      <c r="BKM42" s="836"/>
      <c r="BKN42" s="836"/>
      <c r="BKO42" s="836"/>
      <c r="BKP42" s="836"/>
      <c r="BKQ42" s="836"/>
      <c r="BKR42" s="836"/>
      <c r="BKS42" s="836"/>
      <c r="BKT42" s="836"/>
      <c r="BKU42" s="836"/>
      <c r="BKV42" s="836"/>
      <c r="BKW42" s="836"/>
      <c r="BKX42" s="836"/>
      <c r="BKY42" s="836"/>
      <c r="BKZ42" s="836"/>
      <c r="BLA42" s="836"/>
      <c r="BLB42" s="836"/>
      <c r="BLC42" s="836"/>
      <c r="BLD42" s="836"/>
      <c r="BLE42" s="836"/>
      <c r="BLF42" s="836"/>
      <c r="BLG42" s="836"/>
      <c r="BLH42" s="836"/>
      <c r="BLI42" s="836"/>
      <c r="BLJ42" s="836"/>
      <c r="BLK42" s="836"/>
      <c r="BLL42" s="836"/>
      <c r="BLM42" s="836"/>
      <c r="BLN42" s="836"/>
      <c r="BLO42" s="836"/>
      <c r="BLP42" s="836"/>
      <c r="BLQ42" s="836"/>
      <c r="BLR42" s="836"/>
      <c r="BLS42" s="836"/>
      <c r="BLT42" s="836"/>
      <c r="BLU42" s="836"/>
      <c r="BLV42" s="836"/>
      <c r="BLW42" s="836"/>
      <c r="BLX42" s="836"/>
      <c r="BLY42" s="836"/>
      <c r="BLZ42" s="836"/>
      <c r="BMA42" s="836"/>
      <c r="BMB42" s="836"/>
      <c r="BMC42" s="836"/>
      <c r="BMD42" s="836"/>
      <c r="BME42" s="836"/>
      <c r="BMF42" s="836"/>
      <c r="BMG42" s="836"/>
      <c r="BMH42" s="836"/>
      <c r="BMI42" s="836"/>
      <c r="BMJ42" s="836"/>
      <c r="BMK42" s="836"/>
      <c r="BML42" s="836"/>
      <c r="BMM42" s="836"/>
      <c r="BMN42" s="836"/>
      <c r="BMO42" s="836"/>
      <c r="BMP42" s="836"/>
      <c r="BMQ42" s="836"/>
      <c r="BMR42" s="836"/>
      <c r="BMS42" s="836"/>
      <c r="BMT42" s="836"/>
      <c r="BMU42" s="836"/>
      <c r="BMV42" s="836"/>
      <c r="BMW42" s="836"/>
      <c r="BMX42" s="836"/>
      <c r="BMY42" s="836"/>
      <c r="BMZ42" s="836"/>
      <c r="BNA42" s="836"/>
      <c r="BNB42" s="836"/>
      <c r="BNC42" s="836"/>
      <c r="BND42" s="836"/>
      <c r="BNE42" s="836"/>
      <c r="BNF42" s="836"/>
      <c r="BNG42" s="836"/>
      <c r="BNH42" s="836"/>
      <c r="BNI42" s="836"/>
      <c r="BNJ42" s="836"/>
      <c r="BNK42" s="836"/>
      <c r="BNL42" s="836"/>
      <c r="BNM42" s="836"/>
      <c r="BNN42" s="836"/>
      <c r="BNO42" s="836"/>
      <c r="BNP42" s="836"/>
      <c r="BNQ42" s="836"/>
      <c r="BNR42" s="836"/>
      <c r="BNS42" s="836"/>
      <c r="BNT42" s="836"/>
      <c r="BNU42" s="836"/>
      <c r="BNV42" s="836"/>
      <c r="BNW42" s="836"/>
      <c r="BNX42" s="836"/>
      <c r="BNY42" s="836"/>
      <c r="BNZ42" s="836"/>
      <c r="BOA42" s="836"/>
      <c r="BOB42" s="836"/>
      <c r="BOC42" s="836"/>
      <c r="BOD42" s="836"/>
      <c r="BOE42" s="836"/>
      <c r="BOF42" s="836"/>
      <c r="BOG42" s="836"/>
      <c r="BOH42" s="836"/>
      <c r="BOI42" s="836"/>
      <c r="BOJ42" s="836"/>
      <c r="BOK42" s="836"/>
      <c r="BOL42" s="836"/>
      <c r="BOM42" s="836"/>
      <c r="BON42" s="836"/>
      <c r="BOO42" s="836"/>
      <c r="BOP42" s="836"/>
      <c r="BOQ42" s="836"/>
      <c r="BOR42" s="836"/>
      <c r="BOS42" s="836"/>
      <c r="BOT42" s="836"/>
      <c r="BOU42" s="836"/>
      <c r="BOV42" s="836"/>
      <c r="BOW42" s="836"/>
      <c r="BOX42" s="836"/>
      <c r="BOY42" s="836"/>
      <c r="BOZ42" s="836"/>
      <c r="BPA42" s="836"/>
      <c r="BPB42" s="836"/>
      <c r="BPC42" s="836"/>
      <c r="BPD42" s="836"/>
      <c r="BPE42" s="836"/>
      <c r="BPF42" s="836"/>
      <c r="BPG42" s="836"/>
      <c r="BPH42" s="836"/>
      <c r="BPI42" s="836"/>
      <c r="BPJ42" s="836"/>
      <c r="BPK42" s="836"/>
      <c r="BPL42" s="836"/>
      <c r="BPM42" s="836"/>
      <c r="BPN42" s="836"/>
      <c r="BPO42" s="836"/>
      <c r="BPP42" s="836"/>
      <c r="BPQ42" s="836"/>
      <c r="BPR42" s="836"/>
      <c r="BPS42" s="836"/>
      <c r="BPT42" s="836"/>
      <c r="BPU42" s="836"/>
      <c r="BPV42" s="836"/>
      <c r="BPW42" s="836"/>
      <c r="BPX42" s="836"/>
      <c r="BPY42" s="836"/>
      <c r="BPZ42" s="836"/>
      <c r="BQA42" s="836"/>
      <c r="BQB42" s="836"/>
      <c r="BQC42" s="836"/>
      <c r="BQD42" s="836"/>
      <c r="BQE42" s="836"/>
      <c r="BQF42" s="836"/>
      <c r="BQG42" s="836"/>
      <c r="BQH42" s="836"/>
      <c r="BQI42" s="836"/>
      <c r="BQJ42" s="836"/>
      <c r="BQK42" s="836"/>
      <c r="BQL42" s="836"/>
      <c r="BQM42" s="836"/>
      <c r="BQN42" s="836"/>
      <c r="BQO42" s="836"/>
      <c r="BQP42" s="836"/>
      <c r="BQQ42" s="836"/>
      <c r="BQR42" s="836"/>
      <c r="BQS42" s="836"/>
      <c r="BQT42" s="836"/>
      <c r="BQU42" s="836"/>
      <c r="BQV42" s="836"/>
      <c r="BQW42" s="836"/>
      <c r="BQX42" s="836"/>
      <c r="BQY42" s="836"/>
      <c r="BQZ42" s="836"/>
      <c r="BRA42" s="836"/>
      <c r="BRB42" s="836"/>
      <c r="BRC42" s="836"/>
      <c r="BRD42" s="836"/>
      <c r="BRE42" s="836"/>
      <c r="BRF42" s="836"/>
      <c r="BRG42" s="836"/>
      <c r="BRH42" s="836"/>
      <c r="BRI42" s="836"/>
      <c r="BRJ42" s="836"/>
      <c r="BRK42" s="836"/>
      <c r="BRL42" s="836"/>
      <c r="BRM42" s="836"/>
      <c r="BRN42" s="836"/>
      <c r="BRO42" s="836"/>
      <c r="BRP42" s="836"/>
      <c r="BRQ42" s="836"/>
      <c r="BRR42" s="836"/>
      <c r="BRS42" s="836"/>
      <c r="BRT42" s="836"/>
      <c r="BRU42" s="836"/>
      <c r="BRV42" s="836"/>
      <c r="BRW42" s="836"/>
      <c r="BRX42" s="836"/>
      <c r="BRY42" s="836"/>
      <c r="BRZ42" s="836"/>
      <c r="BSA42" s="836"/>
      <c r="BSB42" s="836"/>
      <c r="BSC42" s="836"/>
      <c r="BSD42" s="836"/>
      <c r="BSE42" s="836"/>
      <c r="BSF42" s="836"/>
      <c r="BSG42" s="836"/>
      <c r="BSH42" s="836"/>
      <c r="BSI42" s="836"/>
      <c r="BSJ42" s="836"/>
      <c r="BSK42" s="836"/>
      <c r="BSL42" s="836"/>
      <c r="BSM42" s="836"/>
      <c r="BSN42" s="836"/>
      <c r="BSO42" s="836"/>
      <c r="BSP42" s="836"/>
      <c r="BSQ42" s="836"/>
      <c r="BSR42" s="836"/>
      <c r="BSS42" s="836"/>
      <c r="BST42" s="836"/>
    </row>
    <row r="43" spans="1:1866" s="832" customFormat="1" ht="21.9" customHeight="1" collapsed="1" x14ac:dyDescent="0.25">
      <c r="A43" s="836"/>
      <c r="B43" s="3177" t="s">
        <v>1053</v>
      </c>
      <c r="C43" s="3178"/>
      <c r="D43" s="3159"/>
      <c r="E43" s="1439"/>
      <c r="F43" s="1439"/>
      <c r="G43" s="1439"/>
      <c r="H43" s="1439"/>
      <c r="I43" s="1439"/>
      <c r="J43" s="1439"/>
      <c r="K43" s="1439"/>
      <c r="L43" s="1439"/>
      <c r="M43" s="1439"/>
      <c r="N43" s="1439"/>
      <c r="O43" s="1439"/>
      <c r="P43" s="1439"/>
      <c r="Q43" s="1439"/>
      <c r="R43" s="1439"/>
      <c r="S43" s="1439"/>
      <c r="T43" s="1439"/>
      <c r="U43" s="1439"/>
      <c r="V43" s="1274"/>
      <c r="W43" s="835"/>
      <c r="X43" s="835"/>
      <c r="Y43" s="835"/>
      <c r="Z43" s="835"/>
      <c r="AA43" s="869"/>
      <c r="AB43" s="835"/>
      <c r="AC43" s="835"/>
      <c r="AD43" s="835"/>
      <c r="AE43" s="835"/>
      <c r="AF43" s="835"/>
      <c r="AG43" s="835"/>
      <c r="AH43" s="835"/>
      <c r="AI43" s="835"/>
      <c r="AJ43" s="835"/>
      <c r="AK43" s="835"/>
      <c r="AL43" s="835"/>
      <c r="AM43" s="836"/>
      <c r="AN43" s="836"/>
      <c r="AO43" s="836"/>
      <c r="AP43" s="836"/>
      <c r="AQ43" s="836"/>
      <c r="AR43" s="836"/>
      <c r="AS43" s="836"/>
      <c r="AT43" s="836"/>
      <c r="AU43" s="836"/>
      <c r="AV43" s="836"/>
      <c r="AW43" s="836"/>
      <c r="AX43" s="836"/>
      <c r="AY43" s="836"/>
      <c r="AZ43" s="836"/>
      <c r="BA43" s="836"/>
      <c r="BB43" s="836"/>
      <c r="BC43" s="836"/>
      <c r="BD43" s="836"/>
      <c r="BE43" s="836"/>
      <c r="BF43" s="836"/>
      <c r="BG43" s="836"/>
      <c r="BH43" s="836"/>
      <c r="BI43" s="836"/>
      <c r="BJ43" s="836"/>
      <c r="BK43" s="836"/>
      <c r="BL43" s="836"/>
      <c r="BM43" s="836"/>
      <c r="BN43" s="836"/>
      <c r="BO43" s="836"/>
      <c r="BP43" s="836"/>
      <c r="BQ43" s="836"/>
      <c r="BR43" s="836"/>
      <c r="BS43" s="836"/>
      <c r="BT43" s="836"/>
      <c r="BU43" s="836"/>
      <c r="BV43" s="836"/>
      <c r="BW43" s="836"/>
      <c r="BX43" s="836"/>
      <c r="BY43" s="836"/>
      <c r="BZ43" s="836"/>
      <c r="CA43" s="836"/>
      <c r="CB43" s="836"/>
      <c r="CC43" s="836"/>
      <c r="CD43" s="836"/>
      <c r="CE43" s="836"/>
      <c r="CF43" s="836"/>
      <c r="CG43" s="836"/>
      <c r="CH43" s="836"/>
      <c r="CI43" s="836"/>
      <c r="CJ43" s="836"/>
      <c r="CK43" s="836"/>
      <c r="CL43" s="836"/>
      <c r="CM43" s="836"/>
      <c r="CN43" s="836"/>
      <c r="CO43" s="836"/>
      <c r="CP43" s="836"/>
      <c r="CQ43" s="836"/>
      <c r="CR43" s="836"/>
      <c r="CS43" s="836"/>
      <c r="CT43" s="836"/>
      <c r="CU43" s="836"/>
      <c r="CV43" s="836"/>
      <c r="CW43" s="836"/>
      <c r="CX43" s="836"/>
      <c r="CY43" s="836"/>
      <c r="CZ43" s="836"/>
      <c r="DA43" s="836"/>
      <c r="DB43" s="836"/>
      <c r="DC43" s="836"/>
      <c r="DD43" s="836"/>
      <c r="DE43" s="836"/>
      <c r="DF43" s="836"/>
      <c r="DG43" s="836"/>
      <c r="DH43" s="836"/>
      <c r="DI43" s="836"/>
      <c r="DJ43" s="836"/>
      <c r="DK43" s="836"/>
      <c r="DL43" s="836"/>
      <c r="DM43" s="836"/>
      <c r="DN43" s="836"/>
      <c r="DO43" s="836"/>
      <c r="DP43" s="836"/>
      <c r="DQ43" s="836"/>
      <c r="DR43" s="836"/>
      <c r="DS43" s="836"/>
      <c r="DT43" s="836"/>
      <c r="DU43" s="836"/>
      <c r="DV43" s="836"/>
      <c r="DW43" s="836"/>
      <c r="DX43" s="836"/>
      <c r="DY43" s="836"/>
      <c r="DZ43" s="836"/>
      <c r="EA43" s="836"/>
      <c r="EB43" s="836"/>
      <c r="EC43" s="836"/>
      <c r="ED43" s="836"/>
      <c r="EE43" s="836"/>
      <c r="EF43" s="836"/>
      <c r="EG43" s="836"/>
      <c r="EH43" s="836"/>
      <c r="EI43" s="836"/>
      <c r="EJ43" s="836"/>
      <c r="EK43" s="836"/>
      <c r="EL43" s="836"/>
      <c r="EM43" s="836"/>
      <c r="EN43" s="836"/>
      <c r="EO43" s="836"/>
      <c r="EP43" s="836"/>
      <c r="EQ43" s="836"/>
      <c r="ER43" s="836"/>
      <c r="ES43" s="836"/>
      <c r="ET43" s="836"/>
      <c r="EU43" s="836"/>
      <c r="EV43" s="836"/>
      <c r="EW43" s="836"/>
      <c r="EX43" s="836"/>
      <c r="EY43" s="836"/>
      <c r="EZ43" s="836"/>
      <c r="FA43" s="836"/>
      <c r="FB43" s="836"/>
      <c r="FC43" s="836"/>
      <c r="FD43" s="836"/>
      <c r="FE43" s="836"/>
      <c r="FF43" s="836"/>
      <c r="FG43" s="836"/>
      <c r="FH43" s="836"/>
      <c r="FI43" s="836"/>
      <c r="FJ43" s="836"/>
      <c r="FK43" s="836"/>
      <c r="FL43" s="836"/>
      <c r="FM43" s="836"/>
      <c r="FN43" s="836"/>
      <c r="FO43" s="836"/>
      <c r="FP43" s="836"/>
      <c r="FQ43" s="836"/>
      <c r="FR43" s="836"/>
      <c r="FS43" s="836"/>
      <c r="FT43" s="836"/>
      <c r="FU43" s="836"/>
      <c r="FV43" s="836"/>
      <c r="FW43" s="836"/>
      <c r="FX43" s="836"/>
      <c r="FY43" s="836"/>
      <c r="FZ43" s="836"/>
      <c r="GA43" s="836"/>
      <c r="GB43" s="836"/>
      <c r="GC43" s="836"/>
      <c r="GD43" s="836"/>
      <c r="GE43" s="836"/>
      <c r="GF43" s="836"/>
      <c r="GG43" s="836"/>
      <c r="GH43" s="836"/>
      <c r="GI43" s="836"/>
      <c r="GJ43" s="836"/>
      <c r="GK43" s="836"/>
      <c r="GL43" s="836"/>
      <c r="GM43" s="836"/>
      <c r="GN43" s="836"/>
      <c r="GO43" s="836"/>
      <c r="GP43" s="836"/>
      <c r="GQ43" s="836"/>
      <c r="GR43" s="836"/>
      <c r="GS43" s="836"/>
      <c r="GT43" s="836"/>
      <c r="GU43" s="836"/>
      <c r="GV43" s="836"/>
      <c r="GW43" s="836"/>
      <c r="GX43" s="836"/>
      <c r="GY43" s="836"/>
      <c r="GZ43" s="836"/>
      <c r="HA43" s="836"/>
      <c r="HB43" s="836"/>
      <c r="HC43" s="836"/>
      <c r="HD43" s="836"/>
      <c r="HE43" s="836"/>
      <c r="HF43" s="836"/>
      <c r="HG43" s="836"/>
      <c r="HH43" s="836"/>
      <c r="HI43" s="836"/>
      <c r="HJ43" s="836"/>
      <c r="HK43" s="836"/>
      <c r="HL43" s="836"/>
      <c r="HM43" s="836"/>
      <c r="HN43" s="836"/>
      <c r="HO43" s="836"/>
      <c r="HP43" s="836"/>
      <c r="HQ43" s="836"/>
      <c r="HR43" s="836"/>
      <c r="HS43" s="836"/>
      <c r="HT43" s="836"/>
      <c r="HU43" s="836"/>
      <c r="HV43" s="836"/>
      <c r="HW43" s="836"/>
      <c r="HX43" s="836"/>
      <c r="HY43" s="836"/>
      <c r="HZ43" s="836"/>
      <c r="IA43" s="836"/>
      <c r="IB43" s="836"/>
      <c r="IC43" s="836"/>
      <c r="ID43" s="836"/>
      <c r="IE43" s="836"/>
      <c r="IF43" s="836"/>
      <c r="IG43" s="836"/>
      <c r="IH43" s="836"/>
      <c r="II43" s="836"/>
      <c r="IJ43" s="836"/>
      <c r="IK43" s="836"/>
      <c r="IL43" s="836"/>
      <c r="IM43" s="836"/>
      <c r="IN43" s="836"/>
      <c r="IO43" s="836"/>
      <c r="IP43" s="836"/>
      <c r="IQ43" s="836"/>
      <c r="IR43" s="836"/>
      <c r="IS43" s="836"/>
      <c r="IT43" s="836"/>
      <c r="IU43" s="836"/>
      <c r="IV43" s="836"/>
      <c r="IW43" s="836"/>
      <c r="IX43" s="836"/>
      <c r="IY43" s="836"/>
      <c r="IZ43" s="836"/>
      <c r="JA43" s="836"/>
      <c r="JB43" s="836"/>
      <c r="JC43" s="836"/>
      <c r="JD43" s="836"/>
      <c r="JE43" s="836"/>
      <c r="JF43" s="836"/>
      <c r="JG43" s="836"/>
      <c r="JH43" s="836"/>
      <c r="JI43" s="836"/>
      <c r="JJ43" s="836"/>
      <c r="JK43" s="836"/>
      <c r="JL43" s="836"/>
      <c r="JM43" s="836"/>
      <c r="JN43" s="836"/>
      <c r="JO43" s="836"/>
      <c r="JP43" s="836"/>
      <c r="JQ43" s="836"/>
      <c r="JR43" s="836"/>
      <c r="JS43" s="836"/>
      <c r="JT43" s="836"/>
      <c r="JU43" s="836"/>
      <c r="JV43" s="836"/>
      <c r="JW43" s="836"/>
      <c r="JX43" s="836"/>
      <c r="JY43" s="836"/>
      <c r="JZ43" s="836"/>
      <c r="KA43" s="836"/>
      <c r="KB43" s="836"/>
      <c r="KC43" s="836"/>
      <c r="KD43" s="836"/>
      <c r="KE43" s="836"/>
      <c r="KF43" s="836"/>
      <c r="KG43" s="836"/>
      <c r="KH43" s="836"/>
      <c r="KI43" s="836"/>
      <c r="KJ43" s="836"/>
      <c r="KK43" s="836"/>
      <c r="KL43" s="836"/>
      <c r="KM43" s="836"/>
      <c r="KN43" s="836"/>
      <c r="KO43" s="836"/>
      <c r="KP43" s="836"/>
      <c r="KQ43" s="836"/>
      <c r="KR43" s="836"/>
      <c r="KS43" s="836"/>
      <c r="KT43" s="836"/>
      <c r="KU43" s="836"/>
      <c r="KV43" s="836"/>
      <c r="KW43" s="836"/>
      <c r="KX43" s="836"/>
      <c r="KY43" s="836"/>
      <c r="KZ43" s="836"/>
      <c r="LA43" s="836"/>
      <c r="LB43" s="836"/>
      <c r="LC43" s="836"/>
      <c r="LD43" s="836"/>
      <c r="LE43" s="836"/>
      <c r="LF43" s="836"/>
      <c r="LG43" s="836"/>
      <c r="LH43" s="836"/>
      <c r="LI43" s="836"/>
      <c r="LJ43" s="836"/>
      <c r="LK43" s="836"/>
      <c r="LL43" s="836"/>
      <c r="LM43" s="836"/>
      <c r="LN43" s="836"/>
      <c r="LO43" s="836"/>
      <c r="LP43" s="836"/>
      <c r="LQ43" s="836"/>
      <c r="LR43" s="836"/>
      <c r="LS43" s="836"/>
      <c r="LT43" s="836"/>
      <c r="LU43" s="836"/>
      <c r="LV43" s="836"/>
      <c r="LW43" s="836"/>
      <c r="LX43" s="836"/>
      <c r="LY43" s="836"/>
      <c r="LZ43" s="836"/>
      <c r="MA43" s="836"/>
      <c r="MB43" s="836"/>
      <c r="MC43" s="836"/>
      <c r="MD43" s="836"/>
      <c r="ME43" s="836"/>
      <c r="MF43" s="836"/>
      <c r="MG43" s="836"/>
      <c r="MH43" s="836"/>
      <c r="MI43" s="836"/>
      <c r="MJ43" s="836"/>
      <c r="MK43" s="836"/>
      <c r="ML43" s="836"/>
      <c r="MM43" s="836"/>
      <c r="MN43" s="836"/>
      <c r="MO43" s="836"/>
      <c r="MP43" s="836"/>
      <c r="MQ43" s="836"/>
      <c r="MR43" s="836"/>
      <c r="MS43" s="836"/>
      <c r="MT43" s="836"/>
      <c r="MU43" s="836"/>
      <c r="MV43" s="836"/>
      <c r="MW43" s="836"/>
      <c r="MX43" s="836"/>
      <c r="MY43" s="836"/>
      <c r="MZ43" s="836"/>
      <c r="NA43" s="836"/>
      <c r="NB43" s="836"/>
      <c r="NC43" s="836"/>
      <c r="ND43" s="836"/>
      <c r="NE43" s="836"/>
      <c r="NF43" s="836"/>
      <c r="NG43" s="836"/>
      <c r="NH43" s="836"/>
      <c r="NI43" s="836"/>
      <c r="NJ43" s="836"/>
      <c r="NK43" s="836"/>
      <c r="NL43" s="836"/>
      <c r="NM43" s="836"/>
      <c r="NN43" s="836"/>
      <c r="NO43" s="836"/>
      <c r="NP43" s="836"/>
      <c r="NQ43" s="836"/>
      <c r="NR43" s="836"/>
      <c r="NS43" s="836"/>
      <c r="NT43" s="836"/>
      <c r="NU43" s="836"/>
      <c r="NV43" s="836"/>
      <c r="NW43" s="836"/>
      <c r="NX43" s="836"/>
      <c r="NY43" s="836"/>
      <c r="NZ43" s="836"/>
      <c r="OA43" s="836"/>
      <c r="OB43" s="836"/>
      <c r="OC43" s="836"/>
      <c r="OD43" s="836"/>
      <c r="OE43" s="836"/>
      <c r="OF43" s="836"/>
      <c r="OG43" s="836"/>
      <c r="OH43" s="836"/>
      <c r="OI43" s="836"/>
      <c r="OJ43" s="836"/>
      <c r="OK43" s="836"/>
      <c r="OL43" s="836"/>
      <c r="OM43" s="836"/>
      <c r="ON43" s="836"/>
      <c r="OO43" s="836"/>
      <c r="OP43" s="836"/>
      <c r="OQ43" s="836"/>
      <c r="OR43" s="836"/>
      <c r="OS43" s="836"/>
      <c r="OT43" s="836"/>
      <c r="OU43" s="836"/>
      <c r="OV43" s="836"/>
      <c r="OW43" s="836"/>
      <c r="OX43" s="836"/>
      <c r="OY43" s="836"/>
      <c r="OZ43" s="836"/>
      <c r="PA43" s="836"/>
      <c r="PB43" s="836"/>
      <c r="PC43" s="836"/>
      <c r="PD43" s="836"/>
      <c r="PE43" s="836"/>
      <c r="PF43" s="836"/>
      <c r="PG43" s="836"/>
      <c r="PH43" s="836"/>
      <c r="PI43" s="836"/>
      <c r="PJ43" s="836"/>
      <c r="PK43" s="836"/>
      <c r="PL43" s="836"/>
      <c r="PM43" s="836"/>
      <c r="PN43" s="836"/>
      <c r="PO43" s="836"/>
      <c r="PP43" s="836"/>
      <c r="PQ43" s="836"/>
      <c r="PR43" s="836"/>
      <c r="PS43" s="836"/>
      <c r="PT43" s="836"/>
      <c r="PU43" s="836"/>
      <c r="PV43" s="836"/>
      <c r="PW43" s="836"/>
      <c r="PX43" s="836"/>
      <c r="PY43" s="836"/>
      <c r="PZ43" s="836"/>
      <c r="QA43" s="836"/>
      <c r="QB43" s="836"/>
      <c r="QC43" s="836"/>
      <c r="QD43" s="836"/>
      <c r="QE43" s="836"/>
      <c r="QF43" s="836"/>
      <c r="QG43" s="836"/>
      <c r="QH43" s="836"/>
      <c r="QI43" s="836"/>
      <c r="QJ43" s="836"/>
      <c r="QK43" s="836"/>
      <c r="QL43" s="836"/>
      <c r="QM43" s="836"/>
      <c r="QN43" s="836"/>
      <c r="QO43" s="836"/>
      <c r="QP43" s="836"/>
      <c r="QQ43" s="836"/>
      <c r="QR43" s="836"/>
      <c r="QS43" s="836"/>
      <c r="QT43" s="836"/>
      <c r="QU43" s="836"/>
      <c r="QV43" s="836"/>
      <c r="QW43" s="836"/>
      <c r="QX43" s="836"/>
      <c r="QY43" s="836"/>
      <c r="QZ43" s="836"/>
      <c r="RA43" s="836"/>
      <c r="RB43" s="836"/>
      <c r="RC43" s="836"/>
      <c r="RD43" s="836"/>
      <c r="RE43" s="836"/>
      <c r="RF43" s="836"/>
      <c r="RG43" s="836"/>
      <c r="RH43" s="836"/>
      <c r="RI43" s="836"/>
      <c r="RJ43" s="836"/>
      <c r="RK43" s="836"/>
      <c r="RL43" s="836"/>
      <c r="RM43" s="836"/>
      <c r="RN43" s="836"/>
      <c r="RO43" s="836"/>
      <c r="RP43" s="836"/>
      <c r="RQ43" s="836"/>
      <c r="RR43" s="836"/>
      <c r="RS43" s="836"/>
      <c r="RT43" s="836"/>
      <c r="RU43" s="836"/>
      <c r="RV43" s="836"/>
      <c r="RW43" s="836"/>
      <c r="RX43" s="836"/>
      <c r="RY43" s="836"/>
      <c r="RZ43" s="836"/>
      <c r="SA43" s="836"/>
      <c r="SB43" s="836"/>
      <c r="SC43" s="836"/>
      <c r="SD43" s="836"/>
      <c r="SE43" s="836"/>
      <c r="SF43" s="836"/>
      <c r="SG43" s="836"/>
      <c r="SH43" s="836"/>
      <c r="SI43" s="836"/>
      <c r="SJ43" s="836"/>
      <c r="SK43" s="836"/>
      <c r="SL43" s="836"/>
      <c r="SM43" s="836"/>
      <c r="SN43" s="836"/>
      <c r="SO43" s="836"/>
      <c r="SP43" s="836"/>
      <c r="SQ43" s="836"/>
      <c r="SR43" s="836"/>
      <c r="SS43" s="836"/>
      <c r="ST43" s="836"/>
      <c r="SU43" s="836"/>
      <c r="SV43" s="836"/>
      <c r="SW43" s="836"/>
      <c r="SX43" s="836"/>
      <c r="SY43" s="836"/>
      <c r="SZ43" s="836"/>
      <c r="TA43" s="836"/>
      <c r="TB43" s="836"/>
      <c r="TC43" s="836"/>
      <c r="TD43" s="836"/>
      <c r="TE43" s="836"/>
      <c r="TF43" s="836"/>
      <c r="TG43" s="836"/>
      <c r="TH43" s="836"/>
      <c r="TI43" s="836"/>
      <c r="TJ43" s="836"/>
      <c r="TK43" s="836"/>
      <c r="TL43" s="836"/>
      <c r="TM43" s="836"/>
      <c r="TN43" s="836"/>
      <c r="TO43" s="836"/>
      <c r="TP43" s="836"/>
      <c r="TQ43" s="836"/>
      <c r="TR43" s="836"/>
      <c r="TS43" s="836"/>
      <c r="TT43" s="836"/>
      <c r="TU43" s="836"/>
      <c r="TV43" s="836"/>
      <c r="TW43" s="836"/>
      <c r="TX43" s="836"/>
      <c r="TY43" s="836"/>
      <c r="TZ43" s="836"/>
      <c r="UA43" s="836"/>
      <c r="UB43" s="836"/>
      <c r="UC43" s="836"/>
      <c r="UD43" s="836"/>
      <c r="UE43" s="836"/>
      <c r="UF43" s="836"/>
      <c r="UG43" s="836"/>
      <c r="UH43" s="836"/>
      <c r="UI43" s="836"/>
      <c r="UJ43" s="836"/>
      <c r="UK43" s="836"/>
      <c r="UL43" s="836"/>
      <c r="UM43" s="836"/>
      <c r="UN43" s="836"/>
      <c r="UO43" s="836"/>
      <c r="UP43" s="836"/>
      <c r="UQ43" s="836"/>
      <c r="UR43" s="836"/>
      <c r="US43" s="836"/>
      <c r="UT43" s="836"/>
      <c r="UU43" s="836"/>
      <c r="UV43" s="836"/>
      <c r="UW43" s="836"/>
      <c r="UX43" s="836"/>
      <c r="UY43" s="836"/>
      <c r="UZ43" s="836"/>
      <c r="VA43" s="836"/>
      <c r="VB43" s="836"/>
      <c r="VC43" s="836"/>
      <c r="VD43" s="836"/>
      <c r="VE43" s="836"/>
      <c r="VF43" s="836"/>
      <c r="VG43" s="836"/>
      <c r="VH43" s="836"/>
      <c r="VI43" s="836"/>
      <c r="VJ43" s="836"/>
      <c r="VK43" s="836"/>
      <c r="VL43" s="836"/>
      <c r="VM43" s="836"/>
      <c r="VN43" s="836"/>
      <c r="VO43" s="836"/>
      <c r="VP43" s="836"/>
      <c r="VQ43" s="836"/>
      <c r="VR43" s="836"/>
      <c r="VS43" s="836"/>
      <c r="VT43" s="836"/>
      <c r="VU43" s="836"/>
      <c r="VV43" s="836"/>
      <c r="VW43" s="836"/>
      <c r="VX43" s="836"/>
      <c r="VY43" s="836"/>
      <c r="VZ43" s="836"/>
      <c r="WA43" s="836"/>
      <c r="WB43" s="836"/>
      <c r="WC43" s="836"/>
      <c r="WD43" s="836"/>
      <c r="WE43" s="836"/>
      <c r="WF43" s="836"/>
      <c r="WG43" s="836"/>
      <c r="WH43" s="836"/>
      <c r="WI43" s="836"/>
      <c r="WJ43" s="836"/>
      <c r="WK43" s="836"/>
      <c r="WL43" s="836"/>
      <c r="WM43" s="836"/>
      <c r="WN43" s="836"/>
      <c r="WO43" s="836"/>
      <c r="WP43" s="836"/>
      <c r="WQ43" s="836"/>
      <c r="WR43" s="836"/>
      <c r="WS43" s="836"/>
      <c r="WT43" s="836"/>
      <c r="WU43" s="836"/>
      <c r="WV43" s="836"/>
      <c r="WW43" s="836"/>
      <c r="WX43" s="836"/>
      <c r="WY43" s="836"/>
      <c r="WZ43" s="836"/>
      <c r="XA43" s="836"/>
      <c r="XB43" s="836"/>
      <c r="XC43" s="836"/>
      <c r="XD43" s="836"/>
      <c r="XE43" s="836"/>
      <c r="XF43" s="836"/>
      <c r="XG43" s="836"/>
      <c r="XH43" s="836"/>
      <c r="XI43" s="836"/>
      <c r="XJ43" s="836"/>
      <c r="XK43" s="836"/>
      <c r="XL43" s="836"/>
      <c r="XM43" s="836"/>
      <c r="XN43" s="836"/>
      <c r="XO43" s="836"/>
      <c r="XP43" s="836"/>
      <c r="XQ43" s="836"/>
      <c r="XR43" s="836"/>
      <c r="XS43" s="836"/>
      <c r="XT43" s="836"/>
      <c r="XU43" s="836"/>
      <c r="XV43" s="836"/>
      <c r="XW43" s="836"/>
      <c r="XX43" s="836"/>
      <c r="XY43" s="836"/>
      <c r="XZ43" s="836"/>
      <c r="YA43" s="836"/>
      <c r="YB43" s="836"/>
      <c r="YC43" s="836"/>
      <c r="YD43" s="836"/>
      <c r="YE43" s="836"/>
      <c r="YF43" s="836"/>
      <c r="YG43" s="836"/>
      <c r="YH43" s="836"/>
      <c r="YI43" s="836"/>
      <c r="YJ43" s="836"/>
      <c r="YK43" s="836"/>
      <c r="YL43" s="836"/>
      <c r="YM43" s="836"/>
      <c r="YN43" s="836"/>
      <c r="YO43" s="836"/>
      <c r="YP43" s="836"/>
      <c r="YQ43" s="836"/>
      <c r="YR43" s="836"/>
      <c r="YS43" s="836"/>
      <c r="YT43" s="836"/>
      <c r="YU43" s="836"/>
      <c r="YV43" s="836"/>
      <c r="YW43" s="836"/>
      <c r="YX43" s="836"/>
      <c r="YY43" s="836"/>
      <c r="YZ43" s="836"/>
      <c r="ZA43" s="836"/>
      <c r="ZB43" s="836"/>
      <c r="ZC43" s="836"/>
      <c r="ZD43" s="836"/>
      <c r="ZE43" s="836"/>
      <c r="ZF43" s="836"/>
      <c r="ZG43" s="836"/>
      <c r="ZH43" s="836"/>
      <c r="ZI43" s="836"/>
      <c r="ZJ43" s="836"/>
      <c r="ZK43" s="836"/>
      <c r="ZL43" s="836"/>
      <c r="ZM43" s="836"/>
      <c r="ZN43" s="836"/>
      <c r="ZO43" s="836"/>
      <c r="ZP43" s="836"/>
      <c r="ZQ43" s="836"/>
      <c r="ZR43" s="836"/>
      <c r="ZS43" s="836"/>
      <c r="ZT43" s="836"/>
      <c r="ZU43" s="836"/>
      <c r="ZV43" s="836"/>
      <c r="ZW43" s="836"/>
      <c r="ZX43" s="836"/>
      <c r="ZY43" s="836"/>
      <c r="ZZ43" s="836"/>
      <c r="AAA43" s="836"/>
      <c r="AAB43" s="836"/>
      <c r="AAC43" s="836"/>
      <c r="AAD43" s="836"/>
      <c r="AAE43" s="836"/>
      <c r="AAF43" s="836"/>
      <c r="AAG43" s="836"/>
      <c r="AAH43" s="836"/>
      <c r="AAI43" s="836"/>
      <c r="AAJ43" s="836"/>
      <c r="AAK43" s="836"/>
      <c r="AAL43" s="836"/>
      <c r="AAM43" s="836"/>
      <c r="AAN43" s="836"/>
      <c r="AAO43" s="836"/>
      <c r="AAP43" s="836"/>
      <c r="AAQ43" s="836"/>
      <c r="AAR43" s="836"/>
      <c r="AAS43" s="836"/>
      <c r="AAT43" s="836"/>
      <c r="AAU43" s="836"/>
      <c r="AAV43" s="836"/>
      <c r="AAW43" s="836"/>
      <c r="AAX43" s="836"/>
      <c r="AAY43" s="836"/>
      <c r="AAZ43" s="836"/>
      <c r="ABA43" s="836"/>
      <c r="ABB43" s="836"/>
      <c r="ABC43" s="836"/>
      <c r="ABD43" s="836"/>
      <c r="ABE43" s="836"/>
      <c r="ABF43" s="836"/>
      <c r="ABG43" s="836"/>
      <c r="ABH43" s="836"/>
      <c r="ABI43" s="836"/>
      <c r="ABJ43" s="836"/>
      <c r="ABK43" s="836"/>
      <c r="ABL43" s="836"/>
      <c r="ABM43" s="836"/>
      <c r="ABN43" s="836"/>
      <c r="ABO43" s="836"/>
      <c r="ABP43" s="836"/>
      <c r="ABQ43" s="836"/>
      <c r="ABR43" s="836"/>
      <c r="ABS43" s="836"/>
      <c r="ABT43" s="836"/>
      <c r="ABU43" s="836"/>
      <c r="ABV43" s="836"/>
      <c r="ABW43" s="836"/>
      <c r="ABX43" s="836"/>
      <c r="ABY43" s="836"/>
      <c r="ABZ43" s="836"/>
      <c r="ACA43" s="836"/>
      <c r="ACB43" s="836"/>
      <c r="ACC43" s="836"/>
      <c r="ACD43" s="836"/>
      <c r="ACE43" s="836"/>
      <c r="ACF43" s="836"/>
      <c r="ACG43" s="836"/>
      <c r="ACH43" s="836"/>
      <c r="ACI43" s="836"/>
      <c r="ACJ43" s="836"/>
      <c r="ACK43" s="836"/>
      <c r="ACL43" s="836"/>
      <c r="ACM43" s="836"/>
      <c r="ACN43" s="836"/>
      <c r="ACO43" s="836"/>
      <c r="ACP43" s="836"/>
      <c r="ACQ43" s="836"/>
      <c r="ACR43" s="836"/>
      <c r="ACS43" s="836"/>
      <c r="ACT43" s="836"/>
      <c r="ACU43" s="836"/>
      <c r="ACV43" s="836"/>
      <c r="ACW43" s="836"/>
      <c r="ACX43" s="836"/>
      <c r="ACY43" s="836"/>
      <c r="ACZ43" s="836"/>
      <c r="ADA43" s="836"/>
      <c r="ADB43" s="836"/>
      <c r="ADC43" s="836"/>
      <c r="ADD43" s="836"/>
      <c r="ADE43" s="836"/>
      <c r="ADF43" s="836"/>
      <c r="ADG43" s="836"/>
      <c r="ADH43" s="836"/>
      <c r="ADI43" s="836"/>
      <c r="ADJ43" s="836"/>
      <c r="ADK43" s="836"/>
      <c r="ADL43" s="836"/>
      <c r="ADM43" s="836"/>
      <c r="ADN43" s="836"/>
      <c r="ADO43" s="836"/>
      <c r="ADP43" s="836"/>
      <c r="ADQ43" s="836"/>
      <c r="ADR43" s="836"/>
      <c r="ADS43" s="836"/>
      <c r="ADT43" s="836"/>
      <c r="ADU43" s="836"/>
      <c r="ADV43" s="836"/>
      <c r="ADW43" s="836"/>
      <c r="ADX43" s="836"/>
      <c r="ADY43" s="836"/>
      <c r="ADZ43" s="836"/>
      <c r="AEA43" s="836"/>
      <c r="AEB43" s="836"/>
      <c r="AEC43" s="836"/>
      <c r="AED43" s="836"/>
      <c r="AEE43" s="836"/>
      <c r="AEF43" s="836"/>
      <c r="AEG43" s="836"/>
      <c r="AEH43" s="836"/>
      <c r="AEI43" s="836"/>
      <c r="AEJ43" s="836"/>
      <c r="AEK43" s="836"/>
      <c r="AEL43" s="836"/>
      <c r="AEM43" s="836"/>
      <c r="AEN43" s="836"/>
      <c r="AEO43" s="836"/>
      <c r="AEP43" s="836"/>
      <c r="AEQ43" s="836"/>
      <c r="AER43" s="836"/>
      <c r="AES43" s="836"/>
      <c r="AET43" s="836"/>
      <c r="AEU43" s="836"/>
      <c r="AEV43" s="836"/>
      <c r="AEW43" s="836"/>
      <c r="AEX43" s="836"/>
      <c r="AEY43" s="836"/>
      <c r="AEZ43" s="836"/>
      <c r="AFA43" s="836"/>
      <c r="AFB43" s="836"/>
      <c r="AFC43" s="836"/>
      <c r="AFD43" s="836"/>
      <c r="AFE43" s="836"/>
      <c r="AFF43" s="836"/>
      <c r="AFG43" s="836"/>
      <c r="AFH43" s="836"/>
      <c r="AFI43" s="836"/>
      <c r="AFJ43" s="836"/>
      <c r="AFK43" s="836"/>
      <c r="AFL43" s="836"/>
      <c r="AFM43" s="836"/>
      <c r="AFN43" s="836"/>
      <c r="AFO43" s="836"/>
      <c r="AFP43" s="836"/>
      <c r="AFQ43" s="836"/>
      <c r="AFR43" s="836"/>
      <c r="AFS43" s="836"/>
      <c r="AFT43" s="836"/>
      <c r="AFU43" s="836"/>
      <c r="AFV43" s="836"/>
      <c r="AFW43" s="836"/>
      <c r="AFX43" s="836"/>
      <c r="AFY43" s="836"/>
      <c r="AFZ43" s="836"/>
      <c r="AGA43" s="836"/>
      <c r="AGB43" s="836"/>
      <c r="AGC43" s="836"/>
      <c r="AGD43" s="836"/>
      <c r="AGE43" s="836"/>
      <c r="AGF43" s="836"/>
      <c r="AGG43" s="836"/>
      <c r="AGH43" s="836"/>
      <c r="AGI43" s="836"/>
      <c r="AGJ43" s="836"/>
      <c r="AGK43" s="836"/>
      <c r="AGL43" s="836"/>
      <c r="AGM43" s="836"/>
      <c r="AGN43" s="836"/>
      <c r="AGO43" s="836"/>
      <c r="AGP43" s="836"/>
      <c r="AGQ43" s="836"/>
      <c r="AGR43" s="836"/>
      <c r="AGS43" s="836"/>
      <c r="AGT43" s="836"/>
      <c r="AGU43" s="836"/>
      <c r="AGV43" s="836"/>
      <c r="AGW43" s="836"/>
      <c r="AGX43" s="836"/>
      <c r="AGY43" s="836"/>
      <c r="AGZ43" s="836"/>
      <c r="AHA43" s="836"/>
      <c r="AHB43" s="836"/>
      <c r="AHC43" s="836"/>
      <c r="AHD43" s="836"/>
      <c r="AHE43" s="836"/>
      <c r="AHF43" s="836"/>
      <c r="AHG43" s="836"/>
      <c r="AHH43" s="836"/>
      <c r="AHI43" s="836"/>
      <c r="AHJ43" s="836"/>
      <c r="AHK43" s="836"/>
      <c r="AHL43" s="836"/>
      <c r="AHM43" s="836"/>
      <c r="AHN43" s="836"/>
      <c r="AHO43" s="836"/>
      <c r="AHP43" s="836"/>
      <c r="AHQ43" s="836"/>
      <c r="AHR43" s="836"/>
      <c r="AHS43" s="836"/>
      <c r="AHT43" s="836"/>
      <c r="AHU43" s="836"/>
      <c r="AHV43" s="836"/>
      <c r="AHW43" s="836"/>
      <c r="AHX43" s="836"/>
      <c r="AHY43" s="836"/>
      <c r="AHZ43" s="836"/>
      <c r="AIA43" s="836"/>
      <c r="AIB43" s="836"/>
      <c r="AIC43" s="836"/>
      <c r="AID43" s="836"/>
      <c r="AIE43" s="836"/>
      <c r="AIF43" s="836"/>
      <c r="AIG43" s="836"/>
      <c r="AIH43" s="836"/>
      <c r="AII43" s="836"/>
      <c r="AIJ43" s="836"/>
      <c r="AIK43" s="836"/>
      <c r="AIL43" s="836"/>
      <c r="AIM43" s="836"/>
      <c r="AIN43" s="836"/>
      <c r="AIO43" s="836"/>
      <c r="AIP43" s="836"/>
      <c r="AIQ43" s="836"/>
      <c r="AIR43" s="836"/>
      <c r="AIS43" s="836"/>
      <c r="AIT43" s="836"/>
      <c r="AIU43" s="836"/>
      <c r="AIV43" s="836"/>
      <c r="AIW43" s="836"/>
      <c r="AIX43" s="836"/>
      <c r="AIY43" s="836"/>
      <c r="AIZ43" s="836"/>
      <c r="AJA43" s="836"/>
      <c r="AJB43" s="836"/>
      <c r="AJC43" s="836"/>
      <c r="AJD43" s="836"/>
      <c r="AJE43" s="836"/>
      <c r="AJF43" s="836"/>
      <c r="AJG43" s="836"/>
      <c r="AJH43" s="836"/>
      <c r="AJI43" s="836"/>
      <c r="AJJ43" s="836"/>
      <c r="AJK43" s="836"/>
      <c r="AJL43" s="836"/>
      <c r="AJM43" s="836"/>
      <c r="AJN43" s="836"/>
      <c r="AJO43" s="836"/>
      <c r="AJP43" s="836"/>
      <c r="AJQ43" s="836"/>
      <c r="AJR43" s="836"/>
      <c r="AJS43" s="836"/>
      <c r="AJT43" s="836"/>
      <c r="AJU43" s="836"/>
      <c r="AJV43" s="836"/>
      <c r="AJW43" s="836"/>
      <c r="AJX43" s="836"/>
      <c r="AJY43" s="836"/>
      <c r="AJZ43" s="836"/>
      <c r="AKA43" s="836"/>
      <c r="AKB43" s="836"/>
      <c r="AKC43" s="836"/>
      <c r="AKD43" s="836"/>
      <c r="AKE43" s="836"/>
      <c r="AKF43" s="836"/>
      <c r="AKG43" s="836"/>
      <c r="AKH43" s="836"/>
      <c r="AKI43" s="836"/>
      <c r="AKJ43" s="836"/>
      <c r="AKK43" s="836"/>
      <c r="AKL43" s="836"/>
      <c r="AKM43" s="836"/>
      <c r="AKN43" s="836"/>
      <c r="AKO43" s="836"/>
      <c r="AKP43" s="836"/>
      <c r="AKQ43" s="836"/>
      <c r="AKR43" s="836"/>
      <c r="AKS43" s="836"/>
      <c r="AKT43" s="836"/>
      <c r="AKU43" s="836"/>
      <c r="AKV43" s="836"/>
      <c r="AKW43" s="836"/>
      <c r="AKX43" s="836"/>
      <c r="AKY43" s="836"/>
      <c r="AKZ43" s="836"/>
      <c r="ALA43" s="836"/>
      <c r="ALB43" s="836"/>
      <c r="ALC43" s="836"/>
      <c r="ALD43" s="836"/>
      <c r="ALE43" s="836"/>
      <c r="ALF43" s="836"/>
      <c r="ALG43" s="836"/>
      <c r="ALH43" s="836"/>
      <c r="ALI43" s="836"/>
      <c r="ALJ43" s="836"/>
      <c r="ALK43" s="836"/>
      <c r="ALL43" s="836"/>
      <c r="ALM43" s="836"/>
      <c r="ALN43" s="836"/>
      <c r="ALO43" s="836"/>
      <c r="ALP43" s="836"/>
      <c r="ALQ43" s="836"/>
      <c r="ALR43" s="836"/>
      <c r="ALS43" s="836"/>
      <c r="ALT43" s="836"/>
      <c r="ALU43" s="836"/>
      <c r="ALV43" s="836"/>
      <c r="ALW43" s="836"/>
      <c r="ALX43" s="836"/>
      <c r="ALY43" s="836"/>
      <c r="ALZ43" s="836"/>
      <c r="AMA43" s="836"/>
      <c r="AMB43" s="836"/>
      <c r="AMC43" s="836"/>
      <c r="AMD43" s="836"/>
      <c r="AME43" s="836"/>
      <c r="AMF43" s="836"/>
      <c r="AMG43" s="836"/>
      <c r="AMH43" s="836"/>
      <c r="AMI43" s="836"/>
      <c r="AMJ43" s="836"/>
      <c r="AMK43" s="836"/>
      <c r="AML43" s="836"/>
      <c r="AMM43" s="836"/>
      <c r="AMN43" s="836"/>
      <c r="AMO43" s="836"/>
      <c r="AMP43" s="836"/>
      <c r="AMQ43" s="836"/>
      <c r="AMR43" s="836"/>
      <c r="AMS43" s="836"/>
      <c r="AMT43" s="836"/>
      <c r="AMU43" s="836"/>
      <c r="AMV43" s="836"/>
      <c r="AMW43" s="836"/>
      <c r="AMX43" s="836"/>
      <c r="AMY43" s="836"/>
      <c r="AMZ43" s="836"/>
      <c r="ANA43" s="836"/>
      <c r="ANB43" s="836"/>
      <c r="ANC43" s="836"/>
      <c r="AND43" s="836"/>
      <c r="ANE43" s="836"/>
      <c r="ANF43" s="836"/>
      <c r="ANG43" s="836"/>
      <c r="ANH43" s="836"/>
      <c r="ANI43" s="836"/>
      <c r="ANJ43" s="836"/>
      <c r="ANK43" s="836"/>
      <c r="ANL43" s="836"/>
      <c r="ANM43" s="836"/>
      <c r="ANN43" s="836"/>
      <c r="ANO43" s="836"/>
      <c r="ANP43" s="836"/>
      <c r="ANQ43" s="836"/>
      <c r="ANR43" s="836"/>
      <c r="ANS43" s="836"/>
      <c r="ANT43" s="836"/>
      <c r="ANU43" s="836"/>
      <c r="ANV43" s="836"/>
      <c r="ANW43" s="836"/>
      <c r="ANX43" s="836"/>
      <c r="ANY43" s="836"/>
      <c r="ANZ43" s="836"/>
      <c r="AOA43" s="836"/>
      <c r="AOB43" s="836"/>
      <c r="AOC43" s="836"/>
      <c r="AOD43" s="836"/>
      <c r="AOE43" s="836"/>
      <c r="AOF43" s="836"/>
      <c r="AOG43" s="836"/>
      <c r="AOH43" s="836"/>
      <c r="AOI43" s="836"/>
      <c r="AOJ43" s="836"/>
      <c r="AOK43" s="836"/>
      <c r="AOL43" s="836"/>
      <c r="AOM43" s="836"/>
      <c r="AON43" s="836"/>
      <c r="AOO43" s="836"/>
      <c r="AOP43" s="836"/>
      <c r="AOQ43" s="836"/>
      <c r="AOR43" s="836"/>
      <c r="AOS43" s="836"/>
      <c r="AOT43" s="836"/>
      <c r="AOU43" s="836"/>
      <c r="AOV43" s="836"/>
      <c r="AOW43" s="836"/>
      <c r="AOX43" s="836"/>
      <c r="AOY43" s="836"/>
      <c r="AOZ43" s="836"/>
      <c r="APA43" s="836"/>
      <c r="APB43" s="836"/>
      <c r="APC43" s="836"/>
      <c r="APD43" s="836"/>
      <c r="APE43" s="836"/>
      <c r="APF43" s="836"/>
      <c r="APG43" s="836"/>
      <c r="APH43" s="836"/>
      <c r="API43" s="836"/>
      <c r="APJ43" s="836"/>
      <c r="APK43" s="836"/>
      <c r="APL43" s="836"/>
      <c r="APM43" s="836"/>
      <c r="APN43" s="836"/>
      <c r="APO43" s="836"/>
      <c r="APP43" s="836"/>
      <c r="APQ43" s="836"/>
      <c r="APR43" s="836"/>
      <c r="APS43" s="836"/>
      <c r="APT43" s="836"/>
      <c r="APU43" s="836"/>
      <c r="APV43" s="836"/>
      <c r="APW43" s="836"/>
      <c r="APX43" s="836"/>
      <c r="APY43" s="836"/>
      <c r="APZ43" s="836"/>
      <c r="AQA43" s="836"/>
      <c r="AQB43" s="836"/>
      <c r="AQC43" s="836"/>
      <c r="AQD43" s="836"/>
      <c r="AQE43" s="836"/>
      <c r="AQF43" s="836"/>
      <c r="AQG43" s="836"/>
      <c r="AQH43" s="836"/>
      <c r="AQI43" s="836"/>
      <c r="AQJ43" s="836"/>
      <c r="AQK43" s="836"/>
      <c r="AQL43" s="836"/>
      <c r="AQM43" s="836"/>
      <c r="AQN43" s="836"/>
      <c r="AQO43" s="836"/>
      <c r="AQP43" s="836"/>
      <c r="AQQ43" s="836"/>
      <c r="AQR43" s="836"/>
      <c r="AQS43" s="836"/>
      <c r="AQT43" s="836"/>
      <c r="AQU43" s="836"/>
      <c r="AQV43" s="836"/>
      <c r="AQW43" s="836"/>
      <c r="AQX43" s="836"/>
      <c r="AQY43" s="836"/>
      <c r="AQZ43" s="836"/>
      <c r="ARA43" s="836"/>
      <c r="ARB43" s="836"/>
      <c r="ARC43" s="836"/>
      <c r="ARD43" s="836"/>
      <c r="ARE43" s="836"/>
      <c r="ARF43" s="836"/>
      <c r="ARG43" s="836"/>
      <c r="ARH43" s="836"/>
      <c r="ARI43" s="836"/>
      <c r="ARJ43" s="836"/>
      <c r="ARK43" s="836"/>
      <c r="ARL43" s="836"/>
      <c r="ARM43" s="836"/>
      <c r="ARN43" s="836"/>
      <c r="ARO43" s="836"/>
      <c r="ARP43" s="836"/>
      <c r="ARQ43" s="836"/>
      <c r="ARR43" s="836"/>
      <c r="ARS43" s="836"/>
      <c r="ART43" s="836"/>
      <c r="ARU43" s="836"/>
      <c r="ARV43" s="836"/>
      <c r="ARW43" s="836"/>
      <c r="ARX43" s="836"/>
      <c r="ARY43" s="836"/>
      <c r="ARZ43" s="836"/>
      <c r="ASA43" s="836"/>
      <c r="ASB43" s="836"/>
      <c r="ASC43" s="836"/>
      <c r="ASD43" s="836"/>
      <c r="ASE43" s="836"/>
      <c r="ASF43" s="836"/>
      <c r="ASG43" s="836"/>
      <c r="ASH43" s="836"/>
      <c r="ASI43" s="836"/>
      <c r="ASJ43" s="836"/>
      <c r="ASK43" s="836"/>
      <c r="ASL43" s="836"/>
      <c r="ASM43" s="836"/>
      <c r="ASN43" s="836"/>
      <c r="ASO43" s="836"/>
      <c r="ASP43" s="836"/>
      <c r="ASQ43" s="836"/>
      <c r="ASR43" s="836"/>
      <c r="ASS43" s="836"/>
      <c r="AST43" s="836"/>
      <c r="ASU43" s="836"/>
      <c r="ASV43" s="836"/>
      <c r="ASW43" s="836"/>
      <c r="ASX43" s="836"/>
      <c r="ASY43" s="836"/>
      <c r="ASZ43" s="836"/>
      <c r="ATA43" s="836"/>
      <c r="ATB43" s="836"/>
      <c r="ATC43" s="836"/>
      <c r="ATD43" s="836"/>
      <c r="ATE43" s="836"/>
      <c r="ATF43" s="836"/>
      <c r="ATG43" s="836"/>
      <c r="ATH43" s="836"/>
      <c r="ATI43" s="836"/>
      <c r="ATJ43" s="836"/>
      <c r="ATK43" s="836"/>
      <c r="ATL43" s="836"/>
      <c r="ATM43" s="836"/>
      <c r="ATN43" s="836"/>
      <c r="ATO43" s="836"/>
      <c r="ATP43" s="836"/>
      <c r="ATQ43" s="836"/>
      <c r="ATR43" s="836"/>
      <c r="ATS43" s="836"/>
      <c r="ATT43" s="836"/>
      <c r="ATU43" s="836"/>
      <c r="ATV43" s="836"/>
      <c r="ATW43" s="836"/>
      <c r="ATX43" s="836"/>
      <c r="ATY43" s="836"/>
      <c r="ATZ43" s="836"/>
      <c r="AUA43" s="836"/>
      <c r="AUB43" s="836"/>
      <c r="AUC43" s="836"/>
      <c r="AUD43" s="836"/>
      <c r="AUE43" s="836"/>
      <c r="AUF43" s="836"/>
      <c r="AUG43" s="836"/>
      <c r="AUH43" s="836"/>
      <c r="AUI43" s="836"/>
      <c r="AUJ43" s="836"/>
      <c r="AUK43" s="836"/>
      <c r="AUL43" s="836"/>
      <c r="AUM43" s="836"/>
      <c r="AUN43" s="836"/>
      <c r="AUO43" s="836"/>
      <c r="AUP43" s="836"/>
      <c r="AUQ43" s="836"/>
      <c r="AUR43" s="836"/>
      <c r="AUS43" s="836"/>
      <c r="AUT43" s="836"/>
      <c r="AUU43" s="836"/>
      <c r="AUV43" s="836"/>
      <c r="AUW43" s="836"/>
      <c r="AUX43" s="836"/>
      <c r="AUY43" s="836"/>
      <c r="AUZ43" s="836"/>
      <c r="AVA43" s="836"/>
      <c r="AVB43" s="836"/>
      <c r="AVC43" s="836"/>
      <c r="AVD43" s="836"/>
      <c r="AVE43" s="836"/>
      <c r="AVF43" s="836"/>
      <c r="AVG43" s="836"/>
      <c r="AVH43" s="836"/>
      <c r="AVI43" s="836"/>
      <c r="AVJ43" s="836"/>
      <c r="AVK43" s="836"/>
      <c r="AVL43" s="836"/>
      <c r="AVM43" s="836"/>
      <c r="AVN43" s="836"/>
      <c r="AVO43" s="836"/>
      <c r="AVP43" s="836"/>
      <c r="AVQ43" s="836"/>
      <c r="AVR43" s="836"/>
      <c r="AVS43" s="836"/>
      <c r="AVT43" s="836"/>
      <c r="AVU43" s="836"/>
      <c r="AVV43" s="836"/>
      <c r="AVW43" s="836"/>
      <c r="AVX43" s="836"/>
      <c r="AVY43" s="836"/>
      <c r="AVZ43" s="836"/>
      <c r="AWA43" s="836"/>
      <c r="AWB43" s="836"/>
      <c r="AWC43" s="836"/>
      <c r="AWD43" s="836"/>
      <c r="AWE43" s="836"/>
      <c r="AWF43" s="836"/>
      <c r="AWG43" s="836"/>
      <c r="AWH43" s="836"/>
      <c r="AWI43" s="836"/>
      <c r="AWJ43" s="836"/>
      <c r="AWK43" s="836"/>
      <c r="AWL43" s="836"/>
      <c r="AWM43" s="836"/>
      <c r="AWN43" s="836"/>
      <c r="AWO43" s="836"/>
      <c r="AWP43" s="836"/>
      <c r="AWQ43" s="836"/>
      <c r="AWR43" s="836"/>
      <c r="AWS43" s="836"/>
      <c r="AWT43" s="836"/>
      <c r="AWU43" s="836"/>
      <c r="AWV43" s="836"/>
      <c r="AWW43" s="836"/>
      <c r="AWX43" s="836"/>
      <c r="AWY43" s="836"/>
      <c r="AWZ43" s="836"/>
      <c r="AXA43" s="836"/>
      <c r="AXB43" s="836"/>
      <c r="AXC43" s="836"/>
      <c r="AXD43" s="836"/>
      <c r="AXE43" s="836"/>
      <c r="AXF43" s="836"/>
      <c r="AXG43" s="836"/>
      <c r="AXH43" s="836"/>
      <c r="AXI43" s="836"/>
      <c r="AXJ43" s="836"/>
      <c r="AXK43" s="836"/>
      <c r="AXL43" s="836"/>
      <c r="AXM43" s="836"/>
      <c r="AXN43" s="836"/>
      <c r="AXO43" s="836"/>
      <c r="AXP43" s="836"/>
      <c r="AXQ43" s="836"/>
      <c r="AXR43" s="836"/>
      <c r="AXS43" s="836"/>
      <c r="AXT43" s="836"/>
      <c r="AXU43" s="836"/>
      <c r="AXV43" s="836"/>
      <c r="AXW43" s="836"/>
      <c r="AXX43" s="836"/>
      <c r="AXY43" s="836"/>
      <c r="AXZ43" s="836"/>
      <c r="AYA43" s="836"/>
      <c r="AYB43" s="836"/>
      <c r="AYC43" s="836"/>
      <c r="AYD43" s="836"/>
      <c r="AYE43" s="836"/>
      <c r="AYF43" s="836"/>
      <c r="AYG43" s="836"/>
      <c r="AYH43" s="836"/>
      <c r="AYI43" s="836"/>
      <c r="AYJ43" s="836"/>
      <c r="AYK43" s="836"/>
      <c r="AYL43" s="836"/>
      <c r="AYM43" s="836"/>
      <c r="AYN43" s="836"/>
      <c r="AYO43" s="836"/>
      <c r="AYP43" s="836"/>
      <c r="AYQ43" s="836"/>
      <c r="AYR43" s="836"/>
      <c r="AYS43" s="836"/>
      <c r="AYT43" s="836"/>
      <c r="AYU43" s="836"/>
      <c r="AYV43" s="836"/>
      <c r="AYW43" s="836"/>
      <c r="AYX43" s="836"/>
      <c r="AYY43" s="836"/>
      <c r="AYZ43" s="836"/>
      <c r="AZA43" s="836"/>
      <c r="AZB43" s="836"/>
      <c r="AZC43" s="836"/>
      <c r="AZD43" s="836"/>
      <c r="AZE43" s="836"/>
      <c r="AZF43" s="836"/>
      <c r="AZG43" s="836"/>
      <c r="AZH43" s="836"/>
      <c r="AZI43" s="836"/>
      <c r="AZJ43" s="836"/>
      <c r="AZK43" s="836"/>
      <c r="AZL43" s="836"/>
      <c r="AZM43" s="836"/>
      <c r="AZN43" s="836"/>
      <c r="AZO43" s="836"/>
      <c r="AZP43" s="836"/>
      <c r="AZQ43" s="836"/>
      <c r="AZR43" s="836"/>
      <c r="AZS43" s="836"/>
      <c r="AZT43" s="836"/>
      <c r="AZU43" s="836"/>
      <c r="AZV43" s="836"/>
      <c r="AZW43" s="836"/>
      <c r="AZX43" s="836"/>
      <c r="AZY43" s="836"/>
      <c r="AZZ43" s="836"/>
      <c r="BAA43" s="836"/>
      <c r="BAB43" s="836"/>
      <c r="BAC43" s="836"/>
      <c r="BAD43" s="836"/>
      <c r="BAE43" s="836"/>
      <c r="BAF43" s="836"/>
      <c r="BAG43" s="836"/>
      <c r="BAH43" s="836"/>
      <c r="BAI43" s="836"/>
      <c r="BAJ43" s="836"/>
      <c r="BAK43" s="836"/>
      <c r="BAL43" s="836"/>
      <c r="BAM43" s="836"/>
      <c r="BAN43" s="836"/>
      <c r="BAO43" s="836"/>
      <c r="BAP43" s="836"/>
      <c r="BAQ43" s="836"/>
      <c r="BAR43" s="836"/>
      <c r="BAS43" s="836"/>
      <c r="BAT43" s="836"/>
      <c r="BAU43" s="836"/>
      <c r="BAV43" s="836"/>
      <c r="BAW43" s="836"/>
      <c r="BAX43" s="836"/>
      <c r="BAY43" s="836"/>
      <c r="BAZ43" s="836"/>
      <c r="BBA43" s="836"/>
      <c r="BBB43" s="836"/>
      <c r="BBC43" s="836"/>
      <c r="BBD43" s="836"/>
      <c r="BBE43" s="836"/>
      <c r="BBF43" s="836"/>
      <c r="BBG43" s="836"/>
      <c r="BBH43" s="836"/>
      <c r="BBI43" s="836"/>
      <c r="BBJ43" s="836"/>
      <c r="BBK43" s="836"/>
      <c r="BBL43" s="836"/>
      <c r="BBM43" s="836"/>
      <c r="BBN43" s="836"/>
      <c r="BBO43" s="836"/>
      <c r="BBP43" s="836"/>
      <c r="BBQ43" s="836"/>
      <c r="BBR43" s="836"/>
      <c r="BBS43" s="836"/>
      <c r="BBT43" s="836"/>
      <c r="BBU43" s="836"/>
      <c r="BBV43" s="836"/>
      <c r="BBW43" s="836"/>
      <c r="BBX43" s="836"/>
      <c r="BBY43" s="836"/>
      <c r="BBZ43" s="836"/>
      <c r="BCA43" s="836"/>
      <c r="BCB43" s="836"/>
      <c r="BCC43" s="836"/>
      <c r="BCD43" s="836"/>
      <c r="BCE43" s="836"/>
      <c r="BCF43" s="836"/>
      <c r="BCG43" s="836"/>
      <c r="BCH43" s="836"/>
      <c r="BCI43" s="836"/>
      <c r="BCJ43" s="836"/>
      <c r="BCK43" s="836"/>
      <c r="BCL43" s="836"/>
      <c r="BCM43" s="836"/>
      <c r="BCN43" s="836"/>
      <c r="BCO43" s="836"/>
      <c r="BCP43" s="836"/>
      <c r="BCQ43" s="836"/>
      <c r="BCR43" s="836"/>
      <c r="BCS43" s="836"/>
      <c r="BCT43" s="836"/>
      <c r="BCU43" s="836"/>
      <c r="BCV43" s="836"/>
      <c r="BCW43" s="836"/>
      <c r="BCX43" s="836"/>
      <c r="BCY43" s="836"/>
      <c r="BCZ43" s="836"/>
      <c r="BDA43" s="836"/>
      <c r="BDB43" s="836"/>
      <c r="BDC43" s="836"/>
      <c r="BDD43" s="836"/>
      <c r="BDE43" s="836"/>
      <c r="BDF43" s="836"/>
      <c r="BDG43" s="836"/>
      <c r="BDH43" s="836"/>
      <c r="BDI43" s="836"/>
      <c r="BDJ43" s="836"/>
      <c r="BDK43" s="836"/>
      <c r="BDL43" s="836"/>
      <c r="BDM43" s="836"/>
      <c r="BDN43" s="836"/>
      <c r="BDO43" s="836"/>
      <c r="BDP43" s="836"/>
      <c r="BDQ43" s="836"/>
      <c r="BDR43" s="836"/>
      <c r="BDS43" s="836"/>
      <c r="BDT43" s="836"/>
      <c r="BDU43" s="836"/>
      <c r="BDV43" s="836"/>
      <c r="BDW43" s="836"/>
      <c r="BDX43" s="836"/>
      <c r="BDY43" s="836"/>
      <c r="BDZ43" s="836"/>
      <c r="BEA43" s="836"/>
      <c r="BEB43" s="836"/>
      <c r="BEC43" s="836"/>
      <c r="BED43" s="836"/>
      <c r="BEE43" s="836"/>
      <c r="BEF43" s="836"/>
      <c r="BEG43" s="836"/>
      <c r="BEH43" s="836"/>
      <c r="BEI43" s="836"/>
      <c r="BEJ43" s="836"/>
      <c r="BEK43" s="836"/>
      <c r="BEL43" s="836"/>
      <c r="BEM43" s="836"/>
      <c r="BEN43" s="836"/>
      <c r="BEO43" s="836"/>
      <c r="BEP43" s="836"/>
      <c r="BEQ43" s="836"/>
      <c r="BER43" s="836"/>
      <c r="BES43" s="836"/>
      <c r="BET43" s="836"/>
      <c r="BEU43" s="836"/>
      <c r="BEV43" s="836"/>
      <c r="BEW43" s="836"/>
      <c r="BEX43" s="836"/>
      <c r="BEY43" s="836"/>
      <c r="BEZ43" s="836"/>
      <c r="BFA43" s="836"/>
      <c r="BFB43" s="836"/>
      <c r="BFC43" s="836"/>
      <c r="BFD43" s="836"/>
      <c r="BFE43" s="836"/>
      <c r="BFF43" s="836"/>
      <c r="BFG43" s="836"/>
      <c r="BFH43" s="836"/>
      <c r="BFI43" s="836"/>
      <c r="BFJ43" s="836"/>
      <c r="BFK43" s="836"/>
      <c r="BFL43" s="836"/>
      <c r="BFM43" s="836"/>
      <c r="BFN43" s="836"/>
      <c r="BFO43" s="836"/>
      <c r="BFP43" s="836"/>
      <c r="BFQ43" s="836"/>
      <c r="BFR43" s="836"/>
      <c r="BFS43" s="836"/>
      <c r="BFT43" s="836"/>
      <c r="BFU43" s="836"/>
      <c r="BFV43" s="836"/>
      <c r="BFW43" s="836"/>
      <c r="BFX43" s="836"/>
      <c r="BFY43" s="836"/>
      <c r="BFZ43" s="836"/>
      <c r="BGA43" s="836"/>
      <c r="BGB43" s="836"/>
      <c r="BGC43" s="836"/>
      <c r="BGD43" s="836"/>
      <c r="BGE43" s="836"/>
      <c r="BGF43" s="836"/>
      <c r="BGG43" s="836"/>
      <c r="BGH43" s="836"/>
      <c r="BGI43" s="836"/>
      <c r="BGJ43" s="836"/>
      <c r="BGK43" s="836"/>
      <c r="BGL43" s="836"/>
      <c r="BGM43" s="836"/>
      <c r="BGN43" s="836"/>
      <c r="BGO43" s="836"/>
      <c r="BGP43" s="836"/>
      <c r="BGQ43" s="836"/>
      <c r="BGR43" s="836"/>
      <c r="BGS43" s="836"/>
      <c r="BGT43" s="836"/>
      <c r="BGU43" s="836"/>
      <c r="BGV43" s="836"/>
      <c r="BGW43" s="836"/>
      <c r="BGX43" s="836"/>
      <c r="BGY43" s="836"/>
      <c r="BGZ43" s="836"/>
      <c r="BHA43" s="836"/>
      <c r="BHB43" s="836"/>
      <c r="BHC43" s="836"/>
      <c r="BHD43" s="836"/>
      <c r="BHE43" s="836"/>
      <c r="BHF43" s="836"/>
      <c r="BHG43" s="836"/>
      <c r="BHH43" s="836"/>
      <c r="BHI43" s="836"/>
      <c r="BHJ43" s="836"/>
      <c r="BHK43" s="836"/>
      <c r="BHL43" s="836"/>
      <c r="BHM43" s="836"/>
      <c r="BHN43" s="836"/>
      <c r="BHO43" s="836"/>
      <c r="BHP43" s="836"/>
      <c r="BHQ43" s="836"/>
      <c r="BHR43" s="836"/>
      <c r="BHS43" s="836"/>
      <c r="BHT43" s="836"/>
      <c r="BHU43" s="836"/>
      <c r="BHV43" s="836"/>
      <c r="BHW43" s="836"/>
      <c r="BHX43" s="836"/>
      <c r="BHY43" s="836"/>
      <c r="BHZ43" s="836"/>
      <c r="BIA43" s="836"/>
      <c r="BIB43" s="836"/>
      <c r="BIC43" s="836"/>
      <c r="BID43" s="836"/>
      <c r="BIE43" s="836"/>
      <c r="BIF43" s="836"/>
      <c r="BIG43" s="836"/>
      <c r="BIH43" s="836"/>
      <c r="BII43" s="836"/>
      <c r="BIJ43" s="836"/>
      <c r="BIK43" s="836"/>
      <c r="BIL43" s="836"/>
      <c r="BIM43" s="836"/>
      <c r="BIN43" s="836"/>
      <c r="BIO43" s="836"/>
      <c r="BIP43" s="836"/>
      <c r="BIQ43" s="836"/>
      <c r="BIR43" s="836"/>
      <c r="BIS43" s="836"/>
      <c r="BIT43" s="836"/>
      <c r="BIU43" s="836"/>
      <c r="BIV43" s="836"/>
      <c r="BIW43" s="836"/>
      <c r="BIX43" s="836"/>
      <c r="BIY43" s="836"/>
      <c r="BIZ43" s="836"/>
      <c r="BJA43" s="836"/>
      <c r="BJB43" s="836"/>
      <c r="BJC43" s="836"/>
      <c r="BJD43" s="836"/>
      <c r="BJE43" s="836"/>
      <c r="BJF43" s="836"/>
      <c r="BJG43" s="836"/>
      <c r="BJH43" s="836"/>
      <c r="BJI43" s="836"/>
      <c r="BJJ43" s="836"/>
      <c r="BJK43" s="836"/>
      <c r="BJL43" s="836"/>
      <c r="BJM43" s="836"/>
      <c r="BJN43" s="836"/>
      <c r="BJO43" s="836"/>
      <c r="BJP43" s="836"/>
      <c r="BJQ43" s="836"/>
      <c r="BJR43" s="836"/>
      <c r="BJS43" s="836"/>
      <c r="BJT43" s="836"/>
      <c r="BJU43" s="836"/>
      <c r="BJV43" s="836"/>
      <c r="BJW43" s="836"/>
      <c r="BJX43" s="836"/>
      <c r="BJY43" s="836"/>
      <c r="BJZ43" s="836"/>
      <c r="BKA43" s="836"/>
      <c r="BKB43" s="836"/>
      <c r="BKC43" s="836"/>
      <c r="BKD43" s="836"/>
      <c r="BKE43" s="836"/>
      <c r="BKF43" s="836"/>
      <c r="BKG43" s="836"/>
      <c r="BKH43" s="836"/>
      <c r="BKI43" s="836"/>
      <c r="BKJ43" s="836"/>
      <c r="BKK43" s="836"/>
      <c r="BKL43" s="836"/>
      <c r="BKM43" s="836"/>
      <c r="BKN43" s="836"/>
      <c r="BKO43" s="836"/>
      <c r="BKP43" s="836"/>
      <c r="BKQ43" s="836"/>
      <c r="BKR43" s="836"/>
      <c r="BKS43" s="836"/>
      <c r="BKT43" s="836"/>
      <c r="BKU43" s="836"/>
      <c r="BKV43" s="836"/>
      <c r="BKW43" s="836"/>
      <c r="BKX43" s="836"/>
      <c r="BKY43" s="836"/>
      <c r="BKZ43" s="836"/>
      <c r="BLA43" s="836"/>
      <c r="BLB43" s="836"/>
      <c r="BLC43" s="836"/>
      <c r="BLD43" s="836"/>
      <c r="BLE43" s="836"/>
      <c r="BLF43" s="836"/>
      <c r="BLG43" s="836"/>
      <c r="BLH43" s="836"/>
      <c r="BLI43" s="836"/>
      <c r="BLJ43" s="836"/>
      <c r="BLK43" s="836"/>
      <c r="BLL43" s="836"/>
      <c r="BLM43" s="836"/>
      <c r="BLN43" s="836"/>
      <c r="BLO43" s="836"/>
      <c r="BLP43" s="836"/>
      <c r="BLQ43" s="836"/>
      <c r="BLR43" s="836"/>
      <c r="BLS43" s="836"/>
      <c r="BLT43" s="836"/>
      <c r="BLU43" s="836"/>
      <c r="BLV43" s="836"/>
      <c r="BLW43" s="836"/>
      <c r="BLX43" s="836"/>
      <c r="BLY43" s="836"/>
      <c r="BLZ43" s="836"/>
      <c r="BMA43" s="836"/>
      <c r="BMB43" s="836"/>
      <c r="BMC43" s="836"/>
      <c r="BMD43" s="836"/>
      <c r="BME43" s="836"/>
      <c r="BMF43" s="836"/>
      <c r="BMG43" s="836"/>
      <c r="BMH43" s="836"/>
      <c r="BMI43" s="836"/>
      <c r="BMJ43" s="836"/>
      <c r="BMK43" s="836"/>
      <c r="BML43" s="836"/>
      <c r="BMM43" s="836"/>
      <c r="BMN43" s="836"/>
      <c r="BMO43" s="836"/>
      <c r="BMP43" s="836"/>
      <c r="BMQ43" s="836"/>
      <c r="BMR43" s="836"/>
      <c r="BMS43" s="836"/>
      <c r="BMT43" s="836"/>
      <c r="BMU43" s="836"/>
      <c r="BMV43" s="836"/>
      <c r="BMW43" s="836"/>
      <c r="BMX43" s="836"/>
      <c r="BMY43" s="836"/>
      <c r="BMZ43" s="836"/>
      <c r="BNA43" s="836"/>
      <c r="BNB43" s="836"/>
      <c r="BNC43" s="836"/>
      <c r="BND43" s="836"/>
      <c r="BNE43" s="836"/>
      <c r="BNF43" s="836"/>
      <c r="BNG43" s="836"/>
      <c r="BNH43" s="836"/>
      <c r="BNI43" s="836"/>
      <c r="BNJ43" s="836"/>
      <c r="BNK43" s="836"/>
      <c r="BNL43" s="836"/>
      <c r="BNM43" s="836"/>
      <c r="BNN43" s="836"/>
      <c r="BNO43" s="836"/>
      <c r="BNP43" s="836"/>
      <c r="BNQ43" s="836"/>
      <c r="BNR43" s="836"/>
      <c r="BNS43" s="836"/>
      <c r="BNT43" s="836"/>
      <c r="BNU43" s="836"/>
      <c r="BNV43" s="836"/>
      <c r="BNW43" s="836"/>
      <c r="BNX43" s="836"/>
      <c r="BNY43" s="836"/>
      <c r="BNZ43" s="836"/>
      <c r="BOA43" s="836"/>
      <c r="BOB43" s="836"/>
      <c r="BOC43" s="836"/>
      <c r="BOD43" s="836"/>
      <c r="BOE43" s="836"/>
      <c r="BOF43" s="836"/>
      <c r="BOG43" s="836"/>
      <c r="BOH43" s="836"/>
      <c r="BOI43" s="836"/>
      <c r="BOJ43" s="836"/>
      <c r="BOK43" s="836"/>
      <c r="BOL43" s="836"/>
      <c r="BOM43" s="836"/>
      <c r="BON43" s="836"/>
      <c r="BOO43" s="836"/>
      <c r="BOP43" s="836"/>
      <c r="BOQ43" s="836"/>
      <c r="BOR43" s="836"/>
      <c r="BOS43" s="836"/>
      <c r="BOT43" s="836"/>
      <c r="BOU43" s="836"/>
      <c r="BOV43" s="836"/>
      <c r="BOW43" s="836"/>
      <c r="BOX43" s="836"/>
      <c r="BOY43" s="836"/>
      <c r="BOZ43" s="836"/>
      <c r="BPA43" s="836"/>
      <c r="BPB43" s="836"/>
      <c r="BPC43" s="836"/>
      <c r="BPD43" s="836"/>
      <c r="BPE43" s="836"/>
      <c r="BPF43" s="836"/>
      <c r="BPG43" s="836"/>
      <c r="BPH43" s="836"/>
      <c r="BPI43" s="836"/>
      <c r="BPJ43" s="836"/>
      <c r="BPK43" s="836"/>
      <c r="BPL43" s="836"/>
      <c r="BPM43" s="836"/>
      <c r="BPN43" s="836"/>
      <c r="BPO43" s="836"/>
      <c r="BPP43" s="836"/>
      <c r="BPQ43" s="836"/>
      <c r="BPR43" s="836"/>
      <c r="BPS43" s="836"/>
      <c r="BPT43" s="836"/>
      <c r="BPU43" s="836"/>
      <c r="BPV43" s="836"/>
      <c r="BPW43" s="836"/>
      <c r="BPX43" s="836"/>
      <c r="BPY43" s="836"/>
      <c r="BPZ43" s="836"/>
      <c r="BQA43" s="836"/>
      <c r="BQB43" s="836"/>
      <c r="BQC43" s="836"/>
      <c r="BQD43" s="836"/>
      <c r="BQE43" s="836"/>
      <c r="BQF43" s="836"/>
      <c r="BQG43" s="836"/>
      <c r="BQH43" s="836"/>
      <c r="BQI43" s="836"/>
      <c r="BQJ43" s="836"/>
      <c r="BQK43" s="836"/>
      <c r="BQL43" s="836"/>
      <c r="BQM43" s="836"/>
      <c r="BQN43" s="836"/>
      <c r="BQO43" s="836"/>
      <c r="BQP43" s="836"/>
      <c r="BQQ43" s="836"/>
      <c r="BQR43" s="836"/>
      <c r="BQS43" s="836"/>
      <c r="BQT43" s="836"/>
      <c r="BQU43" s="836"/>
      <c r="BQV43" s="836"/>
      <c r="BQW43" s="836"/>
      <c r="BQX43" s="836"/>
      <c r="BQY43" s="836"/>
      <c r="BQZ43" s="836"/>
      <c r="BRA43" s="836"/>
      <c r="BRB43" s="836"/>
      <c r="BRC43" s="836"/>
      <c r="BRD43" s="836"/>
      <c r="BRE43" s="836"/>
      <c r="BRF43" s="836"/>
      <c r="BRG43" s="836"/>
      <c r="BRH43" s="836"/>
      <c r="BRI43" s="836"/>
      <c r="BRJ43" s="836"/>
      <c r="BRK43" s="836"/>
      <c r="BRL43" s="836"/>
      <c r="BRM43" s="836"/>
      <c r="BRN43" s="836"/>
      <c r="BRO43" s="836"/>
      <c r="BRP43" s="836"/>
      <c r="BRQ43" s="836"/>
      <c r="BRR43" s="836"/>
      <c r="BRS43" s="836"/>
      <c r="BRT43" s="836"/>
      <c r="BRU43" s="836"/>
      <c r="BRV43" s="836"/>
      <c r="BRW43" s="836"/>
      <c r="BRX43" s="836"/>
      <c r="BRY43" s="836"/>
      <c r="BRZ43" s="836"/>
      <c r="BSA43" s="836"/>
      <c r="BSB43" s="836"/>
      <c r="BSC43" s="836"/>
      <c r="BSD43" s="836"/>
      <c r="BSE43" s="836"/>
      <c r="BSF43" s="836"/>
      <c r="BSG43" s="836"/>
      <c r="BSH43" s="836"/>
      <c r="BSI43" s="836"/>
      <c r="BSJ43" s="836"/>
      <c r="BSK43" s="836"/>
      <c r="BSL43" s="836"/>
      <c r="BSM43" s="836"/>
      <c r="BSN43" s="836"/>
      <c r="BSO43" s="836"/>
      <c r="BSP43" s="836"/>
      <c r="BSQ43" s="836"/>
      <c r="BSR43" s="836"/>
      <c r="BSS43" s="836"/>
      <c r="BST43" s="836"/>
    </row>
    <row r="44" spans="1:1866" s="832" customFormat="1" ht="21.9" customHeight="1" collapsed="1" x14ac:dyDescent="0.25">
      <c r="A44" s="836"/>
      <c r="B44" s="3191"/>
      <c r="C44" s="3192"/>
      <c r="D44" s="3163"/>
      <c r="E44" s="1440"/>
      <c r="F44" s="1440"/>
      <c r="G44" s="1440"/>
      <c r="H44" s="1440"/>
      <c r="I44" s="1440"/>
      <c r="J44" s="1440"/>
      <c r="K44" s="1440"/>
      <c r="L44" s="1440"/>
      <c r="M44" s="1440"/>
      <c r="N44" s="1440"/>
      <c r="O44" s="1440"/>
      <c r="P44" s="1440"/>
      <c r="Q44" s="1440"/>
      <c r="R44" s="1440"/>
      <c r="S44" s="1440"/>
      <c r="T44" s="1440"/>
      <c r="U44" s="1440"/>
      <c r="V44" s="1275"/>
      <c r="W44" s="835"/>
      <c r="X44" s="835"/>
      <c r="Y44" s="835"/>
      <c r="Z44" s="835"/>
      <c r="AA44" s="869"/>
      <c r="AB44" s="835"/>
      <c r="AC44" s="835"/>
      <c r="AD44" s="835"/>
      <c r="AE44" s="835"/>
      <c r="AF44" s="835"/>
      <c r="AG44" s="835"/>
      <c r="AH44" s="835"/>
      <c r="AI44" s="835"/>
      <c r="AJ44" s="835"/>
      <c r="AK44" s="835"/>
      <c r="AL44" s="835"/>
      <c r="AM44" s="836"/>
      <c r="AN44" s="836"/>
      <c r="AO44" s="836"/>
      <c r="AP44" s="836"/>
      <c r="AQ44" s="836"/>
      <c r="AR44" s="836"/>
      <c r="AS44" s="836"/>
      <c r="AT44" s="836"/>
      <c r="AU44" s="836"/>
      <c r="AV44" s="836"/>
      <c r="AW44" s="836"/>
      <c r="AX44" s="836"/>
      <c r="AY44" s="836"/>
      <c r="AZ44" s="836"/>
      <c r="BA44" s="836"/>
      <c r="BB44" s="836"/>
      <c r="BC44" s="836"/>
      <c r="BD44" s="836"/>
      <c r="BE44" s="836"/>
      <c r="BF44" s="836"/>
      <c r="BG44" s="836"/>
      <c r="BH44" s="836"/>
      <c r="BI44" s="836"/>
      <c r="BJ44" s="836"/>
      <c r="BK44" s="836"/>
      <c r="BL44" s="836"/>
      <c r="BM44" s="836"/>
      <c r="BN44" s="836"/>
      <c r="BO44" s="836"/>
      <c r="BP44" s="836"/>
      <c r="BQ44" s="836"/>
      <c r="BR44" s="836"/>
      <c r="BS44" s="836"/>
      <c r="BT44" s="836"/>
      <c r="BU44" s="836"/>
      <c r="BV44" s="836"/>
      <c r="BW44" s="836"/>
      <c r="BX44" s="836"/>
      <c r="BY44" s="836"/>
      <c r="BZ44" s="836"/>
      <c r="CA44" s="836"/>
      <c r="CB44" s="836"/>
      <c r="CC44" s="836"/>
      <c r="CD44" s="836"/>
      <c r="CE44" s="836"/>
      <c r="CF44" s="836"/>
      <c r="CG44" s="836"/>
      <c r="CH44" s="836"/>
      <c r="CI44" s="836"/>
      <c r="CJ44" s="836"/>
      <c r="CK44" s="836"/>
      <c r="CL44" s="836"/>
      <c r="CM44" s="836"/>
      <c r="CN44" s="836"/>
      <c r="CO44" s="836"/>
      <c r="CP44" s="836"/>
      <c r="CQ44" s="836"/>
      <c r="CR44" s="836"/>
      <c r="CS44" s="836"/>
      <c r="CT44" s="836"/>
      <c r="CU44" s="836"/>
      <c r="CV44" s="836"/>
      <c r="CW44" s="836"/>
      <c r="CX44" s="836"/>
      <c r="CY44" s="836"/>
      <c r="CZ44" s="836"/>
      <c r="DA44" s="836"/>
      <c r="DB44" s="836"/>
      <c r="DC44" s="836"/>
      <c r="DD44" s="836"/>
      <c r="DE44" s="836"/>
      <c r="DF44" s="836"/>
      <c r="DG44" s="836"/>
      <c r="DH44" s="836"/>
      <c r="DI44" s="836"/>
      <c r="DJ44" s="836"/>
      <c r="DK44" s="836"/>
      <c r="DL44" s="836"/>
      <c r="DM44" s="836"/>
      <c r="DN44" s="836"/>
      <c r="DO44" s="836"/>
      <c r="DP44" s="836"/>
      <c r="DQ44" s="836"/>
      <c r="DR44" s="836"/>
      <c r="DS44" s="836"/>
      <c r="DT44" s="836"/>
      <c r="DU44" s="836"/>
      <c r="DV44" s="836"/>
      <c r="DW44" s="836"/>
      <c r="DX44" s="836"/>
      <c r="DY44" s="836"/>
      <c r="DZ44" s="836"/>
      <c r="EA44" s="836"/>
      <c r="EB44" s="836"/>
      <c r="EC44" s="836"/>
      <c r="ED44" s="836"/>
      <c r="EE44" s="836"/>
      <c r="EF44" s="836"/>
      <c r="EG44" s="836"/>
      <c r="EH44" s="836"/>
      <c r="EI44" s="836"/>
      <c r="EJ44" s="836"/>
      <c r="EK44" s="836"/>
      <c r="EL44" s="836"/>
      <c r="EM44" s="836"/>
      <c r="EN44" s="836"/>
      <c r="EO44" s="836"/>
      <c r="EP44" s="836"/>
      <c r="EQ44" s="836"/>
      <c r="ER44" s="836"/>
      <c r="ES44" s="836"/>
      <c r="ET44" s="836"/>
      <c r="EU44" s="836"/>
      <c r="EV44" s="836"/>
      <c r="EW44" s="836"/>
      <c r="EX44" s="836"/>
      <c r="EY44" s="836"/>
      <c r="EZ44" s="836"/>
      <c r="FA44" s="836"/>
      <c r="FB44" s="836"/>
      <c r="FC44" s="836"/>
      <c r="FD44" s="836"/>
      <c r="FE44" s="836"/>
      <c r="FF44" s="836"/>
      <c r="FG44" s="836"/>
      <c r="FH44" s="836"/>
      <c r="FI44" s="836"/>
      <c r="FJ44" s="836"/>
      <c r="FK44" s="836"/>
      <c r="FL44" s="836"/>
      <c r="FM44" s="836"/>
      <c r="FN44" s="836"/>
      <c r="FO44" s="836"/>
      <c r="FP44" s="836"/>
      <c r="FQ44" s="836"/>
      <c r="FR44" s="836"/>
      <c r="FS44" s="836"/>
      <c r="FT44" s="836"/>
      <c r="FU44" s="836"/>
      <c r="FV44" s="836"/>
      <c r="FW44" s="836"/>
      <c r="FX44" s="836"/>
      <c r="FY44" s="836"/>
      <c r="FZ44" s="836"/>
      <c r="GA44" s="836"/>
      <c r="GB44" s="836"/>
      <c r="GC44" s="836"/>
      <c r="GD44" s="836"/>
      <c r="GE44" s="836"/>
      <c r="GF44" s="836"/>
      <c r="GG44" s="836"/>
      <c r="GH44" s="836"/>
      <c r="GI44" s="836"/>
      <c r="GJ44" s="836"/>
      <c r="GK44" s="836"/>
      <c r="GL44" s="836"/>
      <c r="GM44" s="836"/>
      <c r="GN44" s="836"/>
      <c r="GO44" s="836"/>
      <c r="GP44" s="836"/>
      <c r="GQ44" s="836"/>
      <c r="GR44" s="836"/>
      <c r="GS44" s="836"/>
      <c r="GT44" s="836"/>
      <c r="GU44" s="836"/>
      <c r="GV44" s="836"/>
      <c r="GW44" s="836"/>
      <c r="GX44" s="836"/>
      <c r="GY44" s="836"/>
      <c r="GZ44" s="836"/>
      <c r="HA44" s="836"/>
      <c r="HB44" s="836"/>
      <c r="HC44" s="836"/>
      <c r="HD44" s="836"/>
      <c r="HE44" s="836"/>
      <c r="HF44" s="836"/>
      <c r="HG44" s="836"/>
      <c r="HH44" s="836"/>
      <c r="HI44" s="836"/>
      <c r="HJ44" s="836"/>
      <c r="HK44" s="836"/>
      <c r="HL44" s="836"/>
      <c r="HM44" s="836"/>
      <c r="HN44" s="836"/>
      <c r="HO44" s="836"/>
      <c r="HP44" s="836"/>
      <c r="HQ44" s="836"/>
      <c r="HR44" s="836"/>
      <c r="HS44" s="836"/>
      <c r="HT44" s="836"/>
      <c r="HU44" s="836"/>
      <c r="HV44" s="836"/>
      <c r="HW44" s="836"/>
      <c r="HX44" s="836"/>
      <c r="HY44" s="836"/>
      <c r="HZ44" s="836"/>
      <c r="IA44" s="836"/>
      <c r="IB44" s="836"/>
      <c r="IC44" s="836"/>
      <c r="ID44" s="836"/>
      <c r="IE44" s="836"/>
      <c r="IF44" s="836"/>
      <c r="IG44" s="836"/>
      <c r="IH44" s="836"/>
      <c r="II44" s="836"/>
      <c r="IJ44" s="836"/>
      <c r="IK44" s="836"/>
      <c r="IL44" s="836"/>
      <c r="IM44" s="836"/>
      <c r="IN44" s="836"/>
      <c r="IO44" s="836"/>
      <c r="IP44" s="836"/>
      <c r="IQ44" s="836"/>
      <c r="IR44" s="836"/>
      <c r="IS44" s="836"/>
      <c r="IT44" s="836"/>
      <c r="IU44" s="836"/>
      <c r="IV44" s="836"/>
      <c r="IW44" s="836"/>
      <c r="IX44" s="836"/>
      <c r="IY44" s="836"/>
      <c r="IZ44" s="836"/>
      <c r="JA44" s="836"/>
      <c r="JB44" s="836"/>
      <c r="JC44" s="836"/>
      <c r="JD44" s="836"/>
      <c r="JE44" s="836"/>
      <c r="JF44" s="836"/>
      <c r="JG44" s="836"/>
      <c r="JH44" s="836"/>
      <c r="JI44" s="836"/>
      <c r="JJ44" s="836"/>
      <c r="JK44" s="836"/>
      <c r="JL44" s="836"/>
      <c r="JM44" s="836"/>
      <c r="JN44" s="836"/>
      <c r="JO44" s="836"/>
      <c r="JP44" s="836"/>
      <c r="JQ44" s="836"/>
      <c r="JR44" s="836"/>
      <c r="JS44" s="836"/>
      <c r="JT44" s="836"/>
      <c r="JU44" s="836"/>
      <c r="JV44" s="836"/>
      <c r="JW44" s="836"/>
      <c r="JX44" s="836"/>
      <c r="JY44" s="836"/>
      <c r="JZ44" s="836"/>
      <c r="KA44" s="836"/>
      <c r="KB44" s="836"/>
      <c r="KC44" s="836"/>
      <c r="KD44" s="836"/>
      <c r="KE44" s="836"/>
      <c r="KF44" s="836"/>
      <c r="KG44" s="836"/>
      <c r="KH44" s="836"/>
      <c r="KI44" s="836"/>
      <c r="KJ44" s="836"/>
      <c r="KK44" s="836"/>
      <c r="KL44" s="836"/>
      <c r="KM44" s="836"/>
      <c r="KN44" s="836"/>
      <c r="KO44" s="836"/>
      <c r="KP44" s="836"/>
      <c r="KQ44" s="836"/>
      <c r="KR44" s="836"/>
      <c r="KS44" s="836"/>
      <c r="KT44" s="836"/>
      <c r="KU44" s="836"/>
      <c r="KV44" s="836"/>
      <c r="KW44" s="836"/>
      <c r="KX44" s="836"/>
      <c r="KY44" s="836"/>
      <c r="KZ44" s="836"/>
      <c r="LA44" s="836"/>
      <c r="LB44" s="836"/>
      <c r="LC44" s="836"/>
      <c r="LD44" s="836"/>
      <c r="LE44" s="836"/>
      <c r="LF44" s="836"/>
      <c r="LG44" s="836"/>
      <c r="LH44" s="836"/>
      <c r="LI44" s="836"/>
      <c r="LJ44" s="836"/>
      <c r="LK44" s="836"/>
      <c r="LL44" s="836"/>
      <c r="LM44" s="836"/>
      <c r="LN44" s="836"/>
      <c r="LO44" s="836"/>
      <c r="LP44" s="836"/>
      <c r="LQ44" s="836"/>
      <c r="LR44" s="836"/>
      <c r="LS44" s="836"/>
      <c r="LT44" s="836"/>
      <c r="LU44" s="836"/>
      <c r="LV44" s="836"/>
      <c r="LW44" s="836"/>
      <c r="LX44" s="836"/>
      <c r="LY44" s="836"/>
      <c r="LZ44" s="836"/>
      <c r="MA44" s="836"/>
      <c r="MB44" s="836"/>
      <c r="MC44" s="836"/>
      <c r="MD44" s="836"/>
      <c r="ME44" s="836"/>
      <c r="MF44" s="836"/>
      <c r="MG44" s="836"/>
      <c r="MH44" s="836"/>
      <c r="MI44" s="836"/>
      <c r="MJ44" s="836"/>
      <c r="MK44" s="836"/>
      <c r="ML44" s="836"/>
      <c r="MM44" s="836"/>
      <c r="MN44" s="836"/>
      <c r="MO44" s="836"/>
      <c r="MP44" s="836"/>
      <c r="MQ44" s="836"/>
      <c r="MR44" s="836"/>
      <c r="MS44" s="836"/>
      <c r="MT44" s="836"/>
      <c r="MU44" s="836"/>
      <c r="MV44" s="836"/>
      <c r="MW44" s="836"/>
      <c r="MX44" s="836"/>
      <c r="MY44" s="836"/>
      <c r="MZ44" s="836"/>
      <c r="NA44" s="836"/>
      <c r="NB44" s="836"/>
      <c r="NC44" s="836"/>
      <c r="ND44" s="836"/>
      <c r="NE44" s="836"/>
      <c r="NF44" s="836"/>
      <c r="NG44" s="836"/>
      <c r="NH44" s="836"/>
      <c r="NI44" s="836"/>
      <c r="NJ44" s="836"/>
      <c r="NK44" s="836"/>
      <c r="NL44" s="836"/>
      <c r="NM44" s="836"/>
      <c r="NN44" s="836"/>
      <c r="NO44" s="836"/>
      <c r="NP44" s="836"/>
      <c r="NQ44" s="836"/>
      <c r="NR44" s="836"/>
      <c r="NS44" s="836"/>
      <c r="NT44" s="836"/>
      <c r="NU44" s="836"/>
      <c r="NV44" s="836"/>
      <c r="NW44" s="836"/>
      <c r="NX44" s="836"/>
      <c r="NY44" s="836"/>
      <c r="NZ44" s="836"/>
      <c r="OA44" s="836"/>
      <c r="OB44" s="836"/>
      <c r="OC44" s="836"/>
      <c r="OD44" s="836"/>
      <c r="OE44" s="836"/>
      <c r="OF44" s="836"/>
      <c r="OG44" s="836"/>
      <c r="OH44" s="836"/>
      <c r="OI44" s="836"/>
      <c r="OJ44" s="836"/>
      <c r="OK44" s="836"/>
      <c r="OL44" s="836"/>
      <c r="OM44" s="836"/>
      <c r="ON44" s="836"/>
      <c r="OO44" s="836"/>
      <c r="OP44" s="836"/>
      <c r="OQ44" s="836"/>
      <c r="OR44" s="836"/>
      <c r="OS44" s="836"/>
      <c r="OT44" s="836"/>
      <c r="OU44" s="836"/>
      <c r="OV44" s="836"/>
      <c r="OW44" s="836"/>
      <c r="OX44" s="836"/>
      <c r="OY44" s="836"/>
      <c r="OZ44" s="836"/>
      <c r="PA44" s="836"/>
      <c r="PB44" s="836"/>
      <c r="PC44" s="836"/>
      <c r="PD44" s="836"/>
      <c r="PE44" s="836"/>
      <c r="PF44" s="836"/>
      <c r="PG44" s="836"/>
      <c r="PH44" s="836"/>
      <c r="PI44" s="836"/>
      <c r="PJ44" s="836"/>
      <c r="PK44" s="836"/>
      <c r="PL44" s="836"/>
      <c r="PM44" s="836"/>
      <c r="PN44" s="836"/>
      <c r="PO44" s="836"/>
      <c r="PP44" s="836"/>
      <c r="PQ44" s="836"/>
      <c r="PR44" s="836"/>
      <c r="PS44" s="836"/>
      <c r="PT44" s="836"/>
      <c r="PU44" s="836"/>
      <c r="PV44" s="836"/>
      <c r="PW44" s="836"/>
      <c r="PX44" s="836"/>
      <c r="PY44" s="836"/>
      <c r="PZ44" s="836"/>
      <c r="QA44" s="836"/>
      <c r="QB44" s="836"/>
      <c r="QC44" s="836"/>
      <c r="QD44" s="836"/>
      <c r="QE44" s="836"/>
      <c r="QF44" s="836"/>
      <c r="QG44" s="836"/>
      <c r="QH44" s="836"/>
      <c r="QI44" s="836"/>
      <c r="QJ44" s="836"/>
      <c r="QK44" s="836"/>
      <c r="QL44" s="836"/>
      <c r="QM44" s="836"/>
      <c r="QN44" s="836"/>
      <c r="QO44" s="836"/>
      <c r="QP44" s="836"/>
      <c r="QQ44" s="836"/>
      <c r="QR44" s="836"/>
      <c r="QS44" s="836"/>
      <c r="QT44" s="836"/>
      <c r="QU44" s="836"/>
      <c r="QV44" s="836"/>
      <c r="QW44" s="836"/>
      <c r="QX44" s="836"/>
      <c r="QY44" s="836"/>
      <c r="QZ44" s="836"/>
      <c r="RA44" s="836"/>
      <c r="RB44" s="836"/>
      <c r="RC44" s="836"/>
      <c r="RD44" s="836"/>
      <c r="RE44" s="836"/>
      <c r="RF44" s="836"/>
      <c r="RG44" s="836"/>
      <c r="RH44" s="836"/>
      <c r="RI44" s="836"/>
      <c r="RJ44" s="836"/>
      <c r="RK44" s="836"/>
      <c r="RL44" s="836"/>
      <c r="RM44" s="836"/>
      <c r="RN44" s="836"/>
      <c r="RO44" s="836"/>
      <c r="RP44" s="836"/>
      <c r="RQ44" s="836"/>
      <c r="RR44" s="836"/>
      <c r="RS44" s="836"/>
      <c r="RT44" s="836"/>
      <c r="RU44" s="836"/>
      <c r="RV44" s="836"/>
      <c r="RW44" s="836"/>
      <c r="RX44" s="836"/>
      <c r="RY44" s="836"/>
      <c r="RZ44" s="836"/>
      <c r="SA44" s="836"/>
      <c r="SB44" s="836"/>
      <c r="SC44" s="836"/>
      <c r="SD44" s="836"/>
      <c r="SE44" s="836"/>
      <c r="SF44" s="836"/>
      <c r="SG44" s="836"/>
      <c r="SH44" s="836"/>
      <c r="SI44" s="836"/>
      <c r="SJ44" s="836"/>
      <c r="SK44" s="836"/>
      <c r="SL44" s="836"/>
      <c r="SM44" s="836"/>
      <c r="SN44" s="836"/>
      <c r="SO44" s="836"/>
      <c r="SP44" s="836"/>
      <c r="SQ44" s="836"/>
      <c r="SR44" s="836"/>
      <c r="SS44" s="836"/>
      <c r="ST44" s="836"/>
      <c r="SU44" s="836"/>
      <c r="SV44" s="836"/>
      <c r="SW44" s="836"/>
      <c r="SX44" s="836"/>
      <c r="SY44" s="836"/>
      <c r="SZ44" s="836"/>
      <c r="TA44" s="836"/>
      <c r="TB44" s="836"/>
      <c r="TC44" s="836"/>
      <c r="TD44" s="836"/>
      <c r="TE44" s="836"/>
      <c r="TF44" s="836"/>
      <c r="TG44" s="836"/>
      <c r="TH44" s="836"/>
      <c r="TI44" s="836"/>
      <c r="TJ44" s="836"/>
      <c r="TK44" s="836"/>
      <c r="TL44" s="836"/>
      <c r="TM44" s="836"/>
      <c r="TN44" s="836"/>
      <c r="TO44" s="836"/>
      <c r="TP44" s="836"/>
      <c r="TQ44" s="836"/>
      <c r="TR44" s="836"/>
      <c r="TS44" s="836"/>
      <c r="TT44" s="836"/>
      <c r="TU44" s="836"/>
      <c r="TV44" s="836"/>
      <c r="TW44" s="836"/>
      <c r="TX44" s="836"/>
      <c r="TY44" s="836"/>
      <c r="TZ44" s="836"/>
      <c r="UA44" s="836"/>
      <c r="UB44" s="836"/>
      <c r="UC44" s="836"/>
      <c r="UD44" s="836"/>
      <c r="UE44" s="836"/>
      <c r="UF44" s="836"/>
      <c r="UG44" s="836"/>
      <c r="UH44" s="836"/>
      <c r="UI44" s="836"/>
      <c r="UJ44" s="836"/>
      <c r="UK44" s="836"/>
      <c r="UL44" s="836"/>
      <c r="UM44" s="836"/>
      <c r="UN44" s="836"/>
      <c r="UO44" s="836"/>
      <c r="UP44" s="836"/>
      <c r="UQ44" s="836"/>
      <c r="UR44" s="836"/>
      <c r="US44" s="836"/>
      <c r="UT44" s="836"/>
      <c r="UU44" s="836"/>
      <c r="UV44" s="836"/>
      <c r="UW44" s="836"/>
      <c r="UX44" s="836"/>
      <c r="UY44" s="836"/>
      <c r="UZ44" s="836"/>
      <c r="VA44" s="836"/>
      <c r="VB44" s="836"/>
      <c r="VC44" s="836"/>
      <c r="VD44" s="836"/>
      <c r="VE44" s="836"/>
      <c r="VF44" s="836"/>
      <c r="VG44" s="836"/>
      <c r="VH44" s="836"/>
      <c r="VI44" s="836"/>
      <c r="VJ44" s="836"/>
      <c r="VK44" s="836"/>
      <c r="VL44" s="836"/>
      <c r="VM44" s="836"/>
      <c r="VN44" s="836"/>
      <c r="VO44" s="836"/>
      <c r="VP44" s="836"/>
      <c r="VQ44" s="836"/>
      <c r="VR44" s="836"/>
      <c r="VS44" s="836"/>
      <c r="VT44" s="836"/>
      <c r="VU44" s="836"/>
      <c r="VV44" s="836"/>
      <c r="VW44" s="836"/>
      <c r="VX44" s="836"/>
      <c r="VY44" s="836"/>
      <c r="VZ44" s="836"/>
      <c r="WA44" s="836"/>
      <c r="WB44" s="836"/>
      <c r="WC44" s="836"/>
      <c r="WD44" s="836"/>
      <c r="WE44" s="836"/>
      <c r="WF44" s="836"/>
      <c r="WG44" s="836"/>
      <c r="WH44" s="836"/>
      <c r="WI44" s="836"/>
      <c r="WJ44" s="836"/>
      <c r="WK44" s="836"/>
      <c r="WL44" s="836"/>
      <c r="WM44" s="836"/>
      <c r="WN44" s="836"/>
      <c r="WO44" s="836"/>
      <c r="WP44" s="836"/>
      <c r="WQ44" s="836"/>
      <c r="WR44" s="836"/>
      <c r="WS44" s="836"/>
      <c r="WT44" s="836"/>
      <c r="WU44" s="836"/>
      <c r="WV44" s="836"/>
      <c r="WW44" s="836"/>
      <c r="WX44" s="836"/>
      <c r="WY44" s="836"/>
      <c r="WZ44" s="836"/>
      <c r="XA44" s="836"/>
      <c r="XB44" s="836"/>
      <c r="XC44" s="836"/>
      <c r="XD44" s="836"/>
      <c r="XE44" s="836"/>
      <c r="XF44" s="836"/>
      <c r="XG44" s="836"/>
      <c r="XH44" s="836"/>
      <c r="XI44" s="836"/>
      <c r="XJ44" s="836"/>
      <c r="XK44" s="836"/>
      <c r="XL44" s="836"/>
      <c r="XM44" s="836"/>
      <c r="XN44" s="836"/>
      <c r="XO44" s="836"/>
      <c r="XP44" s="836"/>
      <c r="XQ44" s="836"/>
      <c r="XR44" s="836"/>
      <c r="XS44" s="836"/>
      <c r="XT44" s="836"/>
      <c r="XU44" s="836"/>
      <c r="XV44" s="836"/>
      <c r="XW44" s="836"/>
      <c r="XX44" s="836"/>
      <c r="XY44" s="836"/>
      <c r="XZ44" s="836"/>
      <c r="YA44" s="836"/>
      <c r="YB44" s="836"/>
      <c r="YC44" s="836"/>
      <c r="YD44" s="836"/>
      <c r="YE44" s="836"/>
      <c r="YF44" s="836"/>
      <c r="YG44" s="836"/>
      <c r="YH44" s="836"/>
      <c r="YI44" s="836"/>
      <c r="YJ44" s="836"/>
      <c r="YK44" s="836"/>
      <c r="YL44" s="836"/>
      <c r="YM44" s="836"/>
      <c r="YN44" s="836"/>
      <c r="YO44" s="836"/>
      <c r="YP44" s="836"/>
      <c r="YQ44" s="836"/>
      <c r="YR44" s="836"/>
      <c r="YS44" s="836"/>
      <c r="YT44" s="836"/>
      <c r="YU44" s="836"/>
      <c r="YV44" s="836"/>
      <c r="YW44" s="836"/>
      <c r="YX44" s="836"/>
      <c r="YY44" s="836"/>
      <c r="YZ44" s="836"/>
      <c r="ZA44" s="836"/>
      <c r="ZB44" s="836"/>
      <c r="ZC44" s="836"/>
      <c r="ZD44" s="836"/>
      <c r="ZE44" s="836"/>
      <c r="ZF44" s="836"/>
      <c r="ZG44" s="836"/>
      <c r="ZH44" s="836"/>
      <c r="ZI44" s="836"/>
      <c r="ZJ44" s="836"/>
      <c r="ZK44" s="836"/>
      <c r="ZL44" s="836"/>
      <c r="ZM44" s="836"/>
      <c r="ZN44" s="836"/>
      <c r="ZO44" s="836"/>
      <c r="ZP44" s="836"/>
      <c r="ZQ44" s="836"/>
      <c r="ZR44" s="836"/>
      <c r="ZS44" s="836"/>
      <c r="ZT44" s="836"/>
      <c r="ZU44" s="836"/>
      <c r="ZV44" s="836"/>
      <c r="ZW44" s="836"/>
      <c r="ZX44" s="836"/>
      <c r="ZY44" s="836"/>
      <c r="ZZ44" s="836"/>
      <c r="AAA44" s="836"/>
      <c r="AAB44" s="836"/>
      <c r="AAC44" s="836"/>
      <c r="AAD44" s="836"/>
      <c r="AAE44" s="836"/>
      <c r="AAF44" s="836"/>
      <c r="AAG44" s="836"/>
      <c r="AAH44" s="836"/>
      <c r="AAI44" s="836"/>
      <c r="AAJ44" s="836"/>
      <c r="AAK44" s="836"/>
      <c r="AAL44" s="836"/>
      <c r="AAM44" s="836"/>
      <c r="AAN44" s="836"/>
      <c r="AAO44" s="836"/>
      <c r="AAP44" s="836"/>
      <c r="AAQ44" s="836"/>
      <c r="AAR44" s="836"/>
      <c r="AAS44" s="836"/>
      <c r="AAT44" s="836"/>
      <c r="AAU44" s="836"/>
      <c r="AAV44" s="836"/>
      <c r="AAW44" s="836"/>
      <c r="AAX44" s="836"/>
      <c r="AAY44" s="836"/>
      <c r="AAZ44" s="836"/>
      <c r="ABA44" s="836"/>
      <c r="ABB44" s="836"/>
      <c r="ABC44" s="836"/>
      <c r="ABD44" s="836"/>
      <c r="ABE44" s="836"/>
      <c r="ABF44" s="836"/>
      <c r="ABG44" s="836"/>
      <c r="ABH44" s="836"/>
      <c r="ABI44" s="836"/>
      <c r="ABJ44" s="836"/>
      <c r="ABK44" s="836"/>
      <c r="ABL44" s="836"/>
      <c r="ABM44" s="836"/>
      <c r="ABN44" s="836"/>
      <c r="ABO44" s="836"/>
      <c r="ABP44" s="836"/>
      <c r="ABQ44" s="836"/>
      <c r="ABR44" s="836"/>
      <c r="ABS44" s="836"/>
      <c r="ABT44" s="836"/>
      <c r="ABU44" s="836"/>
      <c r="ABV44" s="836"/>
      <c r="ABW44" s="836"/>
      <c r="ABX44" s="836"/>
      <c r="ABY44" s="836"/>
      <c r="ABZ44" s="836"/>
      <c r="ACA44" s="836"/>
      <c r="ACB44" s="836"/>
      <c r="ACC44" s="836"/>
      <c r="ACD44" s="836"/>
      <c r="ACE44" s="836"/>
      <c r="ACF44" s="836"/>
      <c r="ACG44" s="836"/>
      <c r="ACH44" s="836"/>
      <c r="ACI44" s="836"/>
      <c r="ACJ44" s="836"/>
      <c r="ACK44" s="836"/>
      <c r="ACL44" s="836"/>
      <c r="ACM44" s="836"/>
      <c r="ACN44" s="836"/>
      <c r="ACO44" s="836"/>
      <c r="ACP44" s="836"/>
      <c r="ACQ44" s="836"/>
      <c r="ACR44" s="836"/>
      <c r="ACS44" s="836"/>
      <c r="ACT44" s="836"/>
      <c r="ACU44" s="836"/>
      <c r="ACV44" s="836"/>
      <c r="ACW44" s="836"/>
      <c r="ACX44" s="836"/>
      <c r="ACY44" s="836"/>
      <c r="ACZ44" s="836"/>
      <c r="ADA44" s="836"/>
      <c r="ADB44" s="836"/>
      <c r="ADC44" s="836"/>
      <c r="ADD44" s="836"/>
      <c r="ADE44" s="836"/>
      <c r="ADF44" s="836"/>
      <c r="ADG44" s="836"/>
      <c r="ADH44" s="836"/>
      <c r="ADI44" s="836"/>
      <c r="ADJ44" s="836"/>
      <c r="ADK44" s="836"/>
      <c r="ADL44" s="836"/>
      <c r="ADM44" s="836"/>
      <c r="ADN44" s="836"/>
      <c r="ADO44" s="836"/>
      <c r="ADP44" s="836"/>
      <c r="ADQ44" s="836"/>
      <c r="ADR44" s="836"/>
      <c r="ADS44" s="836"/>
      <c r="ADT44" s="836"/>
      <c r="ADU44" s="836"/>
      <c r="ADV44" s="836"/>
      <c r="ADW44" s="836"/>
      <c r="ADX44" s="836"/>
      <c r="ADY44" s="836"/>
      <c r="ADZ44" s="836"/>
      <c r="AEA44" s="836"/>
      <c r="AEB44" s="836"/>
      <c r="AEC44" s="836"/>
      <c r="AED44" s="836"/>
      <c r="AEE44" s="836"/>
      <c r="AEF44" s="836"/>
      <c r="AEG44" s="836"/>
      <c r="AEH44" s="836"/>
      <c r="AEI44" s="836"/>
      <c r="AEJ44" s="836"/>
      <c r="AEK44" s="836"/>
      <c r="AEL44" s="836"/>
      <c r="AEM44" s="836"/>
      <c r="AEN44" s="836"/>
      <c r="AEO44" s="836"/>
      <c r="AEP44" s="836"/>
      <c r="AEQ44" s="836"/>
      <c r="AER44" s="836"/>
      <c r="AES44" s="836"/>
      <c r="AET44" s="836"/>
      <c r="AEU44" s="836"/>
      <c r="AEV44" s="836"/>
      <c r="AEW44" s="836"/>
      <c r="AEX44" s="836"/>
      <c r="AEY44" s="836"/>
      <c r="AEZ44" s="836"/>
      <c r="AFA44" s="836"/>
      <c r="AFB44" s="836"/>
      <c r="AFC44" s="836"/>
      <c r="AFD44" s="836"/>
      <c r="AFE44" s="836"/>
      <c r="AFF44" s="836"/>
      <c r="AFG44" s="836"/>
      <c r="AFH44" s="836"/>
      <c r="AFI44" s="836"/>
      <c r="AFJ44" s="836"/>
      <c r="AFK44" s="836"/>
      <c r="AFL44" s="836"/>
      <c r="AFM44" s="836"/>
      <c r="AFN44" s="836"/>
      <c r="AFO44" s="836"/>
      <c r="AFP44" s="836"/>
      <c r="AFQ44" s="836"/>
      <c r="AFR44" s="836"/>
      <c r="AFS44" s="836"/>
      <c r="AFT44" s="836"/>
      <c r="AFU44" s="836"/>
      <c r="AFV44" s="836"/>
      <c r="AFW44" s="836"/>
      <c r="AFX44" s="836"/>
      <c r="AFY44" s="836"/>
      <c r="AFZ44" s="836"/>
      <c r="AGA44" s="836"/>
      <c r="AGB44" s="836"/>
      <c r="AGC44" s="836"/>
      <c r="AGD44" s="836"/>
      <c r="AGE44" s="836"/>
      <c r="AGF44" s="836"/>
      <c r="AGG44" s="836"/>
      <c r="AGH44" s="836"/>
      <c r="AGI44" s="836"/>
      <c r="AGJ44" s="836"/>
      <c r="AGK44" s="836"/>
      <c r="AGL44" s="836"/>
      <c r="AGM44" s="836"/>
      <c r="AGN44" s="836"/>
      <c r="AGO44" s="836"/>
      <c r="AGP44" s="836"/>
      <c r="AGQ44" s="836"/>
      <c r="AGR44" s="836"/>
      <c r="AGS44" s="836"/>
      <c r="AGT44" s="836"/>
      <c r="AGU44" s="836"/>
      <c r="AGV44" s="836"/>
      <c r="AGW44" s="836"/>
      <c r="AGX44" s="836"/>
      <c r="AGY44" s="836"/>
      <c r="AGZ44" s="836"/>
      <c r="AHA44" s="836"/>
      <c r="AHB44" s="836"/>
      <c r="AHC44" s="836"/>
      <c r="AHD44" s="836"/>
      <c r="AHE44" s="836"/>
      <c r="AHF44" s="836"/>
      <c r="AHG44" s="836"/>
      <c r="AHH44" s="836"/>
      <c r="AHI44" s="836"/>
      <c r="AHJ44" s="836"/>
      <c r="AHK44" s="836"/>
      <c r="AHL44" s="836"/>
      <c r="AHM44" s="836"/>
      <c r="AHN44" s="836"/>
      <c r="AHO44" s="836"/>
      <c r="AHP44" s="836"/>
      <c r="AHQ44" s="836"/>
      <c r="AHR44" s="836"/>
      <c r="AHS44" s="836"/>
      <c r="AHT44" s="836"/>
      <c r="AHU44" s="836"/>
      <c r="AHV44" s="836"/>
      <c r="AHW44" s="836"/>
      <c r="AHX44" s="836"/>
      <c r="AHY44" s="836"/>
      <c r="AHZ44" s="836"/>
      <c r="AIA44" s="836"/>
      <c r="AIB44" s="836"/>
      <c r="AIC44" s="836"/>
      <c r="AID44" s="836"/>
      <c r="AIE44" s="836"/>
      <c r="AIF44" s="836"/>
      <c r="AIG44" s="836"/>
      <c r="AIH44" s="836"/>
      <c r="AII44" s="836"/>
      <c r="AIJ44" s="836"/>
      <c r="AIK44" s="836"/>
      <c r="AIL44" s="836"/>
      <c r="AIM44" s="836"/>
      <c r="AIN44" s="836"/>
      <c r="AIO44" s="836"/>
      <c r="AIP44" s="836"/>
      <c r="AIQ44" s="836"/>
      <c r="AIR44" s="836"/>
      <c r="AIS44" s="836"/>
      <c r="AIT44" s="836"/>
      <c r="AIU44" s="836"/>
      <c r="AIV44" s="836"/>
      <c r="AIW44" s="836"/>
      <c r="AIX44" s="836"/>
      <c r="AIY44" s="836"/>
      <c r="AIZ44" s="836"/>
      <c r="AJA44" s="836"/>
      <c r="AJB44" s="836"/>
      <c r="AJC44" s="836"/>
      <c r="AJD44" s="836"/>
      <c r="AJE44" s="836"/>
      <c r="AJF44" s="836"/>
      <c r="AJG44" s="836"/>
      <c r="AJH44" s="836"/>
      <c r="AJI44" s="836"/>
      <c r="AJJ44" s="836"/>
      <c r="AJK44" s="836"/>
      <c r="AJL44" s="836"/>
      <c r="AJM44" s="836"/>
      <c r="AJN44" s="836"/>
      <c r="AJO44" s="836"/>
      <c r="AJP44" s="836"/>
      <c r="AJQ44" s="836"/>
      <c r="AJR44" s="836"/>
      <c r="AJS44" s="836"/>
      <c r="AJT44" s="836"/>
      <c r="AJU44" s="836"/>
      <c r="AJV44" s="836"/>
      <c r="AJW44" s="836"/>
      <c r="AJX44" s="836"/>
      <c r="AJY44" s="836"/>
      <c r="AJZ44" s="836"/>
      <c r="AKA44" s="836"/>
      <c r="AKB44" s="836"/>
      <c r="AKC44" s="836"/>
      <c r="AKD44" s="836"/>
      <c r="AKE44" s="836"/>
      <c r="AKF44" s="836"/>
      <c r="AKG44" s="836"/>
      <c r="AKH44" s="836"/>
      <c r="AKI44" s="836"/>
      <c r="AKJ44" s="836"/>
      <c r="AKK44" s="836"/>
      <c r="AKL44" s="836"/>
      <c r="AKM44" s="836"/>
      <c r="AKN44" s="836"/>
      <c r="AKO44" s="836"/>
      <c r="AKP44" s="836"/>
      <c r="AKQ44" s="836"/>
      <c r="AKR44" s="836"/>
      <c r="AKS44" s="836"/>
      <c r="AKT44" s="836"/>
      <c r="AKU44" s="836"/>
      <c r="AKV44" s="836"/>
      <c r="AKW44" s="836"/>
      <c r="AKX44" s="836"/>
      <c r="AKY44" s="836"/>
      <c r="AKZ44" s="836"/>
      <c r="ALA44" s="836"/>
      <c r="ALB44" s="836"/>
      <c r="ALC44" s="836"/>
      <c r="ALD44" s="836"/>
      <c r="ALE44" s="836"/>
      <c r="ALF44" s="836"/>
      <c r="ALG44" s="836"/>
      <c r="ALH44" s="836"/>
      <c r="ALI44" s="836"/>
      <c r="ALJ44" s="836"/>
      <c r="ALK44" s="836"/>
      <c r="ALL44" s="836"/>
      <c r="ALM44" s="836"/>
      <c r="ALN44" s="836"/>
      <c r="ALO44" s="836"/>
      <c r="ALP44" s="836"/>
      <c r="ALQ44" s="836"/>
      <c r="ALR44" s="836"/>
      <c r="ALS44" s="836"/>
      <c r="ALT44" s="836"/>
      <c r="ALU44" s="836"/>
      <c r="ALV44" s="836"/>
      <c r="ALW44" s="836"/>
      <c r="ALX44" s="836"/>
      <c r="ALY44" s="836"/>
      <c r="ALZ44" s="836"/>
      <c r="AMA44" s="836"/>
      <c r="AMB44" s="836"/>
      <c r="AMC44" s="836"/>
      <c r="AMD44" s="836"/>
      <c r="AME44" s="836"/>
      <c r="AMF44" s="836"/>
      <c r="AMG44" s="836"/>
      <c r="AMH44" s="836"/>
      <c r="AMI44" s="836"/>
      <c r="AMJ44" s="836"/>
      <c r="AMK44" s="836"/>
      <c r="AML44" s="836"/>
      <c r="AMM44" s="836"/>
      <c r="AMN44" s="836"/>
      <c r="AMO44" s="836"/>
      <c r="AMP44" s="836"/>
      <c r="AMQ44" s="836"/>
      <c r="AMR44" s="836"/>
      <c r="AMS44" s="836"/>
      <c r="AMT44" s="836"/>
      <c r="AMU44" s="836"/>
      <c r="AMV44" s="836"/>
      <c r="AMW44" s="836"/>
      <c r="AMX44" s="836"/>
      <c r="AMY44" s="836"/>
      <c r="AMZ44" s="836"/>
      <c r="ANA44" s="836"/>
      <c r="ANB44" s="836"/>
      <c r="ANC44" s="836"/>
      <c r="AND44" s="836"/>
      <c r="ANE44" s="836"/>
      <c r="ANF44" s="836"/>
      <c r="ANG44" s="836"/>
      <c r="ANH44" s="836"/>
      <c r="ANI44" s="836"/>
      <c r="ANJ44" s="836"/>
      <c r="ANK44" s="836"/>
      <c r="ANL44" s="836"/>
      <c r="ANM44" s="836"/>
      <c r="ANN44" s="836"/>
      <c r="ANO44" s="836"/>
      <c r="ANP44" s="836"/>
      <c r="ANQ44" s="836"/>
      <c r="ANR44" s="836"/>
      <c r="ANS44" s="836"/>
      <c r="ANT44" s="836"/>
      <c r="ANU44" s="836"/>
      <c r="ANV44" s="836"/>
      <c r="ANW44" s="836"/>
      <c r="ANX44" s="836"/>
      <c r="ANY44" s="836"/>
      <c r="ANZ44" s="836"/>
      <c r="AOA44" s="836"/>
      <c r="AOB44" s="836"/>
      <c r="AOC44" s="836"/>
      <c r="AOD44" s="836"/>
      <c r="AOE44" s="836"/>
      <c r="AOF44" s="836"/>
      <c r="AOG44" s="836"/>
      <c r="AOH44" s="836"/>
      <c r="AOI44" s="836"/>
      <c r="AOJ44" s="836"/>
      <c r="AOK44" s="836"/>
      <c r="AOL44" s="836"/>
      <c r="AOM44" s="836"/>
      <c r="AON44" s="836"/>
      <c r="AOO44" s="836"/>
      <c r="AOP44" s="836"/>
      <c r="AOQ44" s="836"/>
      <c r="AOR44" s="836"/>
      <c r="AOS44" s="836"/>
      <c r="AOT44" s="836"/>
      <c r="AOU44" s="836"/>
      <c r="AOV44" s="836"/>
      <c r="AOW44" s="836"/>
      <c r="AOX44" s="836"/>
      <c r="AOY44" s="836"/>
      <c r="AOZ44" s="836"/>
      <c r="APA44" s="836"/>
      <c r="APB44" s="836"/>
      <c r="APC44" s="836"/>
      <c r="APD44" s="836"/>
      <c r="APE44" s="836"/>
      <c r="APF44" s="836"/>
      <c r="APG44" s="836"/>
      <c r="APH44" s="836"/>
      <c r="API44" s="836"/>
      <c r="APJ44" s="836"/>
      <c r="APK44" s="836"/>
      <c r="APL44" s="836"/>
      <c r="APM44" s="836"/>
      <c r="APN44" s="836"/>
      <c r="APO44" s="836"/>
      <c r="APP44" s="836"/>
      <c r="APQ44" s="836"/>
      <c r="APR44" s="836"/>
      <c r="APS44" s="836"/>
      <c r="APT44" s="836"/>
      <c r="APU44" s="836"/>
      <c r="APV44" s="836"/>
      <c r="APW44" s="836"/>
      <c r="APX44" s="836"/>
      <c r="APY44" s="836"/>
      <c r="APZ44" s="836"/>
      <c r="AQA44" s="836"/>
      <c r="AQB44" s="836"/>
      <c r="AQC44" s="836"/>
      <c r="AQD44" s="836"/>
      <c r="AQE44" s="836"/>
      <c r="AQF44" s="836"/>
      <c r="AQG44" s="836"/>
      <c r="AQH44" s="836"/>
      <c r="AQI44" s="836"/>
      <c r="AQJ44" s="836"/>
      <c r="AQK44" s="836"/>
      <c r="AQL44" s="836"/>
      <c r="AQM44" s="836"/>
      <c r="AQN44" s="836"/>
      <c r="AQO44" s="836"/>
      <c r="AQP44" s="836"/>
      <c r="AQQ44" s="836"/>
      <c r="AQR44" s="836"/>
      <c r="AQS44" s="836"/>
      <c r="AQT44" s="836"/>
      <c r="AQU44" s="836"/>
      <c r="AQV44" s="836"/>
      <c r="AQW44" s="836"/>
      <c r="AQX44" s="836"/>
      <c r="AQY44" s="836"/>
      <c r="AQZ44" s="836"/>
      <c r="ARA44" s="836"/>
      <c r="ARB44" s="836"/>
      <c r="ARC44" s="836"/>
      <c r="ARD44" s="836"/>
      <c r="ARE44" s="836"/>
      <c r="ARF44" s="836"/>
      <c r="ARG44" s="836"/>
      <c r="ARH44" s="836"/>
      <c r="ARI44" s="836"/>
      <c r="ARJ44" s="836"/>
      <c r="ARK44" s="836"/>
      <c r="ARL44" s="836"/>
      <c r="ARM44" s="836"/>
      <c r="ARN44" s="836"/>
      <c r="ARO44" s="836"/>
      <c r="ARP44" s="836"/>
      <c r="ARQ44" s="836"/>
      <c r="ARR44" s="836"/>
      <c r="ARS44" s="836"/>
      <c r="ART44" s="836"/>
      <c r="ARU44" s="836"/>
      <c r="ARV44" s="836"/>
      <c r="ARW44" s="836"/>
      <c r="ARX44" s="836"/>
      <c r="ARY44" s="836"/>
      <c r="ARZ44" s="836"/>
      <c r="ASA44" s="836"/>
      <c r="ASB44" s="836"/>
      <c r="ASC44" s="836"/>
      <c r="ASD44" s="836"/>
      <c r="ASE44" s="836"/>
      <c r="ASF44" s="836"/>
      <c r="ASG44" s="836"/>
      <c r="ASH44" s="836"/>
      <c r="ASI44" s="836"/>
      <c r="ASJ44" s="836"/>
      <c r="ASK44" s="836"/>
      <c r="ASL44" s="836"/>
      <c r="ASM44" s="836"/>
      <c r="ASN44" s="836"/>
      <c r="ASO44" s="836"/>
      <c r="ASP44" s="836"/>
      <c r="ASQ44" s="836"/>
      <c r="ASR44" s="836"/>
      <c r="ASS44" s="836"/>
      <c r="AST44" s="836"/>
      <c r="ASU44" s="836"/>
      <c r="ASV44" s="836"/>
      <c r="ASW44" s="836"/>
      <c r="ASX44" s="836"/>
      <c r="ASY44" s="836"/>
      <c r="ASZ44" s="836"/>
      <c r="ATA44" s="836"/>
      <c r="ATB44" s="836"/>
      <c r="ATC44" s="836"/>
      <c r="ATD44" s="836"/>
      <c r="ATE44" s="836"/>
      <c r="ATF44" s="836"/>
      <c r="ATG44" s="836"/>
      <c r="ATH44" s="836"/>
      <c r="ATI44" s="836"/>
      <c r="ATJ44" s="836"/>
      <c r="ATK44" s="836"/>
      <c r="ATL44" s="836"/>
      <c r="ATM44" s="836"/>
      <c r="ATN44" s="836"/>
      <c r="ATO44" s="836"/>
      <c r="ATP44" s="836"/>
      <c r="ATQ44" s="836"/>
      <c r="ATR44" s="836"/>
      <c r="ATS44" s="836"/>
      <c r="ATT44" s="836"/>
      <c r="ATU44" s="836"/>
      <c r="ATV44" s="836"/>
      <c r="ATW44" s="836"/>
      <c r="ATX44" s="836"/>
      <c r="ATY44" s="836"/>
      <c r="ATZ44" s="836"/>
      <c r="AUA44" s="836"/>
      <c r="AUB44" s="836"/>
      <c r="AUC44" s="836"/>
      <c r="AUD44" s="836"/>
      <c r="AUE44" s="836"/>
      <c r="AUF44" s="836"/>
      <c r="AUG44" s="836"/>
      <c r="AUH44" s="836"/>
      <c r="AUI44" s="836"/>
      <c r="AUJ44" s="836"/>
      <c r="AUK44" s="836"/>
      <c r="AUL44" s="836"/>
      <c r="AUM44" s="836"/>
      <c r="AUN44" s="836"/>
      <c r="AUO44" s="836"/>
      <c r="AUP44" s="836"/>
      <c r="AUQ44" s="836"/>
      <c r="AUR44" s="836"/>
      <c r="AUS44" s="836"/>
      <c r="AUT44" s="836"/>
      <c r="AUU44" s="836"/>
      <c r="AUV44" s="836"/>
      <c r="AUW44" s="836"/>
      <c r="AUX44" s="836"/>
      <c r="AUY44" s="836"/>
      <c r="AUZ44" s="836"/>
      <c r="AVA44" s="836"/>
      <c r="AVB44" s="836"/>
      <c r="AVC44" s="836"/>
      <c r="AVD44" s="836"/>
      <c r="AVE44" s="836"/>
      <c r="AVF44" s="836"/>
      <c r="AVG44" s="836"/>
      <c r="AVH44" s="836"/>
      <c r="AVI44" s="836"/>
      <c r="AVJ44" s="836"/>
      <c r="AVK44" s="836"/>
      <c r="AVL44" s="836"/>
      <c r="AVM44" s="836"/>
      <c r="AVN44" s="836"/>
      <c r="AVO44" s="836"/>
      <c r="AVP44" s="836"/>
      <c r="AVQ44" s="836"/>
      <c r="AVR44" s="836"/>
      <c r="AVS44" s="836"/>
      <c r="AVT44" s="836"/>
      <c r="AVU44" s="836"/>
      <c r="AVV44" s="836"/>
      <c r="AVW44" s="836"/>
      <c r="AVX44" s="836"/>
      <c r="AVY44" s="836"/>
      <c r="AVZ44" s="836"/>
      <c r="AWA44" s="836"/>
      <c r="AWB44" s="836"/>
      <c r="AWC44" s="836"/>
      <c r="AWD44" s="836"/>
      <c r="AWE44" s="836"/>
      <c r="AWF44" s="836"/>
      <c r="AWG44" s="836"/>
      <c r="AWH44" s="836"/>
      <c r="AWI44" s="836"/>
      <c r="AWJ44" s="836"/>
      <c r="AWK44" s="836"/>
      <c r="AWL44" s="836"/>
      <c r="AWM44" s="836"/>
      <c r="AWN44" s="836"/>
      <c r="AWO44" s="836"/>
      <c r="AWP44" s="836"/>
      <c r="AWQ44" s="836"/>
      <c r="AWR44" s="836"/>
      <c r="AWS44" s="836"/>
      <c r="AWT44" s="836"/>
      <c r="AWU44" s="836"/>
      <c r="AWV44" s="836"/>
      <c r="AWW44" s="836"/>
      <c r="AWX44" s="836"/>
      <c r="AWY44" s="836"/>
      <c r="AWZ44" s="836"/>
      <c r="AXA44" s="836"/>
      <c r="AXB44" s="836"/>
      <c r="AXC44" s="836"/>
      <c r="AXD44" s="836"/>
      <c r="AXE44" s="836"/>
      <c r="AXF44" s="836"/>
      <c r="AXG44" s="836"/>
      <c r="AXH44" s="836"/>
      <c r="AXI44" s="836"/>
      <c r="AXJ44" s="836"/>
      <c r="AXK44" s="836"/>
      <c r="AXL44" s="836"/>
      <c r="AXM44" s="836"/>
      <c r="AXN44" s="836"/>
      <c r="AXO44" s="836"/>
      <c r="AXP44" s="836"/>
      <c r="AXQ44" s="836"/>
      <c r="AXR44" s="836"/>
      <c r="AXS44" s="836"/>
      <c r="AXT44" s="836"/>
      <c r="AXU44" s="836"/>
      <c r="AXV44" s="836"/>
      <c r="AXW44" s="836"/>
      <c r="AXX44" s="836"/>
      <c r="AXY44" s="836"/>
      <c r="AXZ44" s="836"/>
      <c r="AYA44" s="836"/>
      <c r="AYB44" s="836"/>
      <c r="AYC44" s="836"/>
      <c r="AYD44" s="836"/>
      <c r="AYE44" s="836"/>
      <c r="AYF44" s="836"/>
      <c r="AYG44" s="836"/>
      <c r="AYH44" s="836"/>
      <c r="AYI44" s="836"/>
      <c r="AYJ44" s="836"/>
      <c r="AYK44" s="836"/>
      <c r="AYL44" s="836"/>
      <c r="AYM44" s="836"/>
      <c r="AYN44" s="836"/>
      <c r="AYO44" s="836"/>
      <c r="AYP44" s="836"/>
      <c r="AYQ44" s="836"/>
      <c r="AYR44" s="836"/>
      <c r="AYS44" s="836"/>
      <c r="AYT44" s="836"/>
      <c r="AYU44" s="836"/>
      <c r="AYV44" s="836"/>
      <c r="AYW44" s="836"/>
      <c r="AYX44" s="836"/>
      <c r="AYY44" s="836"/>
      <c r="AYZ44" s="836"/>
      <c r="AZA44" s="836"/>
      <c r="AZB44" s="836"/>
      <c r="AZC44" s="836"/>
      <c r="AZD44" s="836"/>
      <c r="AZE44" s="836"/>
      <c r="AZF44" s="836"/>
      <c r="AZG44" s="836"/>
      <c r="AZH44" s="836"/>
      <c r="AZI44" s="836"/>
      <c r="AZJ44" s="836"/>
      <c r="AZK44" s="836"/>
      <c r="AZL44" s="836"/>
      <c r="AZM44" s="836"/>
      <c r="AZN44" s="836"/>
      <c r="AZO44" s="836"/>
      <c r="AZP44" s="836"/>
      <c r="AZQ44" s="836"/>
      <c r="AZR44" s="836"/>
      <c r="AZS44" s="836"/>
      <c r="AZT44" s="836"/>
      <c r="AZU44" s="836"/>
      <c r="AZV44" s="836"/>
      <c r="AZW44" s="836"/>
      <c r="AZX44" s="836"/>
      <c r="AZY44" s="836"/>
      <c r="AZZ44" s="836"/>
      <c r="BAA44" s="836"/>
      <c r="BAB44" s="836"/>
      <c r="BAC44" s="836"/>
      <c r="BAD44" s="836"/>
      <c r="BAE44" s="836"/>
      <c r="BAF44" s="836"/>
      <c r="BAG44" s="836"/>
      <c r="BAH44" s="836"/>
      <c r="BAI44" s="836"/>
      <c r="BAJ44" s="836"/>
      <c r="BAK44" s="836"/>
      <c r="BAL44" s="836"/>
      <c r="BAM44" s="836"/>
      <c r="BAN44" s="836"/>
      <c r="BAO44" s="836"/>
      <c r="BAP44" s="836"/>
      <c r="BAQ44" s="836"/>
      <c r="BAR44" s="836"/>
      <c r="BAS44" s="836"/>
      <c r="BAT44" s="836"/>
      <c r="BAU44" s="836"/>
      <c r="BAV44" s="836"/>
      <c r="BAW44" s="836"/>
      <c r="BAX44" s="836"/>
      <c r="BAY44" s="836"/>
      <c r="BAZ44" s="836"/>
      <c r="BBA44" s="836"/>
      <c r="BBB44" s="836"/>
      <c r="BBC44" s="836"/>
      <c r="BBD44" s="836"/>
      <c r="BBE44" s="836"/>
      <c r="BBF44" s="836"/>
      <c r="BBG44" s="836"/>
      <c r="BBH44" s="836"/>
      <c r="BBI44" s="836"/>
      <c r="BBJ44" s="836"/>
      <c r="BBK44" s="836"/>
      <c r="BBL44" s="836"/>
      <c r="BBM44" s="836"/>
      <c r="BBN44" s="836"/>
      <c r="BBO44" s="836"/>
      <c r="BBP44" s="836"/>
      <c r="BBQ44" s="836"/>
      <c r="BBR44" s="836"/>
      <c r="BBS44" s="836"/>
      <c r="BBT44" s="836"/>
      <c r="BBU44" s="836"/>
      <c r="BBV44" s="836"/>
      <c r="BBW44" s="836"/>
      <c r="BBX44" s="836"/>
      <c r="BBY44" s="836"/>
      <c r="BBZ44" s="836"/>
      <c r="BCA44" s="836"/>
      <c r="BCB44" s="836"/>
      <c r="BCC44" s="836"/>
      <c r="BCD44" s="836"/>
      <c r="BCE44" s="836"/>
      <c r="BCF44" s="836"/>
      <c r="BCG44" s="836"/>
      <c r="BCH44" s="836"/>
      <c r="BCI44" s="836"/>
      <c r="BCJ44" s="836"/>
      <c r="BCK44" s="836"/>
      <c r="BCL44" s="836"/>
      <c r="BCM44" s="836"/>
      <c r="BCN44" s="836"/>
      <c r="BCO44" s="836"/>
      <c r="BCP44" s="836"/>
      <c r="BCQ44" s="836"/>
      <c r="BCR44" s="836"/>
      <c r="BCS44" s="836"/>
      <c r="BCT44" s="836"/>
      <c r="BCU44" s="836"/>
      <c r="BCV44" s="836"/>
      <c r="BCW44" s="836"/>
      <c r="BCX44" s="836"/>
      <c r="BCY44" s="836"/>
      <c r="BCZ44" s="836"/>
      <c r="BDA44" s="836"/>
      <c r="BDB44" s="836"/>
      <c r="BDC44" s="836"/>
      <c r="BDD44" s="836"/>
      <c r="BDE44" s="836"/>
      <c r="BDF44" s="836"/>
      <c r="BDG44" s="836"/>
      <c r="BDH44" s="836"/>
      <c r="BDI44" s="836"/>
      <c r="BDJ44" s="836"/>
      <c r="BDK44" s="836"/>
      <c r="BDL44" s="836"/>
      <c r="BDM44" s="836"/>
      <c r="BDN44" s="836"/>
      <c r="BDO44" s="836"/>
      <c r="BDP44" s="836"/>
      <c r="BDQ44" s="836"/>
      <c r="BDR44" s="836"/>
      <c r="BDS44" s="836"/>
      <c r="BDT44" s="836"/>
      <c r="BDU44" s="836"/>
      <c r="BDV44" s="836"/>
      <c r="BDW44" s="836"/>
      <c r="BDX44" s="836"/>
      <c r="BDY44" s="836"/>
      <c r="BDZ44" s="836"/>
      <c r="BEA44" s="836"/>
      <c r="BEB44" s="836"/>
      <c r="BEC44" s="836"/>
      <c r="BED44" s="836"/>
      <c r="BEE44" s="836"/>
      <c r="BEF44" s="836"/>
      <c r="BEG44" s="836"/>
      <c r="BEH44" s="836"/>
      <c r="BEI44" s="836"/>
      <c r="BEJ44" s="836"/>
      <c r="BEK44" s="836"/>
      <c r="BEL44" s="836"/>
      <c r="BEM44" s="836"/>
      <c r="BEN44" s="836"/>
      <c r="BEO44" s="836"/>
      <c r="BEP44" s="836"/>
      <c r="BEQ44" s="836"/>
      <c r="BER44" s="836"/>
      <c r="BES44" s="836"/>
      <c r="BET44" s="836"/>
      <c r="BEU44" s="836"/>
      <c r="BEV44" s="836"/>
      <c r="BEW44" s="836"/>
      <c r="BEX44" s="836"/>
      <c r="BEY44" s="836"/>
      <c r="BEZ44" s="836"/>
      <c r="BFA44" s="836"/>
      <c r="BFB44" s="836"/>
      <c r="BFC44" s="836"/>
      <c r="BFD44" s="836"/>
      <c r="BFE44" s="836"/>
      <c r="BFF44" s="836"/>
      <c r="BFG44" s="836"/>
      <c r="BFH44" s="836"/>
      <c r="BFI44" s="836"/>
      <c r="BFJ44" s="836"/>
      <c r="BFK44" s="836"/>
      <c r="BFL44" s="836"/>
      <c r="BFM44" s="836"/>
      <c r="BFN44" s="836"/>
      <c r="BFO44" s="836"/>
      <c r="BFP44" s="836"/>
      <c r="BFQ44" s="836"/>
      <c r="BFR44" s="836"/>
      <c r="BFS44" s="836"/>
      <c r="BFT44" s="836"/>
      <c r="BFU44" s="836"/>
      <c r="BFV44" s="836"/>
      <c r="BFW44" s="836"/>
      <c r="BFX44" s="836"/>
      <c r="BFY44" s="836"/>
      <c r="BFZ44" s="836"/>
      <c r="BGA44" s="836"/>
      <c r="BGB44" s="836"/>
      <c r="BGC44" s="836"/>
      <c r="BGD44" s="836"/>
      <c r="BGE44" s="836"/>
      <c r="BGF44" s="836"/>
      <c r="BGG44" s="836"/>
      <c r="BGH44" s="836"/>
      <c r="BGI44" s="836"/>
      <c r="BGJ44" s="836"/>
      <c r="BGK44" s="836"/>
      <c r="BGL44" s="836"/>
      <c r="BGM44" s="836"/>
      <c r="BGN44" s="836"/>
      <c r="BGO44" s="836"/>
      <c r="BGP44" s="836"/>
      <c r="BGQ44" s="836"/>
      <c r="BGR44" s="836"/>
      <c r="BGS44" s="836"/>
      <c r="BGT44" s="836"/>
      <c r="BGU44" s="836"/>
      <c r="BGV44" s="836"/>
      <c r="BGW44" s="836"/>
      <c r="BGX44" s="836"/>
      <c r="BGY44" s="836"/>
      <c r="BGZ44" s="836"/>
      <c r="BHA44" s="836"/>
      <c r="BHB44" s="836"/>
      <c r="BHC44" s="836"/>
      <c r="BHD44" s="836"/>
      <c r="BHE44" s="836"/>
      <c r="BHF44" s="836"/>
      <c r="BHG44" s="836"/>
      <c r="BHH44" s="836"/>
      <c r="BHI44" s="836"/>
      <c r="BHJ44" s="836"/>
      <c r="BHK44" s="836"/>
      <c r="BHL44" s="836"/>
      <c r="BHM44" s="836"/>
      <c r="BHN44" s="836"/>
      <c r="BHO44" s="836"/>
      <c r="BHP44" s="836"/>
      <c r="BHQ44" s="836"/>
      <c r="BHR44" s="836"/>
      <c r="BHS44" s="836"/>
      <c r="BHT44" s="836"/>
      <c r="BHU44" s="836"/>
      <c r="BHV44" s="836"/>
      <c r="BHW44" s="836"/>
      <c r="BHX44" s="836"/>
      <c r="BHY44" s="836"/>
      <c r="BHZ44" s="836"/>
      <c r="BIA44" s="836"/>
      <c r="BIB44" s="836"/>
      <c r="BIC44" s="836"/>
      <c r="BID44" s="836"/>
      <c r="BIE44" s="836"/>
      <c r="BIF44" s="836"/>
      <c r="BIG44" s="836"/>
      <c r="BIH44" s="836"/>
      <c r="BII44" s="836"/>
      <c r="BIJ44" s="836"/>
      <c r="BIK44" s="836"/>
      <c r="BIL44" s="836"/>
      <c r="BIM44" s="836"/>
      <c r="BIN44" s="836"/>
      <c r="BIO44" s="836"/>
      <c r="BIP44" s="836"/>
      <c r="BIQ44" s="836"/>
      <c r="BIR44" s="836"/>
      <c r="BIS44" s="836"/>
      <c r="BIT44" s="836"/>
      <c r="BIU44" s="836"/>
      <c r="BIV44" s="836"/>
      <c r="BIW44" s="836"/>
      <c r="BIX44" s="836"/>
      <c r="BIY44" s="836"/>
      <c r="BIZ44" s="836"/>
      <c r="BJA44" s="836"/>
      <c r="BJB44" s="836"/>
      <c r="BJC44" s="836"/>
      <c r="BJD44" s="836"/>
      <c r="BJE44" s="836"/>
      <c r="BJF44" s="836"/>
      <c r="BJG44" s="836"/>
      <c r="BJH44" s="836"/>
      <c r="BJI44" s="836"/>
      <c r="BJJ44" s="836"/>
      <c r="BJK44" s="836"/>
      <c r="BJL44" s="836"/>
      <c r="BJM44" s="836"/>
      <c r="BJN44" s="836"/>
      <c r="BJO44" s="836"/>
      <c r="BJP44" s="836"/>
      <c r="BJQ44" s="836"/>
      <c r="BJR44" s="836"/>
      <c r="BJS44" s="836"/>
      <c r="BJT44" s="836"/>
      <c r="BJU44" s="836"/>
      <c r="BJV44" s="836"/>
      <c r="BJW44" s="836"/>
      <c r="BJX44" s="836"/>
      <c r="BJY44" s="836"/>
      <c r="BJZ44" s="836"/>
      <c r="BKA44" s="836"/>
      <c r="BKB44" s="836"/>
      <c r="BKC44" s="836"/>
      <c r="BKD44" s="836"/>
      <c r="BKE44" s="836"/>
      <c r="BKF44" s="836"/>
      <c r="BKG44" s="836"/>
      <c r="BKH44" s="836"/>
      <c r="BKI44" s="836"/>
      <c r="BKJ44" s="836"/>
      <c r="BKK44" s="836"/>
      <c r="BKL44" s="836"/>
      <c r="BKM44" s="836"/>
      <c r="BKN44" s="836"/>
      <c r="BKO44" s="836"/>
      <c r="BKP44" s="836"/>
      <c r="BKQ44" s="836"/>
      <c r="BKR44" s="836"/>
      <c r="BKS44" s="836"/>
      <c r="BKT44" s="836"/>
      <c r="BKU44" s="836"/>
      <c r="BKV44" s="836"/>
      <c r="BKW44" s="836"/>
      <c r="BKX44" s="836"/>
      <c r="BKY44" s="836"/>
      <c r="BKZ44" s="836"/>
      <c r="BLA44" s="836"/>
      <c r="BLB44" s="836"/>
      <c r="BLC44" s="836"/>
      <c r="BLD44" s="836"/>
      <c r="BLE44" s="836"/>
      <c r="BLF44" s="836"/>
      <c r="BLG44" s="836"/>
      <c r="BLH44" s="836"/>
      <c r="BLI44" s="836"/>
      <c r="BLJ44" s="836"/>
      <c r="BLK44" s="836"/>
      <c r="BLL44" s="836"/>
      <c r="BLM44" s="836"/>
      <c r="BLN44" s="836"/>
      <c r="BLO44" s="836"/>
      <c r="BLP44" s="836"/>
      <c r="BLQ44" s="836"/>
      <c r="BLR44" s="836"/>
      <c r="BLS44" s="836"/>
      <c r="BLT44" s="836"/>
      <c r="BLU44" s="836"/>
      <c r="BLV44" s="836"/>
      <c r="BLW44" s="836"/>
      <c r="BLX44" s="836"/>
      <c r="BLY44" s="836"/>
      <c r="BLZ44" s="836"/>
      <c r="BMA44" s="836"/>
      <c r="BMB44" s="836"/>
      <c r="BMC44" s="836"/>
      <c r="BMD44" s="836"/>
      <c r="BME44" s="836"/>
      <c r="BMF44" s="836"/>
      <c r="BMG44" s="836"/>
      <c r="BMH44" s="836"/>
      <c r="BMI44" s="836"/>
      <c r="BMJ44" s="836"/>
      <c r="BMK44" s="836"/>
      <c r="BML44" s="836"/>
      <c r="BMM44" s="836"/>
      <c r="BMN44" s="836"/>
      <c r="BMO44" s="836"/>
      <c r="BMP44" s="836"/>
      <c r="BMQ44" s="836"/>
      <c r="BMR44" s="836"/>
      <c r="BMS44" s="836"/>
      <c r="BMT44" s="836"/>
      <c r="BMU44" s="836"/>
      <c r="BMV44" s="836"/>
      <c r="BMW44" s="836"/>
      <c r="BMX44" s="836"/>
      <c r="BMY44" s="836"/>
      <c r="BMZ44" s="836"/>
      <c r="BNA44" s="836"/>
      <c r="BNB44" s="836"/>
      <c r="BNC44" s="836"/>
      <c r="BND44" s="836"/>
      <c r="BNE44" s="836"/>
      <c r="BNF44" s="836"/>
      <c r="BNG44" s="836"/>
      <c r="BNH44" s="836"/>
      <c r="BNI44" s="836"/>
      <c r="BNJ44" s="836"/>
      <c r="BNK44" s="836"/>
      <c r="BNL44" s="836"/>
      <c r="BNM44" s="836"/>
      <c r="BNN44" s="836"/>
      <c r="BNO44" s="836"/>
      <c r="BNP44" s="836"/>
      <c r="BNQ44" s="836"/>
      <c r="BNR44" s="836"/>
      <c r="BNS44" s="836"/>
      <c r="BNT44" s="836"/>
      <c r="BNU44" s="836"/>
      <c r="BNV44" s="836"/>
      <c r="BNW44" s="836"/>
      <c r="BNX44" s="836"/>
      <c r="BNY44" s="836"/>
      <c r="BNZ44" s="836"/>
      <c r="BOA44" s="836"/>
      <c r="BOB44" s="836"/>
      <c r="BOC44" s="836"/>
      <c r="BOD44" s="836"/>
      <c r="BOE44" s="836"/>
      <c r="BOF44" s="836"/>
      <c r="BOG44" s="836"/>
      <c r="BOH44" s="836"/>
      <c r="BOI44" s="836"/>
      <c r="BOJ44" s="836"/>
      <c r="BOK44" s="836"/>
      <c r="BOL44" s="836"/>
      <c r="BOM44" s="836"/>
      <c r="BON44" s="836"/>
      <c r="BOO44" s="836"/>
      <c r="BOP44" s="836"/>
      <c r="BOQ44" s="836"/>
      <c r="BOR44" s="836"/>
      <c r="BOS44" s="836"/>
      <c r="BOT44" s="836"/>
      <c r="BOU44" s="836"/>
      <c r="BOV44" s="836"/>
      <c r="BOW44" s="836"/>
      <c r="BOX44" s="836"/>
      <c r="BOY44" s="836"/>
      <c r="BOZ44" s="836"/>
      <c r="BPA44" s="836"/>
      <c r="BPB44" s="836"/>
      <c r="BPC44" s="836"/>
      <c r="BPD44" s="836"/>
      <c r="BPE44" s="836"/>
      <c r="BPF44" s="836"/>
      <c r="BPG44" s="836"/>
      <c r="BPH44" s="836"/>
      <c r="BPI44" s="836"/>
      <c r="BPJ44" s="836"/>
      <c r="BPK44" s="836"/>
      <c r="BPL44" s="836"/>
      <c r="BPM44" s="836"/>
      <c r="BPN44" s="836"/>
      <c r="BPO44" s="836"/>
      <c r="BPP44" s="836"/>
      <c r="BPQ44" s="836"/>
      <c r="BPR44" s="836"/>
      <c r="BPS44" s="836"/>
      <c r="BPT44" s="836"/>
      <c r="BPU44" s="836"/>
      <c r="BPV44" s="836"/>
      <c r="BPW44" s="836"/>
      <c r="BPX44" s="836"/>
      <c r="BPY44" s="836"/>
      <c r="BPZ44" s="836"/>
      <c r="BQA44" s="836"/>
      <c r="BQB44" s="836"/>
      <c r="BQC44" s="836"/>
      <c r="BQD44" s="836"/>
      <c r="BQE44" s="836"/>
      <c r="BQF44" s="836"/>
      <c r="BQG44" s="836"/>
      <c r="BQH44" s="836"/>
      <c r="BQI44" s="836"/>
      <c r="BQJ44" s="836"/>
      <c r="BQK44" s="836"/>
      <c r="BQL44" s="836"/>
      <c r="BQM44" s="836"/>
      <c r="BQN44" s="836"/>
      <c r="BQO44" s="836"/>
      <c r="BQP44" s="836"/>
      <c r="BQQ44" s="836"/>
      <c r="BQR44" s="836"/>
      <c r="BQS44" s="836"/>
      <c r="BQT44" s="836"/>
      <c r="BQU44" s="836"/>
      <c r="BQV44" s="836"/>
      <c r="BQW44" s="836"/>
      <c r="BQX44" s="836"/>
      <c r="BQY44" s="836"/>
      <c r="BQZ44" s="836"/>
      <c r="BRA44" s="836"/>
      <c r="BRB44" s="836"/>
      <c r="BRC44" s="836"/>
      <c r="BRD44" s="836"/>
      <c r="BRE44" s="836"/>
      <c r="BRF44" s="836"/>
      <c r="BRG44" s="836"/>
      <c r="BRH44" s="836"/>
      <c r="BRI44" s="836"/>
      <c r="BRJ44" s="836"/>
      <c r="BRK44" s="836"/>
      <c r="BRL44" s="836"/>
      <c r="BRM44" s="836"/>
      <c r="BRN44" s="836"/>
      <c r="BRO44" s="836"/>
      <c r="BRP44" s="836"/>
      <c r="BRQ44" s="836"/>
      <c r="BRR44" s="836"/>
      <c r="BRS44" s="836"/>
      <c r="BRT44" s="836"/>
      <c r="BRU44" s="836"/>
      <c r="BRV44" s="836"/>
      <c r="BRW44" s="836"/>
      <c r="BRX44" s="836"/>
      <c r="BRY44" s="836"/>
      <c r="BRZ44" s="836"/>
      <c r="BSA44" s="836"/>
      <c r="BSB44" s="836"/>
      <c r="BSC44" s="836"/>
      <c r="BSD44" s="836"/>
      <c r="BSE44" s="836"/>
      <c r="BSF44" s="836"/>
      <c r="BSG44" s="836"/>
      <c r="BSH44" s="836"/>
      <c r="BSI44" s="836"/>
      <c r="BSJ44" s="836"/>
      <c r="BSK44" s="836"/>
      <c r="BSL44" s="836"/>
      <c r="BSM44" s="836"/>
      <c r="BSN44" s="836"/>
      <c r="BSO44" s="836"/>
      <c r="BSP44" s="836"/>
      <c r="BSQ44" s="836"/>
      <c r="BSR44" s="836"/>
      <c r="BSS44" s="836"/>
      <c r="BST44" s="836"/>
    </row>
    <row r="45" spans="1:1866" s="847" customFormat="1" ht="21.9" customHeight="1" x14ac:dyDescent="0.25">
      <c r="A45" s="846"/>
      <c r="B45" s="3179" t="s">
        <v>857</v>
      </c>
      <c r="C45" s="3180"/>
      <c r="D45" s="3181"/>
      <c r="E45" s="1448">
        <f>SUM(E32:E44)</f>
        <v>0</v>
      </c>
      <c r="F45" s="1448">
        <f t="shared" ref="F45:V45" si="37">SUM(F32:F44)</f>
        <v>0</v>
      </c>
      <c r="G45" s="1448">
        <f t="shared" si="37"/>
        <v>0</v>
      </c>
      <c r="H45" s="1448">
        <f t="shared" si="37"/>
        <v>0</v>
      </c>
      <c r="I45" s="1448">
        <f t="shared" si="37"/>
        <v>0</v>
      </c>
      <c r="J45" s="1448">
        <f t="shared" si="37"/>
        <v>0</v>
      </c>
      <c r="K45" s="1448">
        <f t="shared" si="37"/>
        <v>0</v>
      </c>
      <c r="L45" s="1448">
        <f t="shared" si="37"/>
        <v>0</v>
      </c>
      <c r="M45" s="1448">
        <f t="shared" si="37"/>
        <v>0</v>
      </c>
      <c r="N45" s="1448">
        <f t="shared" si="37"/>
        <v>0</v>
      </c>
      <c r="O45" s="1448">
        <f t="shared" si="37"/>
        <v>0</v>
      </c>
      <c r="P45" s="1448">
        <f t="shared" si="37"/>
        <v>0</v>
      </c>
      <c r="Q45" s="1448">
        <f t="shared" si="37"/>
        <v>0</v>
      </c>
      <c r="R45" s="1448">
        <f t="shared" si="37"/>
        <v>0</v>
      </c>
      <c r="S45" s="1448">
        <f t="shared" si="37"/>
        <v>0</v>
      </c>
      <c r="T45" s="1448">
        <f t="shared" si="37"/>
        <v>0</v>
      </c>
      <c r="U45" s="1448">
        <f t="shared" si="37"/>
        <v>0</v>
      </c>
      <c r="V45" s="1449">
        <f t="shared" si="37"/>
        <v>0</v>
      </c>
      <c r="W45" s="848"/>
      <c r="X45" s="848"/>
      <c r="Y45" s="848"/>
      <c r="Z45" s="848"/>
      <c r="AA45" s="1436"/>
      <c r="AB45" s="848"/>
      <c r="AC45" s="848"/>
      <c r="AD45" s="848"/>
      <c r="AE45" s="848"/>
      <c r="AF45" s="848"/>
      <c r="AG45" s="848"/>
      <c r="AH45" s="848"/>
      <c r="AI45" s="848"/>
      <c r="AJ45" s="848"/>
      <c r="AK45" s="848"/>
      <c r="AL45" s="848"/>
      <c r="AM45" s="846"/>
      <c r="AN45" s="846"/>
      <c r="AO45" s="846"/>
      <c r="AP45" s="846"/>
      <c r="AQ45" s="846"/>
      <c r="AR45" s="846"/>
      <c r="AS45" s="846"/>
      <c r="AT45" s="846"/>
      <c r="AU45" s="846"/>
      <c r="AV45" s="846"/>
      <c r="AW45" s="846"/>
      <c r="AX45" s="846"/>
      <c r="AY45" s="846"/>
      <c r="AZ45" s="846"/>
      <c r="BA45" s="846"/>
      <c r="BB45" s="846"/>
      <c r="BC45" s="846"/>
      <c r="BD45" s="846"/>
      <c r="BE45" s="846"/>
      <c r="BF45" s="846"/>
      <c r="BG45" s="846"/>
      <c r="BH45" s="846"/>
      <c r="BI45" s="846"/>
      <c r="BJ45" s="846"/>
      <c r="BK45" s="846"/>
      <c r="BL45" s="846"/>
      <c r="BM45" s="846"/>
      <c r="BN45" s="846"/>
      <c r="BO45" s="846"/>
      <c r="BP45" s="846"/>
      <c r="BQ45" s="846"/>
      <c r="BR45" s="846"/>
      <c r="BS45" s="846"/>
      <c r="BT45" s="846"/>
      <c r="BU45" s="846"/>
      <c r="BV45" s="846"/>
      <c r="BW45" s="846"/>
      <c r="BX45" s="846"/>
      <c r="BY45" s="846"/>
      <c r="BZ45" s="846"/>
      <c r="CA45" s="846"/>
      <c r="CB45" s="846"/>
      <c r="CC45" s="846"/>
      <c r="CD45" s="846"/>
      <c r="CE45" s="846"/>
      <c r="CF45" s="846"/>
      <c r="CG45" s="846"/>
      <c r="CH45" s="846"/>
      <c r="CI45" s="846"/>
      <c r="CJ45" s="846"/>
      <c r="CK45" s="846"/>
      <c r="CL45" s="846"/>
      <c r="CM45" s="846"/>
      <c r="CN45" s="846"/>
      <c r="CO45" s="846"/>
      <c r="CP45" s="846"/>
      <c r="CQ45" s="846"/>
      <c r="CR45" s="846"/>
      <c r="CS45" s="846"/>
      <c r="CT45" s="846"/>
      <c r="CU45" s="846"/>
      <c r="CV45" s="846"/>
      <c r="CW45" s="846"/>
      <c r="CX45" s="846"/>
      <c r="CY45" s="846"/>
      <c r="CZ45" s="846"/>
      <c r="DA45" s="846"/>
      <c r="DB45" s="846"/>
      <c r="DC45" s="846"/>
      <c r="DD45" s="846"/>
      <c r="DE45" s="846"/>
      <c r="DF45" s="846"/>
      <c r="DG45" s="846"/>
      <c r="DH45" s="846"/>
      <c r="DI45" s="846"/>
      <c r="DJ45" s="846"/>
      <c r="DK45" s="846"/>
      <c r="DL45" s="846"/>
      <c r="DM45" s="846"/>
      <c r="DN45" s="846"/>
      <c r="DO45" s="846"/>
      <c r="DP45" s="846"/>
      <c r="DQ45" s="846"/>
      <c r="DR45" s="846"/>
      <c r="DS45" s="846"/>
      <c r="DT45" s="846"/>
      <c r="DU45" s="846"/>
      <c r="DV45" s="846"/>
      <c r="DW45" s="846"/>
      <c r="DX45" s="846"/>
      <c r="DY45" s="846"/>
      <c r="DZ45" s="846"/>
      <c r="EA45" s="846"/>
      <c r="EB45" s="846"/>
      <c r="EC45" s="846"/>
      <c r="ED45" s="846"/>
      <c r="EE45" s="846"/>
      <c r="EF45" s="846"/>
      <c r="EG45" s="846"/>
      <c r="EH45" s="846"/>
      <c r="EI45" s="846"/>
      <c r="EJ45" s="846"/>
      <c r="EK45" s="846"/>
      <c r="EL45" s="846"/>
      <c r="EM45" s="846"/>
      <c r="EN45" s="846"/>
      <c r="EO45" s="846"/>
      <c r="EP45" s="846"/>
      <c r="EQ45" s="846"/>
      <c r="ER45" s="846"/>
      <c r="ES45" s="846"/>
      <c r="ET45" s="846"/>
      <c r="EU45" s="846"/>
      <c r="EV45" s="846"/>
      <c r="EW45" s="846"/>
      <c r="EX45" s="846"/>
      <c r="EY45" s="846"/>
      <c r="EZ45" s="846"/>
      <c r="FA45" s="846"/>
      <c r="FB45" s="846"/>
      <c r="FC45" s="846"/>
      <c r="FD45" s="846"/>
      <c r="FE45" s="846"/>
      <c r="FF45" s="846"/>
      <c r="FG45" s="846"/>
      <c r="FH45" s="846"/>
      <c r="FI45" s="846"/>
      <c r="FJ45" s="846"/>
      <c r="FK45" s="846"/>
      <c r="FL45" s="846"/>
      <c r="FM45" s="846"/>
      <c r="FN45" s="846"/>
      <c r="FO45" s="846"/>
      <c r="FP45" s="846"/>
      <c r="FQ45" s="846"/>
      <c r="FR45" s="846"/>
      <c r="FS45" s="846"/>
      <c r="FT45" s="846"/>
      <c r="FU45" s="846"/>
      <c r="FV45" s="846"/>
      <c r="FW45" s="846"/>
      <c r="FX45" s="846"/>
      <c r="FY45" s="846"/>
      <c r="FZ45" s="846"/>
      <c r="GA45" s="846"/>
      <c r="GB45" s="846"/>
      <c r="GC45" s="846"/>
      <c r="GD45" s="846"/>
      <c r="GE45" s="846"/>
      <c r="GF45" s="846"/>
      <c r="GG45" s="846"/>
      <c r="GH45" s="846"/>
      <c r="GI45" s="846"/>
      <c r="GJ45" s="846"/>
      <c r="GK45" s="846"/>
      <c r="GL45" s="846"/>
      <c r="GM45" s="846"/>
      <c r="GN45" s="846"/>
      <c r="GO45" s="846"/>
      <c r="GP45" s="846"/>
      <c r="GQ45" s="846"/>
      <c r="GR45" s="846"/>
      <c r="GS45" s="846"/>
      <c r="GT45" s="846"/>
      <c r="GU45" s="846"/>
      <c r="GV45" s="846"/>
      <c r="GW45" s="846"/>
      <c r="GX45" s="846"/>
      <c r="GY45" s="846"/>
      <c r="GZ45" s="846"/>
      <c r="HA45" s="846"/>
      <c r="HB45" s="846"/>
      <c r="HC45" s="846"/>
      <c r="HD45" s="846"/>
      <c r="HE45" s="846"/>
      <c r="HF45" s="846"/>
      <c r="HG45" s="846"/>
      <c r="HH45" s="846"/>
      <c r="HI45" s="846"/>
      <c r="HJ45" s="846"/>
      <c r="HK45" s="846"/>
      <c r="HL45" s="846"/>
      <c r="HM45" s="846"/>
      <c r="HN45" s="846"/>
      <c r="HO45" s="846"/>
      <c r="HP45" s="846"/>
      <c r="HQ45" s="846"/>
      <c r="HR45" s="846"/>
      <c r="HS45" s="846"/>
      <c r="HT45" s="846"/>
      <c r="HU45" s="846"/>
      <c r="HV45" s="846"/>
      <c r="HW45" s="846"/>
      <c r="HX45" s="846"/>
      <c r="HY45" s="846"/>
      <c r="HZ45" s="846"/>
      <c r="IA45" s="846"/>
      <c r="IB45" s="846"/>
      <c r="IC45" s="846"/>
      <c r="ID45" s="846"/>
      <c r="IE45" s="846"/>
      <c r="IF45" s="846"/>
      <c r="IG45" s="846"/>
      <c r="IH45" s="846"/>
      <c r="II45" s="846"/>
      <c r="IJ45" s="846"/>
      <c r="IK45" s="846"/>
      <c r="IL45" s="846"/>
      <c r="IM45" s="846"/>
      <c r="IN45" s="846"/>
      <c r="IO45" s="846"/>
      <c r="IP45" s="846"/>
      <c r="IQ45" s="846"/>
      <c r="IR45" s="846"/>
      <c r="IS45" s="846"/>
      <c r="IT45" s="846"/>
      <c r="IU45" s="846"/>
      <c r="IV45" s="846"/>
      <c r="IW45" s="846"/>
      <c r="IX45" s="846"/>
      <c r="IY45" s="846"/>
      <c r="IZ45" s="846"/>
      <c r="JA45" s="846"/>
      <c r="JB45" s="846"/>
      <c r="JC45" s="846"/>
      <c r="JD45" s="846"/>
      <c r="JE45" s="846"/>
      <c r="JF45" s="846"/>
      <c r="JG45" s="846"/>
      <c r="JH45" s="846"/>
      <c r="JI45" s="846"/>
      <c r="JJ45" s="846"/>
      <c r="JK45" s="846"/>
      <c r="JL45" s="846"/>
      <c r="JM45" s="846"/>
      <c r="JN45" s="846"/>
      <c r="JO45" s="846"/>
      <c r="JP45" s="846"/>
      <c r="JQ45" s="846"/>
      <c r="JR45" s="846"/>
      <c r="JS45" s="846"/>
      <c r="JT45" s="846"/>
      <c r="JU45" s="846"/>
      <c r="JV45" s="846"/>
      <c r="JW45" s="846"/>
      <c r="JX45" s="846"/>
      <c r="JY45" s="846"/>
      <c r="JZ45" s="846"/>
      <c r="KA45" s="846"/>
      <c r="KB45" s="846"/>
      <c r="KC45" s="846"/>
      <c r="KD45" s="846"/>
      <c r="KE45" s="846"/>
      <c r="KF45" s="846"/>
      <c r="KG45" s="846"/>
      <c r="KH45" s="846"/>
      <c r="KI45" s="846"/>
      <c r="KJ45" s="846"/>
      <c r="KK45" s="846"/>
      <c r="KL45" s="846"/>
      <c r="KM45" s="846"/>
      <c r="KN45" s="846"/>
      <c r="KO45" s="846"/>
      <c r="KP45" s="846"/>
      <c r="KQ45" s="846"/>
      <c r="KR45" s="846"/>
      <c r="KS45" s="846"/>
      <c r="KT45" s="846"/>
      <c r="KU45" s="846"/>
      <c r="KV45" s="846"/>
      <c r="KW45" s="846"/>
      <c r="KX45" s="846"/>
      <c r="KY45" s="846"/>
      <c r="KZ45" s="846"/>
      <c r="LA45" s="846"/>
      <c r="LB45" s="846"/>
      <c r="LC45" s="846"/>
      <c r="LD45" s="846"/>
      <c r="LE45" s="846"/>
      <c r="LF45" s="846"/>
      <c r="LG45" s="846"/>
      <c r="LH45" s="846"/>
      <c r="LI45" s="846"/>
      <c r="LJ45" s="846"/>
      <c r="LK45" s="846"/>
      <c r="LL45" s="846"/>
      <c r="LM45" s="846"/>
      <c r="LN45" s="846"/>
      <c r="LO45" s="846"/>
      <c r="LP45" s="846"/>
      <c r="LQ45" s="846"/>
      <c r="LR45" s="846"/>
      <c r="LS45" s="846"/>
      <c r="LT45" s="846"/>
      <c r="LU45" s="846"/>
      <c r="LV45" s="846"/>
      <c r="LW45" s="846"/>
      <c r="LX45" s="846"/>
      <c r="LY45" s="846"/>
      <c r="LZ45" s="846"/>
      <c r="MA45" s="846"/>
      <c r="MB45" s="846"/>
      <c r="MC45" s="846"/>
      <c r="MD45" s="846"/>
      <c r="ME45" s="846"/>
      <c r="MF45" s="846"/>
      <c r="MG45" s="846"/>
      <c r="MH45" s="846"/>
      <c r="MI45" s="846"/>
      <c r="MJ45" s="846"/>
      <c r="MK45" s="846"/>
      <c r="ML45" s="846"/>
      <c r="MM45" s="846"/>
      <c r="MN45" s="846"/>
      <c r="MO45" s="846"/>
      <c r="MP45" s="846"/>
      <c r="MQ45" s="846"/>
      <c r="MR45" s="846"/>
      <c r="MS45" s="846"/>
      <c r="MT45" s="846"/>
      <c r="MU45" s="846"/>
      <c r="MV45" s="846"/>
      <c r="MW45" s="846"/>
      <c r="MX45" s="846"/>
      <c r="MY45" s="846"/>
      <c r="MZ45" s="846"/>
      <c r="NA45" s="846"/>
      <c r="NB45" s="846"/>
      <c r="NC45" s="846"/>
      <c r="ND45" s="846"/>
      <c r="NE45" s="846"/>
      <c r="NF45" s="846"/>
      <c r="NG45" s="846"/>
      <c r="NH45" s="846"/>
      <c r="NI45" s="846"/>
      <c r="NJ45" s="846"/>
      <c r="NK45" s="846"/>
      <c r="NL45" s="846"/>
      <c r="NM45" s="846"/>
      <c r="NN45" s="846"/>
      <c r="NO45" s="846"/>
      <c r="NP45" s="846"/>
      <c r="NQ45" s="846"/>
      <c r="NR45" s="846"/>
      <c r="NS45" s="846"/>
      <c r="NT45" s="846"/>
      <c r="NU45" s="846"/>
      <c r="NV45" s="846"/>
      <c r="NW45" s="846"/>
      <c r="NX45" s="846"/>
      <c r="NY45" s="846"/>
      <c r="NZ45" s="846"/>
      <c r="OA45" s="846"/>
      <c r="OB45" s="846"/>
      <c r="OC45" s="846"/>
      <c r="OD45" s="846"/>
      <c r="OE45" s="846"/>
      <c r="OF45" s="846"/>
      <c r="OG45" s="846"/>
      <c r="OH45" s="846"/>
      <c r="OI45" s="846"/>
      <c r="OJ45" s="846"/>
      <c r="OK45" s="846"/>
      <c r="OL45" s="846"/>
      <c r="OM45" s="846"/>
      <c r="ON45" s="846"/>
      <c r="OO45" s="846"/>
      <c r="OP45" s="846"/>
      <c r="OQ45" s="846"/>
      <c r="OR45" s="846"/>
      <c r="OS45" s="846"/>
      <c r="OT45" s="846"/>
      <c r="OU45" s="846"/>
      <c r="OV45" s="846"/>
      <c r="OW45" s="846"/>
      <c r="OX45" s="846"/>
      <c r="OY45" s="846"/>
      <c r="OZ45" s="846"/>
      <c r="PA45" s="846"/>
      <c r="PB45" s="846"/>
      <c r="PC45" s="846"/>
      <c r="PD45" s="846"/>
      <c r="PE45" s="846"/>
      <c r="PF45" s="846"/>
      <c r="PG45" s="846"/>
      <c r="PH45" s="846"/>
      <c r="PI45" s="846"/>
      <c r="PJ45" s="846"/>
      <c r="PK45" s="846"/>
      <c r="PL45" s="846"/>
      <c r="PM45" s="846"/>
      <c r="PN45" s="846"/>
      <c r="PO45" s="846"/>
      <c r="PP45" s="846"/>
      <c r="PQ45" s="846"/>
      <c r="PR45" s="846"/>
      <c r="PS45" s="846"/>
      <c r="PT45" s="846"/>
      <c r="PU45" s="846"/>
      <c r="PV45" s="846"/>
      <c r="PW45" s="846"/>
      <c r="PX45" s="846"/>
      <c r="PY45" s="846"/>
      <c r="PZ45" s="846"/>
      <c r="QA45" s="846"/>
      <c r="QB45" s="846"/>
      <c r="QC45" s="846"/>
      <c r="QD45" s="846"/>
      <c r="QE45" s="846"/>
      <c r="QF45" s="846"/>
      <c r="QG45" s="846"/>
      <c r="QH45" s="846"/>
      <c r="QI45" s="846"/>
      <c r="QJ45" s="846"/>
      <c r="QK45" s="846"/>
      <c r="QL45" s="846"/>
      <c r="QM45" s="846"/>
      <c r="QN45" s="846"/>
      <c r="QO45" s="846"/>
      <c r="QP45" s="846"/>
      <c r="QQ45" s="846"/>
      <c r="QR45" s="846"/>
      <c r="QS45" s="846"/>
      <c r="QT45" s="846"/>
      <c r="QU45" s="846"/>
      <c r="QV45" s="846"/>
      <c r="QW45" s="846"/>
      <c r="QX45" s="846"/>
      <c r="QY45" s="846"/>
      <c r="QZ45" s="846"/>
      <c r="RA45" s="846"/>
      <c r="RB45" s="846"/>
      <c r="RC45" s="846"/>
      <c r="RD45" s="846"/>
      <c r="RE45" s="846"/>
      <c r="RF45" s="846"/>
      <c r="RG45" s="846"/>
      <c r="RH45" s="846"/>
      <c r="RI45" s="846"/>
      <c r="RJ45" s="846"/>
      <c r="RK45" s="846"/>
      <c r="RL45" s="846"/>
      <c r="RM45" s="846"/>
      <c r="RN45" s="846"/>
      <c r="RO45" s="846"/>
      <c r="RP45" s="846"/>
      <c r="RQ45" s="846"/>
      <c r="RR45" s="846"/>
      <c r="RS45" s="846"/>
      <c r="RT45" s="846"/>
      <c r="RU45" s="846"/>
      <c r="RV45" s="846"/>
      <c r="RW45" s="846"/>
      <c r="RX45" s="846"/>
      <c r="RY45" s="846"/>
      <c r="RZ45" s="846"/>
      <c r="SA45" s="846"/>
      <c r="SB45" s="846"/>
      <c r="SC45" s="846"/>
      <c r="SD45" s="846"/>
      <c r="SE45" s="846"/>
      <c r="SF45" s="846"/>
      <c r="SG45" s="846"/>
      <c r="SH45" s="846"/>
      <c r="SI45" s="846"/>
      <c r="SJ45" s="846"/>
      <c r="SK45" s="846"/>
      <c r="SL45" s="846"/>
      <c r="SM45" s="846"/>
      <c r="SN45" s="846"/>
      <c r="SO45" s="846"/>
      <c r="SP45" s="846"/>
      <c r="SQ45" s="846"/>
      <c r="SR45" s="846"/>
      <c r="SS45" s="846"/>
      <c r="ST45" s="846"/>
      <c r="SU45" s="846"/>
      <c r="SV45" s="846"/>
      <c r="SW45" s="846"/>
      <c r="SX45" s="846"/>
      <c r="SY45" s="846"/>
      <c r="SZ45" s="846"/>
      <c r="TA45" s="846"/>
      <c r="TB45" s="846"/>
      <c r="TC45" s="846"/>
      <c r="TD45" s="846"/>
      <c r="TE45" s="846"/>
      <c r="TF45" s="846"/>
      <c r="TG45" s="846"/>
      <c r="TH45" s="846"/>
      <c r="TI45" s="846"/>
      <c r="TJ45" s="846"/>
      <c r="TK45" s="846"/>
      <c r="TL45" s="846"/>
      <c r="TM45" s="846"/>
      <c r="TN45" s="846"/>
      <c r="TO45" s="846"/>
      <c r="TP45" s="846"/>
      <c r="TQ45" s="846"/>
      <c r="TR45" s="846"/>
      <c r="TS45" s="846"/>
      <c r="TT45" s="846"/>
      <c r="TU45" s="846"/>
      <c r="TV45" s="846"/>
      <c r="TW45" s="846"/>
      <c r="TX45" s="846"/>
      <c r="TY45" s="846"/>
      <c r="TZ45" s="846"/>
      <c r="UA45" s="846"/>
      <c r="UB45" s="846"/>
      <c r="UC45" s="846"/>
      <c r="UD45" s="846"/>
      <c r="UE45" s="846"/>
      <c r="UF45" s="846"/>
      <c r="UG45" s="846"/>
      <c r="UH45" s="846"/>
      <c r="UI45" s="846"/>
      <c r="UJ45" s="846"/>
      <c r="UK45" s="846"/>
      <c r="UL45" s="846"/>
      <c r="UM45" s="846"/>
      <c r="UN45" s="846"/>
      <c r="UO45" s="846"/>
      <c r="UP45" s="846"/>
      <c r="UQ45" s="846"/>
      <c r="UR45" s="846"/>
      <c r="US45" s="846"/>
      <c r="UT45" s="846"/>
      <c r="UU45" s="846"/>
      <c r="UV45" s="846"/>
      <c r="UW45" s="846"/>
      <c r="UX45" s="846"/>
      <c r="UY45" s="846"/>
      <c r="UZ45" s="846"/>
      <c r="VA45" s="846"/>
      <c r="VB45" s="846"/>
      <c r="VC45" s="846"/>
      <c r="VD45" s="846"/>
      <c r="VE45" s="846"/>
      <c r="VF45" s="846"/>
      <c r="VG45" s="846"/>
      <c r="VH45" s="846"/>
      <c r="VI45" s="846"/>
      <c r="VJ45" s="846"/>
      <c r="VK45" s="846"/>
      <c r="VL45" s="846"/>
      <c r="VM45" s="846"/>
      <c r="VN45" s="846"/>
      <c r="VO45" s="846"/>
      <c r="VP45" s="846"/>
      <c r="VQ45" s="846"/>
      <c r="VR45" s="846"/>
      <c r="VS45" s="846"/>
      <c r="VT45" s="846"/>
      <c r="VU45" s="846"/>
      <c r="VV45" s="846"/>
      <c r="VW45" s="846"/>
      <c r="VX45" s="846"/>
      <c r="VY45" s="846"/>
      <c r="VZ45" s="846"/>
      <c r="WA45" s="846"/>
      <c r="WB45" s="846"/>
      <c r="WC45" s="846"/>
      <c r="WD45" s="846"/>
      <c r="WE45" s="846"/>
      <c r="WF45" s="846"/>
      <c r="WG45" s="846"/>
      <c r="WH45" s="846"/>
      <c r="WI45" s="846"/>
      <c r="WJ45" s="846"/>
      <c r="WK45" s="846"/>
      <c r="WL45" s="846"/>
      <c r="WM45" s="846"/>
      <c r="WN45" s="846"/>
      <c r="WO45" s="846"/>
      <c r="WP45" s="846"/>
      <c r="WQ45" s="846"/>
      <c r="WR45" s="846"/>
      <c r="WS45" s="846"/>
      <c r="WT45" s="846"/>
      <c r="WU45" s="846"/>
      <c r="WV45" s="846"/>
      <c r="WW45" s="846"/>
      <c r="WX45" s="846"/>
      <c r="WY45" s="846"/>
      <c r="WZ45" s="846"/>
      <c r="XA45" s="846"/>
      <c r="XB45" s="846"/>
      <c r="XC45" s="846"/>
      <c r="XD45" s="846"/>
      <c r="XE45" s="846"/>
      <c r="XF45" s="846"/>
      <c r="XG45" s="846"/>
      <c r="XH45" s="846"/>
      <c r="XI45" s="846"/>
      <c r="XJ45" s="846"/>
      <c r="XK45" s="846"/>
      <c r="XL45" s="846"/>
      <c r="XM45" s="846"/>
      <c r="XN45" s="846"/>
      <c r="XO45" s="846"/>
      <c r="XP45" s="846"/>
      <c r="XQ45" s="846"/>
      <c r="XR45" s="846"/>
      <c r="XS45" s="846"/>
      <c r="XT45" s="846"/>
      <c r="XU45" s="846"/>
      <c r="XV45" s="846"/>
      <c r="XW45" s="846"/>
      <c r="XX45" s="846"/>
      <c r="XY45" s="846"/>
      <c r="XZ45" s="846"/>
      <c r="YA45" s="846"/>
      <c r="YB45" s="846"/>
      <c r="YC45" s="846"/>
      <c r="YD45" s="846"/>
      <c r="YE45" s="846"/>
      <c r="YF45" s="846"/>
      <c r="YG45" s="846"/>
      <c r="YH45" s="846"/>
      <c r="YI45" s="846"/>
      <c r="YJ45" s="846"/>
      <c r="YK45" s="846"/>
      <c r="YL45" s="846"/>
      <c r="YM45" s="846"/>
      <c r="YN45" s="846"/>
      <c r="YO45" s="846"/>
      <c r="YP45" s="846"/>
      <c r="YQ45" s="846"/>
      <c r="YR45" s="846"/>
      <c r="YS45" s="846"/>
      <c r="YT45" s="846"/>
      <c r="YU45" s="846"/>
      <c r="YV45" s="846"/>
      <c r="YW45" s="846"/>
      <c r="YX45" s="846"/>
      <c r="YY45" s="846"/>
      <c r="YZ45" s="846"/>
      <c r="ZA45" s="846"/>
      <c r="ZB45" s="846"/>
      <c r="ZC45" s="846"/>
      <c r="ZD45" s="846"/>
      <c r="ZE45" s="846"/>
      <c r="ZF45" s="846"/>
      <c r="ZG45" s="846"/>
      <c r="ZH45" s="846"/>
      <c r="ZI45" s="846"/>
      <c r="ZJ45" s="846"/>
      <c r="ZK45" s="846"/>
      <c r="ZL45" s="846"/>
      <c r="ZM45" s="846"/>
      <c r="ZN45" s="846"/>
      <c r="ZO45" s="846"/>
      <c r="ZP45" s="846"/>
      <c r="ZQ45" s="846"/>
      <c r="ZR45" s="846"/>
      <c r="ZS45" s="846"/>
      <c r="ZT45" s="846"/>
      <c r="ZU45" s="846"/>
      <c r="ZV45" s="846"/>
      <c r="ZW45" s="846"/>
      <c r="ZX45" s="846"/>
      <c r="ZY45" s="846"/>
      <c r="ZZ45" s="846"/>
      <c r="AAA45" s="846"/>
      <c r="AAB45" s="846"/>
      <c r="AAC45" s="846"/>
      <c r="AAD45" s="846"/>
      <c r="AAE45" s="846"/>
      <c r="AAF45" s="846"/>
      <c r="AAG45" s="846"/>
      <c r="AAH45" s="846"/>
      <c r="AAI45" s="846"/>
      <c r="AAJ45" s="846"/>
      <c r="AAK45" s="846"/>
      <c r="AAL45" s="846"/>
      <c r="AAM45" s="846"/>
      <c r="AAN45" s="846"/>
      <c r="AAO45" s="846"/>
      <c r="AAP45" s="846"/>
      <c r="AAQ45" s="846"/>
      <c r="AAR45" s="846"/>
      <c r="AAS45" s="846"/>
      <c r="AAT45" s="846"/>
      <c r="AAU45" s="846"/>
      <c r="AAV45" s="846"/>
      <c r="AAW45" s="846"/>
      <c r="AAX45" s="846"/>
      <c r="AAY45" s="846"/>
      <c r="AAZ45" s="846"/>
      <c r="ABA45" s="846"/>
      <c r="ABB45" s="846"/>
      <c r="ABC45" s="846"/>
      <c r="ABD45" s="846"/>
      <c r="ABE45" s="846"/>
      <c r="ABF45" s="846"/>
      <c r="ABG45" s="846"/>
      <c r="ABH45" s="846"/>
      <c r="ABI45" s="846"/>
      <c r="ABJ45" s="846"/>
      <c r="ABK45" s="846"/>
      <c r="ABL45" s="846"/>
      <c r="ABM45" s="846"/>
      <c r="ABN45" s="846"/>
      <c r="ABO45" s="846"/>
      <c r="ABP45" s="846"/>
      <c r="ABQ45" s="846"/>
      <c r="ABR45" s="846"/>
      <c r="ABS45" s="846"/>
      <c r="ABT45" s="846"/>
      <c r="ABU45" s="846"/>
      <c r="ABV45" s="846"/>
      <c r="ABW45" s="846"/>
      <c r="ABX45" s="846"/>
      <c r="ABY45" s="846"/>
      <c r="ABZ45" s="846"/>
      <c r="ACA45" s="846"/>
      <c r="ACB45" s="846"/>
      <c r="ACC45" s="846"/>
      <c r="ACD45" s="846"/>
      <c r="ACE45" s="846"/>
      <c r="ACF45" s="846"/>
      <c r="ACG45" s="846"/>
      <c r="ACH45" s="846"/>
      <c r="ACI45" s="846"/>
      <c r="ACJ45" s="846"/>
      <c r="ACK45" s="846"/>
      <c r="ACL45" s="846"/>
      <c r="ACM45" s="846"/>
      <c r="ACN45" s="846"/>
      <c r="ACO45" s="846"/>
      <c r="ACP45" s="846"/>
      <c r="ACQ45" s="846"/>
      <c r="ACR45" s="846"/>
      <c r="ACS45" s="846"/>
      <c r="ACT45" s="846"/>
      <c r="ACU45" s="846"/>
      <c r="ACV45" s="846"/>
      <c r="ACW45" s="846"/>
      <c r="ACX45" s="846"/>
      <c r="ACY45" s="846"/>
      <c r="ACZ45" s="846"/>
      <c r="ADA45" s="846"/>
      <c r="ADB45" s="846"/>
      <c r="ADC45" s="846"/>
      <c r="ADD45" s="846"/>
      <c r="ADE45" s="846"/>
      <c r="ADF45" s="846"/>
      <c r="ADG45" s="846"/>
      <c r="ADH45" s="846"/>
      <c r="ADI45" s="846"/>
      <c r="ADJ45" s="846"/>
      <c r="ADK45" s="846"/>
      <c r="ADL45" s="846"/>
      <c r="ADM45" s="846"/>
      <c r="ADN45" s="846"/>
      <c r="ADO45" s="846"/>
      <c r="ADP45" s="846"/>
      <c r="ADQ45" s="846"/>
      <c r="ADR45" s="846"/>
      <c r="ADS45" s="846"/>
      <c r="ADT45" s="846"/>
      <c r="ADU45" s="846"/>
      <c r="ADV45" s="846"/>
      <c r="ADW45" s="846"/>
      <c r="ADX45" s="846"/>
      <c r="ADY45" s="846"/>
      <c r="ADZ45" s="846"/>
      <c r="AEA45" s="846"/>
      <c r="AEB45" s="846"/>
      <c r="AEC45" s="846"/>
      <c r="AED45" s="846"/>
      <c r="AEE45" s="846"/>
      <c r="AEF45" s="846"/>
      <c r="AEG45" s="846"/>
      <c r="AEH45" s="846"/>
      <c r="AEI45" s="846"/>
      <c r="AEJ45" s="846"/>
      <c r="AEK45" s="846"/>
      <c r="AEL45" s="846"/>
      <c r="AEM45" s="846"/>
      <c r="AEN45" s="846"/>
      <c r="AEO45" s="846"/>
      <c r="AEP45" s="846"/>
      <c r="AEQ45" s="846"/>
      <c r="AER45" s="846"/>
      <c r="AES45" s="846"/>
      <c r="AET45" s="846"/>
      <c r="AEU45" s="846"/>
      <c r="AEV45" s="846"/>
      <c r="AEW45" s="846"/>
      <c r="AEX45" s="846"/>
      <c r="AEY45" s="846"/>
      <c r="AEZ45" s="846"/>
      <c r="AFA45" s="846"/>
      <c r="AFB45" s="846"/>
      <c r="AFC45" s="846"/>
      <c r="AFD45" s="846"/>
      <c r="AFE45" s="846"/>
      <c r="AFF45" s="846"/>
      <c r="AFG45" s="846"/>
      <c r="AFH45" s="846"/>
      <c r="AFI45" s="846"/>
      <c r="AFJ45" s="846"/>
      <c r="AFK45" s="846"/>
      <c r="AFL45" s="846"/>
      <c r="AFM45" s="846"/>
      <c r="AFN45" s="846"/>
      <c r="AFO45" s="846"/>
      <c r="AFP45" s="846"/>
      <c r="AFQ45" s="846"/>
      <c r="AFR45" s="846"/>
      <c r="AFS45" s="846"/>
      <c r="AFT45" s="846"/>
      <c r="AFU45" s="846"/>
      <c r="AFV45" s="846"/>
      <c r="AFW45" s="846"/>
      <c r="AFX45" s="846"/>
      <c r="AFY45" s="846"/>
      <c r="AFZ45" s="846"/>
      <c r="AGA45" s="846"/>
      <c r="AGB45" s="846"/>
      <c r="AGC45" s="846"/>
      <c r="AGD45" s="846"/>
      <c r="AGE45" s="846"/>
      <c r="AGF45" s="846"/>
      <c r="AGG45" s="846"/>
      <c r="AGH45" s="846"/>
      <c r="AGI45" s="846"/>
      <c r="AGJ45" s="846"/>
      <c r="AGK45" s="846"/>
      <c r="AGL45" s="846"/>
      <c r="AGM45" s="846"/>
      <c r="AGN45" s="846"/>
      <c r="AGO45" s="846"/>
      <c r="AGP45" s="846"/>
      <c r="AGQ45" s="846"/>
      <c r="AGR45" s="846"/>
      <c r="AGS45" s="846"/>
      <c r="AGT45" s="846"/>
      <c r="AGU45" s="846"/>
      <c r="AGV45" s="846"/>
      <c r="AGW45" s="846"/>
      <c r="AGX45" s="846"/>
      <c r="AGY45" s="846"/>
      <c r="AGZ45" s="846"/>
      <c r="AHA45" s="846"/>
      <c r="AHB45" s="846"/>
      <c r="AHC45" s="846"/>
      <c r="AHD45" s="846"/>
      <c r="AHE45" s="846"/>
      <c r="AHF45" s="846"/>
      <c r="AHG45" s="846"/>
      <c r="AHH45" s="846"/>
      <c r="AHI45" s="846"/>
      <c r="AHJ45" s="846"/>
      <c r="AHK45" s="846"/>
      <c r="AHL45" s="846"/>
      <c r="AHM45" s="846"/>
      <c r="AHN45" s="846"/>
      <c r="AHO45" s="846"/>
      <c r="AHP45" s="846"/>
      <c r="AHQ45" s="846"/>
      <c r="AHR45" s="846"/>
      <c r="AHS45" s="846"/>
      <c r="AHT45" s="846"/>
      <c r="AHU45" s="846"/>
      <c r="AHV45" s="846"/>
      <c r="AHW45" s="846"/>
      <c r="AHX45" s="846"/>
      <c r="AHY45" s="846"/>
      <c r="AHZ45" s="846"/>
      <c r="AIA45" s="846"/>
      <c r="AIB45" s="846"/>
      <c r="AIC45" s="846"/>
      <c r="AID45" s="846"/>
      <c r="AIE45" s="846"/>
      <c r="AIF45" s="846"/>
      <c r="AIG45" s="846"/>
      <c r="AIH45" s="846"/>
      <c r="AII45" s="846"/>
      <c r="AIJ45" s="846"/>
      <c r="AIK45" s="846"/>
      <c r="AIL45" s="846"/>
      <c r="AIM45" s="846"/>
      <c r="AIN45" s="846"/>
      <c r="AIO45" s="846"/>
      <c r="AIP45" s="846"/>
      <c r="AIQ45" s="846"/>
      <c r="AIR45" s="846"/>
      <c r="AIS45" s="846"/>
      <c r="AIT45" s="846"/>
      <c r="AIU45" s="846"/>
      <c r="AIV45" s="846"/>
      <c r="AIW45" s="846"/>
      <c r="AIX45" s="846"/>
      <c r="AIY45" s="846"/>
      <c r="AIZ45" s="846"/>
      <c r="AJA45" s="846"/>
      <c r="AJB45" s="846"/>
      <c r="AJC45" s="846"/>
      <c r="AJD45" s="846"/>
      <c r="AJE45" s="846"/>
      <c r="AJF45" s="846"/>
      <c r="AJG45" s="846"/>
      <c r="AJH45" s="846"/>
      <c r="AJI45" s="846"/>
      <c r="AJJ45" s="846"/>
      <c r="AJK45" s="846"/>
      <c r="AJL45" s="846"/>
      <c r="AJM45" s="846"/>
      <c r="AJN45" s="846"/>
      <c r="AJO45" s="846"/>
      <c r="AJP45" s="846"/>
      <c r="AJQ45" s="846"/>
      <c r="AJR45" s="846"/>
      <c r="AJS45" s="846"/>
      <c r="AJT45" s="846"/>
      <c r="AJU45" s="846"/>
      <c r="AJV45" s="846"/>
      <c r="AJW45" s="846"/>
      <c r="AJX45" s="846"/>
      <c r="AJY45" s="846"/>
      <c r="AJZ45" s="846"/>
      <c r="AKA45" s="846"/>
      <c r="AKB45" s="846"/>
      <c r="AKC45" s="846"/>
      <c r="AKD45" s="846"/>
      <c r="AKE45" s="846"/>
      <c r="AKF45" s="846"/>
      <c r="AKG45" s="846"/>
      <c r="AKH45" s="846"/>
      <c r="AKI45" s="846"/>
      <c r="AKJ45" s="846"/>
      <c r="AKK45" s="846"/>
      <c r="AKL45" s="846"/>
      <c r="AKM45" s="846"/>
      <c r="AKN45" s="846"/>
      <c r="AKO45" s="846"/>
      <c r="AKP45" s="846"/>
      <c r="AKQ45" s="846"/>
      <c r="AKR45" s="846"/>
      <c r="AKS45" s="846"/>
      <c r="AKT45" s="846"/>
      <c r="AKU45" s="846"/>
      <c r="AKV45" s="846"/>
      <c r="AKW45" s="846"/>
      <c r="AKX45" s="846"/>
      <c r="AKY45" s="846"/>
      <c r="AKZ45" s="846"/>
      <c r="ALA45" s="846"/>
      <c r="ALB45" s="846"/>
      <c r="ALC45" s="846"/>
      <c r="ALD45" s="846"/>
      <c r="ALE45" s="846"/>
      <c r="ALF45" s="846"/>
      <c r="ALG45" s="846"/>
      <c r="ALH45" s="846"/>
      <c r="ALI45" s="846"/>
      <c r="ALJ45" s="846"/>
      <c r="ALK45" s="846"/>
      <c r="ALL45" s="846"/>
      <c r="ALM45" s="846"/>
      <c r="ALN45" s="846"/>
      <c r="ALO45" s="846"/>
      <c r="ALP45" s="846"/>
      <c r="ALQ45" s="846"/>
      <c r="ALR45" s="846"/>
      <c r="ALS45" s="846"/>
      <c r="ALT45" s="846"/>
      <c r="ALU45" s="846"/>
      <c r="ALV45" s="846"/>
      <c r="ALW45" s="846"/>
      <c r="ALX45" s="846"/>
      <c r="ALY45" s="846"/>
      <c r="ALZ45" s="846"/>
      <c r="AMA45" s="846"/>
      <c r="AMB45" s="846"/>
      <c r="AMC45" s="846"/>
      <c r="AMD45" s="846"/>
      <c r="AME45" s="846"/>
      <c r="AMF45" s="846"/>
      <c r="AMG45" s="846"/>
      <c r="AMH45" s="846"/>
      <c r="AMI45" s="846"/>
      <c r="AMJ45" s="846"/>
      <c r="AMK45" s="846"/>
      <c r="AML45" s="846"/>
      <c r="AMM45" s="846"/>
      <c r="AMN45" s="846"/>
      <c r="AMO45" s="846"/>
      <c r="AMP45" s="846"/>
      <c r="AMQ45" s="846"/>
      <c r="AMR45" s="846"/>
      <c r="AMS45" s="846"/>
      <c r="AMT45" s="846"/>
      <c r="AMU45" s="846"/>
      <c r="AMV45" s="846"/>
      <c r="AMW45" s="846"/>
      <c r="AMX45" s="846"/>
      <c r="AMY45" s="846"/>
      <c r="AMZ45" s="846"/>
      <c r="ANA45" s="846"/>
      <c r="ANB45" s="846"/>
      <c r="ANC45" s="846"/>
      <c r="AND45" s="846"/>
      <c r="ANE45" s="846"/>
      <c r="ANF45" s="846"/>
      <c r="ANG45" s="846"/>
      <c r="ANH45" s="846"/>
      <c r="ANI45" s="846"/>
      <c r="ANJ45" s="846"/>
      <c r="ANK45" s="846"/>
      <c r="ANL45" s="846"/>
      <c r="ANM45" s="846"/>
      <c r="ANN45" s="846"/>
      <c r="ANO45" s="846"/>
      <c r="ANP45" s="846"/>
      <c r="ANQ45" s="846"/>
      <c r="ANR45" s="846"/>
      <c r="ANS45" s="846"/>
      <c r="ANT45" s="846"/>
      <c r="ANU45" s="846"/>
      <c r="ANV45" s="846"/>
      <c r="ANW45" s="846"/>
      <c r="ANX45" s="846"/>
      <c r="ANY45" s="846"/>
      <c r="ANZ45" s="846"/>
      <c r="AOA45" s="846"/>
      <c r="AOB45" s="846"/>
      <c r="AOC45" s="846"/>
      <c r="AOD45" s="846"/>
      <c r="AOE45" s="846"/>
      <c r="AOF45" s="846"/>
      <c r="AOG45" s="846"/>
      <c r="AOH45" s="846"/>
      <c r="AOI45" s="846"/>
      <c r="AOJ45" s="846"/>
      <c r="AOK45" s="846"/>
      <c r="AOL45" s="846"/>
      <c r="AOM45" s="846"/>
      <c r="AON45" s="846"/>
      <c r="AOO45" s="846"/>
      <c r="AOP45" s="846"/>
      <c r="AOQ45" s="846"/>
      <c r="AOR45" s="846"/>
      <c r="AOS45" s="846"/>
      <c r="AOT45" s="846"/>
      <c r="AOU45" s="846"/>
      <c r="AOV45" s="846"/>
      <c r="AOW45" s="846"/>
      <c r="AOX45" s="846"/>
      <c r="AOY45" s="846"/>
      <c r="AOZ45" s="846"/>
      <c r="APA45" s="846"/>
      <c r="APB45" s="846"/>
      <c r="APC45" s="846"/>
      <c r="APD45" s="846"/>
      <c r="APE45" s="846"/>
      <c r="APF45" s="846"/>
      <c r="APG45" s="846"/>
      <c r="APH45" s="846"/>
      <c r="API45" s="846"/>
      <c r="APJ45" s="846"/>
      <c r="APK45" s="846"/>
      <c r="APL45" s="846"/>
      <c r="APM45" s="846"/>
      <c r="APN45" s="846"/>
      <c r="APO45" s="846"/>
      <c r="APP45" s="846"/>
      <c r="APQ45" s="846"/>
      <c r="APR45" s="846"/>
      <c r="APS45" s="846"/>
      <c r="APT45" s="846"/>
      <c r="APU45" s="846"/>
      <c r="APV45" s="846"/>
      <c r="APW45" s="846"/>
      <c r="APX45" s="846"/>
      <c r="APY45" s="846"/>
      <c r="APZ45" s="846"/>
      <c r="AQA45" s="846"/>
      <c r="AQB45" s="846"/>
      <c r="AQC45" s="846"/>
      <c r="AQD45" s="846"/>
      <c r="AQE45" s="846"/>
      <c r="AQF45" s="846"/>
      <c r="AQG45" s="846"/>
      <c r="AQH45" s="846"/>
      <c r="AQI45" s="846"/>
      <c r="AQJ45" s="846"/>
      <c r="AQK45" s="846"/>
      <c r="AQL45" s="846"/>
      <c r="AQM45" s="846"/>
      <c r="AQN45" s="846"/>
      <c r="AQO45" s="846"/>
      <c r="AQP45" s="846"/>
      <c r="AQQ45" s="846"/>
      <c r="AQR45" s="846"/>
      <c r="AQS45" s="846"/>
      <c r="AQT45" s="846"/>
      <c r="AQU45" s="846"/>
      <c r="AQV45" s="846"/>
      <c r="AQW45" s="846"/>
      <c r="AQX45" s="846"/>
      <c r="AQY45" s="846"/>
      <c r="AQZ45" s="846"/>
      <c r="ARA45" s="846"/>
      <c r="ARB45" s="846"/>
      <c r="ARC45" s="846"/>
      <c r="ARD45" s="846"/>
      <c r="ARE45" s="846"/>
      <c r="ARF45" s="846"/>
      <c r="ARG45" s="846"/>
      <c r="ARH45" s="846"/>
      <c r="ARI45" s="846"/>
      <c r="ARJ45" s="846"/>
      <c r="ARK45" s="846"/>
      <c r="ARL45" s="846"/>
      <c r="ARM45" s="846"/>
      <c r="ARN45" s="846"/>
      <c r="ARO45" s="846"/>
      <c r="ARP45" s="846"/>
      <c r="ARQ45" s="846"/>
      <c r="ARR45" s="846"/>
      <c r="ARS45" s="846"/>
      <c r="ART45" s="846"/>
      <c r="ARU45" s="846"/>
      <c r="ARV45" s="846"/>
      <c r="ARW45" s="846"/>
      <c r="ARX45" s="846"/>
      <c r="ARY45" s="846"/>
      <c r="ARZ45" s="846"/>
      <c r="ASA45" s="846"/>
      <c r="ASB45" s="846"/>
      <c r="ASC45" s="846"/>
      <c r="ASD45" s="846"/>
      <c r="ASE45" s="846"/>
      <c r="ASF45" s="846"/>
      <c r="ASG45" s="846"/>
      <c r="ASH45" s="846"/>
      <c r="ASI45" s="846"/>
      <c r="ASJ45" s="846"/>
      <c r="ASK45" s="846"/>
      <c r="ASL45" s="846"/>
      <c r="ASM45" s="846"/>
      <c r="ASN45" s="846"/>
      <c r="ASO45" s="846"/>
      <c r="ASP45" s="846"/>
      <c r="ASQ45" s="846"/>
      <c r="ASR45" s="846"/>
      <c r="ASS45" s="846"/>
      <c r="AST45" s="846"/>
      <c r="ASU45" s="846"/>
      <c r="ASV45" s="846"/>
      <c r="ASW45" s="846"/>
      <c r="ASX45" s="846"/>
      <c r="ASY45" s="846"/>
      <c r="ASZ45" s="846"/>
      <c r="ATA45" s="846"/>
      <c r="ATB45" s="846"/>
      <c r="ATC45" s="846"/>
      <c r="ATD45" s="846"/>
      <c r="ATE45" s="846"/>
      <c r="ATF45" s="846"/>
      <c r="ATG45" s="846"/>
      <c r="ATH45" s="846"/>
      <c r="ATI45" s="846"/>
      <c r="ATJ45" s="846"/>
      <c r="ATK45" s="846"/>
      <c r="ATL45" s="846"/>
      <c r="ATM45" s="846"/>
      <c r="ATN45" s="846"/>
      <c r="ATO45" s="846"/>
      <c r="ATP45" s="846"/>
      <c r="ATQ45" s="846"/>
      <c r="ATR45" s="846"/>
      <c r="ATS45" s="846"/>
      <c r="ATT45" s="846"/>
      <c r="ATU45" s="846"/>
      <c r="ATV45" s="846"/>
      <c r="ATW45" s="846"/>
      <c r="ATX45" s="846"/>
      <c r="ATY45" s="846"/>
      <c r="ATZ45" s="846"/>
      <c r="AUA45" s="846"/>
      <c r="AUB45" s="846"/>
      <c r="AUC45" s="846"/>
      <c r="AUD45" s="846"/>
      <c r="AUE45" s="846"/>
      <c r="AUF45" s="846"/>
      <c r="AUG45" s="846"/>
      <c r="AUH45" s="846"/>
      <c r="AUI45" s="846"/>
      <c r="AUJ45" s="846"/>
      <c r="AUK45" s="846"/>
      <c r="AUL45" s="846"/>
      <c r="AUM45" s="846"/>
      <c r="AUN45" s="846"/>
      <c r="AUO45" s="846"/>
      <c r="AUP45" s="846"/>
      <c r="AUQ45" s="846"/>
      <c r="AUR45" s="846"/>
      <c r="AUS45" s="846"/>
      <c r="AUT45" s="846"/>
      <c r="AUU45" s="846"/>
      <c r="AUV45" s="846"/>
      <c r="AUW45" s="846"/>
      <c r="AUX45" s="846"/>
      <c r="AUY45" s="846"/>
      <c r="AUZ45" s="846"/>
      <c r="AVA45" s="846"/>
      <c r="AVB45" s="846"/>
      <c r="AVC45" s="846"/>
      <c r="AVD45" s="846"/>
      <c r="AVE45" s="846"/>
      <c r="AVF45" s="846"/>
      <c r="AVG45" s="846"/>
      <c r="AVH45" s="846"/>
      <c r="AVI45" s="846"/>
      <c r="AVJ45" s="846"/>
      <c r="AVK45" s="846"/>
      <c r="AVL45" s="846"/>
      <c r="AVM45" s="846"/>
      <c r="AVN45" s="846"/>
      <c r="AVO45" s="846"/>
      <c r="AVP45" s="846"/>
      <c r="AVQ45" s="846"/>
      <c r="AVR45" s="846"/>
      <c r="AVS45" s="846"/>
      <c r="AVT45" s="846"/>
      <c r="AVU45" s="846"/>
      <c r="AVV45" s="846"/>
      <c r="AVW45" s="846"/>
      <c r="AVX45" s="846"/>
      <c r="AVY45" s="846"/>
      <c r="AVZ45" s="846"/>
      <c r="AWA45" s="846"/>
      <c r="AWB45" s="846"/>
      <c r="AWC45" s="846"/>
      <c r="AWD45" s="846"/>
      <c r="AWE45" s="846"/>
      <c r="AWF45" s="846"/>
      <c r="AWG45" s="846"/>
      <c r="AWH45" s="846"/>
      <c r="AWI45" s="846"/>
      <c r="AWJ45" s="846"/>
      <c r="AWK45" s="846"/>
      <c r="AWL45" s="846"/>
      <c r="AWM45" s="846"/>
      <c r="AWN45" s="846"/>
      <c r="AWO45" s="846"/>
      <c r="AWP45" s="846"/>
      <c r="AWQ45" s="846"/>
      <c r="AWR45" s="846"/>
      <c r="AWS45" s="846"/>
      <c r="AWT45" s="846"/>
      <c r="AWU45" s="846"/>
      <c r="AWV45" s="846"/>
      <c r="AWW45" s="846"/>
      <c r="AWX45" s="846"/>
      <c r="AWY45" s="846"/>
      <c r="AWZ45" s="846"/>
      <c r="AXA45" s="846"/>
      <c r="AXB45" s="846"/>
      <c r="AXC45" s="846"/>
      <c r="AXD45" s="846"/>
      <c r="AXE45" s="846"/>
      <c r="AXF45" s="846"/>
      <c r="AXG45" s="846"/>
      <c r="AXH45" s="846"/>
      <c r="AXI45" s="846"/>
      <c r="AXJ45" s="846"/>
      <c r="AXK45" s="846"/>
      <c r="AXL45" s="846"/>
      <c r="AXM45" s="846"/>
      <c r="AXN45" s="846"/>
      <c r="AXO45" s="846"/>
      <c r="AXP45" s="846"/>
      <c r="AXQ45" s="846"/>
      <c r="AXR45" s="846"/>
      <c r="AXS45" s="846"/>
      <c r="AXT45" s="846"/>
      <c r="AXU45" s="846"/>
      <c r="AXV45" s="846"/>
      <c r="AXW45" s="846"/>
      <c r="AXX45" s="846"/>
      <c r="AXY45" s="846"/>
      <c r="AXZ45" s="846"/>
      <c r="AYA45" s="846"/>
      <c r="AYB45" s="846"/>
      <c r="AYC45" s="846"/>
      <c r="AYD45" s="846"/>
      <c r="AYE45" s="846"/>
      <c r="AYF45" s="846"/>
      <c r="AYG45" s="846"/>
      <c r="AYH45" s="846"/>
      <c r="AYI45" s="846"/>
      <c r="AYJ45" s="846"/>
      <c r="AYK45" s="846"/>
      <c r="AYL45" s="846"/>
      <c r="AYM45" s="846"/>
      <c r="AYN45" s="846"/>
      <c r="AYO45" s="846"/>
      <c r="AYP45" s="846"/>
      <c r="AYQ45" s="846"/>
      <c r="AYR45" s="846"/>
      <c r="AYS45" s="846"/>
      <c r="AYT45" s="846"/>
      <c r="AYU45" s="846"/>
      <c r="AYV45" s="846"/>
      <c r="AYW45" s="846"/>
      <c r="AYX45" s="846"/>
      <c r="AYY45" s="846"/>
      <c r="AYZ45" s="846"/>
      <c r="AZA45" s="846"/>
      <c r="AZB45" s="846"/>
      <c r="AZC45" s="846"/>
      <c r="AZD45" s="846"/>
      <c r="AZE45" s="846"/>
      <c r="AZF45" s="846"/>
      <c r="AZG45" s="846"/>
      <c r="AZH45" s="846"/>
      <c r="AZI45" s="846"/>
      <c r="AZJ45" s="846"/>
      <c r="AZK45" s="846"/>
      <c r="AZL45" s="846"/>
      <c r="AZM45" s="846"/>
      <c r="AZN45" s="846"/>
      <c r="AZO45" s="846"/>
      <c r="AZP45" s="846"/>
      <c r="AZQ45" s="846"/>
      <c r="AZR45" s="846"/>
      <c r="AZS45" s="846"/>
      <c r="AZT45" s="846"/>
      <c r="AZU45" s="846"/>
      <c r="AZV45" s="846"/>
      <c r="AZW45" s="846"/>
      <c r="AZX45" s="846"/>
      <c r="AZY45" s="846"/>
      <c r="AZZ45" s="846"/>
      <c r="BAA45" s="846"/>
      <c r="BAB45" s="846"/>
      <c r="BAC45" s="846"/>
      <c r="BAD45" s="846"/>
      <c r="BAE45" s="846"/>
      <c r="BAF45" s="846"/>
      <c r="BAG45" s="846"/>
      <c r="BAH45" s="846"/>
      <c r="BAI45" s="846"/>
      <c r="BAJ45" s="846"/>
      <c r="BAK45" s="846"/>
      <c r="BAL45" s="846"/>
      <c r="BAM45" s="846"/>
      <c r="BAN45" s="846"/>
      <c r="BAO45" s="846"/>
      <c r="BAP45" s="846"/>
      <c r="BAQ45" s="846"/>
      <c r="BAR45" s="846"/>
      <c r="BAS45" s="846"/>
      <c r="BAT45" s="846"/>
      <c r="BAU45" s="846"/>
      <c r="BAV45" s="846"/>
      <c r="BAW45" s="846"/>
      <c r="BAX45" s="846"/>
      <c r="BAY45" s="846"/>
      <c r="BAZ45" s="846"/>
      <c r="BBA45" s="846"/>
      <c r="BBB45" s="846"/>
      <c r="BBC45" s="846"/>
      <c r="BBD45" s="846"/>
      <c r="BBE45" s="846"/>
      <c r="BBF45" s="846"/>
      <c r="BBG45" s="846"/>
      <c r="BBH45" s="846"/>
      <c r="BBI45" s="846"/>
      <c r="BBJ45" s="846"/>
      <c r="BBK45" s="846"/>
      <c r="BBL45" s="846"/>
      <c r="BBM45" s="846"/>
      <c r="BBN45" s="846"/>
      <c r="BBO45" s="846"/>
      <c r="BBP45" s="846"/>
      <c r="BBQ45" s="846"/>
      <c r="BBR45" s="846"/>
      <c r="BBS45" s="846"/>
      <c r="BBT45" s="846"/>
      <c r="BBU45" s="846"/>
      <c r="BBV45" s="846"/>
      <c r="BBW45" s="846"/>
      <c r="BBX45" s="846"/>
      <c r="BBY45" s="846"/>
      <c r="BBZ45" s="846"/>
      <c r="BCA45" s="846"/>
      <c r="BCB45" s="846"/>
      <c r="BCC45" s="846"/>
      <c r="BCD45" s="846"/>
      <c r="BCE45" s="846"/>
      <c r="BCF45" s="846"/>
      <c r="BCG45" s="846"/>
      <c r="BCH45" s="846"/>
      <c r="BCI45" s="846"/>
      <c r="BCJ45" s="846"/>
      <c r="BCK45" s="846"/>
      <c r="BCL45" s="846"/>
      <c r="BCM45" s="846"/>
      <c r="BCN45" s="846"/>
      <c r="BCO45" s="846"/>
      <c r="BCP45" s="846"/>
      <c r="BCQ45" s="846"/>
      <c r="BCR45" s="846"/>
      <c r="BCS45" s="846"/>
      <c r="BCT45" s="846"/>
      <c r="BCU45" s="846"/>
      <c r="BCV45" s="846"/>
      <c r="BCW45" s="846"/>
      <c r="BCX45" s="846"/>
      <c r="BCY45" s="846"/>
      <c r="BCZ45" s="846"/>
      <c r="BDA45" s="846"/>
      <c r="BDB45" s="846"/>
      <c r="BDC45" s="846"/>
      <c r="BDD45" s="846"/>
      <c r="BDE45" s="846"/>
      <c r="BDF45" s="846"/>
      <c r="BDG45" s="846"/>
      <c r="BDH45" s="846"/>
      <c r="BDI45" s="846"/>
      <c r="BDJ45" s="846"/>
      <c r="BDK45" s="846"/>
      <c r="BDL45" s="846"/>
      <c r="BDM45" s="846"/>
      <c r="BDN45" s="846"/>
      <c r="BDO45" s="846"/>
      <c r="BDP45" s="846"/>
      <c r="BDQ45" s="846"/>
      <c r="BDR45" s="846"/>
      <c r="BDS45" s="846"/>
      <c r="BDT45" s="846"/>
      <c r="BDU45" s="846"/>
      <c r="BDV45" s="846"/>
      <c r="BDW45" s="846"/>
      <c r="BDX45" s="846"/>
      <c r="BDY45" s="846"/>
      <c r="BDZ45" s="846"/>
      <c r="BEA45" s="846"/>
      <c r="BEB45" s="846"/>
      <c r="BEC45" s="846"/>
      <c r="BED45" s="846"/>
      <c r="BEE45" s="846"/>
      <c r="BEF45" s="846"/>
      <c r="BEG45" s="846"/>
      <c r="BEH45" s="846"/>
      <c r="BEI45" s="846"/>
      <c r="BEJ45" s="846"/>
      <c r="BEK45" s="846"/>
      <c r="BEL45" s="846"/>
      <c r="BEM45" s="846"/>
      <c r="BEN45" s="846"/>
      <c r="BEO45" s="846"/>
      <c r="BEP45" s="846"/>
      <c r="BEQ45" s="846"/>
      <c r="BER45" s="846"/>
      <c r="BES45" s="846"/>
      <c r="BET45" s="846"/>
      <c r="BEU45" s="846"/>
      <c r="BEV45" s="846"/>
      <c r="BEW45" s="846"/>
      <c r="BEX45" s="846"/>
      <c r="BEY45" s="846"/>
      <c r="BEZ45" s="846"/>
      <c r="BFA45" s="846"/>
      <c r="BFB45" s="846"/>
      <c r="BFC45" s="846"/>
      <c r="BFD45" s="846"/>
      <c r="BFE45" s="846"/>
      <c r="BFF45" s="846"/>
      <c r="BFG45" s="846"/>
      <c r="BFH45" s="846"/>
      <c r="BFI45" s="846"/>
      <c r="BFJ45" s="846"/>
      <c r="BFK45" s="846"/>
      <c r="BFL45" s="846"/>
      <c r="BFM45" s="846"/>
      <c r="BFN45" s="846"/>
      <c r="BFO45" s="846"/>
      <c r="BFP45" s="846"/>
      <c r="BFQ45" s="846"/>
      <c r="BFR45" s="846"/>
      <c r="BFS45" s="846"/>
      <c r="BFT45" s="846"/>
      <c r="BFU45" s="846"/>
      <c r="BFV45" s="846"/>
      <c r="BFW45" s="846"/>
      <c r="BFX45" s="846"/>
      <c r="BFY45" s="846"/>
      <c r="BFZ45" s="846"/>
      <c r="BGA45" s="846"/>
      <c r="BGB45" s="846"/>
      <c r="BGC45" s="846"/>
      <c r="BGD45" s="846"/>
      <c r="BGE45" s="846"/>
      <c r="BGF45" s="846"/>
      <c r="BGG45" s="846"/>
      <c r="BGH45" s="846"/>
      <c r="BGI45" s="846"/>
      <c r="BGJ45" s="846"/>
      <c r="BGK45" s="846"/>
      <c r="BGL45" s="846"/>
      <c r="BGM45" s="846"/>
      <c r="BGN45" s="846"/>
      <c r="BGO45" s="846"/>
      <c r="BGP45" s="846"/>
      <c r="BGQ45" s="846"/>
      <c r="BGR45" s="846"/>
      <c r="BGS45" s="846"/>
      <c r="BGT45" s="846"/>
      <c r="BGU45" s="846"/>
      <c r="BGV45" s="846"/>
      <c r="BGW45" s="846"/>
      <c r="BGX45" s="846"/>
      <c r="BGY45" s="846"/>
      <c r="BGZ45" s="846"/>
      <c r="BHA45" s="846"/>
      <c r="BHB45" s="846"/>
      <c r="BHC45" s="846"/>
      <c r="BHD45" s="846"/>
      <c r="BHE45" s="846"/>
      <c r="BHF45" s="846"/>
      <c r="BHG45" s="846"/>
      <c r="BHH45" s="846"/>
      <c r="BHI45" s="846"/>
      <c r="BHJ45" s="846"/>
      <c r="BHK45" s="846"/>
      <c r="BHL45" s="846"/>
      <c r="BHM45" s="846"/>
      <c r="BHN45" s="846"/>
      <c r="BHO45" s="846"/>
      <c r="BHP45" s="846"/>
      <c r="BHQ45" s="846"/>
      <c r="BHR45" s="846"/>
      <c r="BHS45" s="846"/>
      <c r="BHT45" s="846"/>
      <c r="BHU45" s="846"/>
      <c r="BHV45" s="846"/>
      <c r="BHW45" s="846"/>
      <c r="BHX45" s="846"/>
      <c r="BHY45" s="846"/>
      <c r="BHZ45" s="846"/>
      <c r="BIA45" s="846"/>
      <c r="BIB45" s="846"/>
      <c r="BIC45" s="846"/>
      <c r="BID45" s="846"/>
      <c r="BIE45" s="846"/>
      <c r="BIF45" s="846"/>
      <c r="BIG45" s="846"/>
      <c r="BIH45" s="846"/>
      <c r="BII45" s="846"/>
      <c r="BIJ45" s="846"/>
      <c r="BIK45" s="846"/>
      <c r="BIL45" s="846"/>
      <c r="BIM45" s="846"/>
      <c r="BIN45" s="846"/>
      <c r="BIO45" s="846"/>
      <c r="BIP45" s="846"/>
      <c r="BIQ45" s="846"/>
      <c r="BIR45" s="846"/>
      <c r="BIS45" s="846"/>
      <c r="BIT45" s="846"/>
      <c r="BIU45" s="846"/>
      <c r="BIV45" s="846"/>
      <c r="BIW45" s="846"/>
      <c r="BIX45" s="846"/>
      <c r="BIY45" s="846"/>
      <c r="BIZ45" s="846"/>
      <c r="BJA45" s="846"/>
      <c r="BJB45" s="846"/>
      <c r="BJC45" s="846"/>
      <c r="BJD45" s="846"/>
      <c r="BJE45" s="846"/>
      <c r="BJF45" s="846"/>
      <c r="BJG45" s="846"/>
      <c r="BJH45" s="846"/>
      <c r="BJI45" s="846"/>
      <c r="BJJ45" s="846"/>
      <c r="BJK45" s="846"/>
      <c r="BJL45" s="846"/>
      <c r="BJM45" s="846"/>
      <c r="BJN45" s="846"/>
      <c r="BJO45" s="846"/>
      <c r="BJP45" s="846"/>
      <c r="BJQ45" s="846"/>
      <c r="BJR45" s="846"/>
      <c r="BJS45" s="846"/>
      <c r="BJT45" s="846"/>
      <c r="BJU45" s="846"/>
      <c r="BJV45" s="846"/>
      <c r="BJW45" s="846"/>
      <c r="BJX45" s="846"/>
      <c r="BJY45" s="846"/>
      <c r="BJZ45" s="846"/>
      <c r="BKA45" s="846"/>
      <c r="BKB45" s="846"/>
      <c r="BKC45" s="846"/>
      <c r="BKD45" s="846"/>
      <c r="BKE45" s="846"/>
      <c r="BKF45" s="846"/>
      <c r="BKG45" s="846"/>
      <c r="BKH45" s="846"/>
      <c r="BKI45" s="846"/>
      <c r="BKJ45" s="846"/>
      <c r="BKK45" s="846"/>
      <c r="BKL45" s="846"/>
      <c r="BKM45" s="846"/>
      <c r="BKN45" s="846"/>
      <c r="BKO45" s="846"/>
      <c r="BKP45" s="846"/>
      <c r="BKQ45" s="846"/>
      <c r="BKR45" s="846"/>
      <c r="BKS45" s="846"/>
      <c r="BKT45" s="846"/>
      <c r="BKU45" s="846"/>
      <c r="BKV45" s="846"/>
      <c r="BKW45" s="846"/>
      <c r="BKX45" s="846"/>
      <c r="BKY45" s="846"/>
      <c r="BKZ45" s="846"/>
      <c r="BLA45" s="846"/>
      <c r="BLB45" s="846"/>
      <c r="BLC45" s="846"/>
      <c r="BLD45" s="846"/>
      <c r="BLE45" s="846"/>
      <c r="BLF45" s="846"/>
      <c r="BLG45" s="846"/>
      <c r="BLH45" s="846"/>
      <c r="BLI45" s="846"/>
      <c r="BLJ45" s="846"/>
      <c r="BLK45" s="846"/>
      <c r="BLL45" s="846"/>
      <c r="BLM45" s="846"/>
      <c r="BLN45" s="846"/>
      <c r="BLO45" s="846"/>
      <c r="BLP45" s="846"/>
      <c r="BLQ45" s="846"/>
      <c r="BLR45" s="846"/>
      <c r="BLS45" s="846"/>
      <c r="BLT45" s="846"/>
      <c r="BLU45" s="846"/>
      <c r="BLV45" s="846"/>
      <c r="BLW45" s="846"/>
      <c r="BLX45" s="846"/>
      <c r="BLY45" s="846"/>
      <c r="BLZ45" s="846"/>
      <c r="BMA45" s="846"/>
      <c r="BMB45" s="846"/>
      <c r="BMC45" s="846"/>
      <c r="BMD45" s="846"/>
      <c r="BME45" s="846"/>
      <c r="BMF45" s="846"/>
      <c r="BMG45" s="846"/>
      <c r="BMH45" s="846"/>
      <c r="BMI45" s="846"/>
      <c r="BMJ45" s="846"/>
      <c r="BMK45" s="846"/>
      <c r="BML45" s="846"/>
      <c r="BMM45" s="846"/>
      <c r="BMN45" s="846"/>
      <c r="BMO45" s="846"/>
      <c r="BMP45" s="846"/>
      <c r="BMQ45" s="846"/>
      <c r="BMR45" s="846"/>
      <c r="BMS45" s="846"/>
      <c r="BMT45" s="846"/>
      <c r="BMU45" s="846"/>
      <c r="BMV45" s="846"/>
      <c r="BMW45" s="846"/>
      <c r="BMX45" s="846"/>
      <c r="BMY45" s="846"/>
      <c r="BMZ45" s="846"/>
      <c r="BNA45" s="846"/>
      <c r="BNB45" s="846"/>
      <c r="BNC45" s="846"/>
      <c r="BND45" s="846"/>
      <c r="BNE45" s="846"/>
      <c r="BNF45" s="846"/>
      <c r="BNG45" s="846"/>
      <c r="BNH45" s="846"/>
      <c r="BNI45" s="846"/>
      <c r="BNJ45" s="846"/>
      <c r="BNK45" s="846"/>
      <c r="BNL45" s="846"/>
      <c r="BNM45" s="846"/>
      <c r="BNN45" s="846"/>
      <c r="BNO45" s="846"/>
      <c r="BNP45" s="846"/>
      <c r="BNQ45" s="846"/>
      <c r="BNR45" s="846"/>
      <c r="BNS45" s="846"/>
      <c r="BNT45" s="846"/>
      <c r="BNU45" s="846"/>
      <c r="BNV45" s="846"/>
      <c r="BNW45" s="846"/>
      <c r="BNX45" s="846"/>
      <c r="BNY45" s="846"/>
      <c r="BNZ45" s="846"/>
      <c r="BOA45" s="846"/>
      <c r="BOB45" s="846"/>
      <c r="BOC45" s="846"/>
      <c r="BOD45" s="846"/>
      <c r="BOE45" s="846"/>
      <c r="BOF45" s="846"/>
      <c r="BOG45" s="846"/>
      <c r="BOH45" s="846"/>
      <c r="BOI45" s="846"/>
      <c r="BOJ45" s="846"/>
      <c r="BOK45" s="846"/>
      <c r="BOL45" s="846"/>
      <c r="BOM45" s="846"/>
      <c r="BON45" s="846"/>
      <c r="BOO45" s="846"/>
      <c r="BOP45" s="846"/>
      <c r="BOQ45" s="846"/>
      <c r="BOR45" s="846"/>
      <c r="BOS45" s="846"/>
      <c r="BOT45" s="846"/>
      <c r="BOU45" s="846"/>
      <c r="BOV45" s="846"/>
      <c r="BOW45" s="846"/>
      <c r="BOX45" s="846"/>
      <c r="BOY45" s="846"/>
      <c r="BOZ45" s="846"/>
      <c r="BPA45" s="846"/>
      <c r="BPB45" s="846"/>
      <c r="BPC45" s="846"/>
      <c r="BPD45" s="846"/>
      <c r="BPE45" s="846"/>
      <c r="BPF45" s="846"/>
      <c r="BPG45" s="846"/>
      <c r="BPH45" s="846"/>
      <c r="BPI45" s="846"/>
      <c r="BPJ45" s="846"/>
      <c r="BPK45" s="846"/>
      <c r="BPL45" s="846"/>
      <c r="BPM45" s="846"/>
      <c r="BPN45" s="846"/>
      <c r="BPO45" s="846"/>
      <c r="BPP45" s="846"/>
      <c r="BPQ45" s="846"/>
      <c r="BPR45" s="846"/>
      <c r="BPS45" s="846"/>
      <c r="BPT45" s="846"/>
      <c r="BPU45" s="846"/>
      <c r="BPV45" s="846"/>
      <c r="BPW45" s="846"/>
      <c r="BPX45" s="846"/>
      <c r="BPY45" s="846"/>
      <c r="BPZ45" s="846"/>
      <c r="BQA45" s="846"/>
      <c r="BQB45" s="846"/>
      <c r="BQC45" s="846"/>
      <c r="BQD45" s="846"/>
      <c r="BQE45" s="846"/>
      <c r="BQF45" s="846"/>
      <c r="BQG45" s="846"/>
      <c r="BQH45" s="846"/>
      <c r="BQI45" s="846"/>
      <c r="BQJ45" s="846"/>
      <c r="BQK45" s="846"/>
      <c r="BQL45" s="846"/>
      <c r="BQM45" s="846"/>
      <c r="BQN45" s="846"/>
      <c r="BQO45" s="846"/>
      <c r="BQP45" s="846"/>
      <c r="BQQ45" s="846"/>
      <c r="BQR45" s="846"/>
      <c r="BQS45" s="846"/>
      <c r="BQT45" s="846"/>
      <c r="BQU45" s="846"/>
      <c r="BQV45" s="846"/>
      <c r="BQW45" s="846"/>
      <c r="BQX45" s="846"/>
      <c r="BQY45" s="846"/>
      <c r="BQZ45" s="846"/>
      <c r="BRA45" s="846"/>
      <c r="BRB45" s="846"/>
      <c r="BRC45" s="846"/>
      <c r="BRD45" s="846"/>
      <c r="BRE45" s="846"/>
      <c r="BRF45" s="846"/>
      <c r="BRG45" s="846"/>
      <c r="BRH45" s="846"/>
      <c r="BRI45" s="846"/>
      <c r="BRJ45" s="846"/>
      <c r="BRK45" s="846"/>
      <c r="BRL45" s="846"/>
      <c r="BRM45" s="846"/>
      <c r="BRN45" s="846"/>
      <c r="BRO45" s="846"/>
      <c r="BRP45" s="846"/>
      <c r="BRQ45" s="846"/>
      <c r="BRR45" s="846"/>
      <c r="BRS45" s="846"/>
      <c r="BRT45" s="846"/>
      <c r="BRU45" s="846"/>
      <c r="BRV45" s="846"/>
      <c r="BRW45" s="846"/>
      <c r="BRX45" s="846"/>
      <c r="BRY45" s="846"/>
      <c r="BRZ45" s="846"/>
      <c r="BSA45" s="846"/>
      <c r="BSB45" s="846"/>
      <c r="BSC45" s="846"/>
      <c r="BSD45" s="846"/>
      <c r="BSE45" s="846"/>
      <c r="BSF45" s="846"/>
      <c r="BSG45" s="846"/>
      <c r="BSH45" s="846"/>
      <c r="BSI45" s="846"/>
      <c r="BSJ45" s="846"/>
      <c r="BSK45" s="846"/>
      <c r="BSL45" s="846"/>
      <c r="BSM45" s="846"/>
      <c r="BSN45" s="846"/>
      <c r="BSO45" s="846"/>
      <c r="BSP45" s="846"/>
      <c r="BSQ45" s="846"/>
      <c r="BSR45" s="846"/>
      <c r="BSS45" s="846"/>
      <c r="BST45" s="846"/>
    </row>
    <row r="46" spans="1:1866" s="827" customFormat="1" ht="3" customHeight="1" x14ac:dyDescent="0.25">
      <c r="E46" s="834"/>
      <c r="F46" s="834"/>
      <c r="H46" s="834"/>
      <c r="I46" s="834"/>
      <c r="J46" s="834"/>
      <c r="K46" s="834"/>
      <c r="L46" s="834"/>
      <c r="M46" s="834"/>
      <c r="N46" s="834"/>
      <c r="O46" s="834"/>
      <c r="P46" s="834"/>
      <c r="Q46" s="834"/>
      <c r="R46" s="834"/>
      <c r="S46" s="834"/>
      <c r="T46" s="834"/>
      <c r="U46" s="834"/>
      <c r="V46" s="834"/>
      <c r="W46" s="834"/>
      <c r="X46" s="834"/>
      <c r="Y46" s="834"/>
      <c r="Z46" s="834"/>
      <c r="AA46" s="867"/>
      <c r="AB46" s="834"/>
      <c r="AC46" s="834"/>
      <c r="AD46" s="834"/>
      <c r="AE46" s="834"/>
      <c r="AF46" s="834"/>
      <c r="AG46" s="834"/>
      <c r="AH46" s="834"/>
      <c r="AI46" s="834"/>
      <c r="AJ46" s="834"/>
      <c r="AK46" s="834"/>
      <c r="AL46" s="834"/>
    </row>
    <row r="47" spans="1:1866" s="1452" customFormat="1" ht="24.9" customHeight="1" x14ac:dyDescent="0.25">
      <c r="A47" s="1450"/>
      <c r="B47" s="3170" t="s">
        <v>1033</v>
      </c>
      <c r="C47" s="3170"/>
      <c r="D47" s="3171"/>
      <c r="E47" s="1736">
        <f t="shared" ref="E47:V47" si="38">E4+E21-E45</f>
        <v>0</v>
      </c>
      <c r="F47" s="1736">
        <f t="shared" si="38"/>
        <v>0</v>
      </c>
      <c r="G47" s="1736">
        <f t="shared" si="38"/>
        <v>0</v>
      </c>
      <c r="H47" s="1736">
        <f t="shared" si="38"/>
        <v>0</v>
      </c>
      <c r="I47" s="1736">
        <f t="shared" si="38"/>
        <v>0</v>
      </c>
      <c r="J47" s="1736">
        <f t="shared" si="38"/>
        <v>0</v>
      </c>
      <c r="K47" s="1736">
        <f t="shared" si="38"/>
        <v>0</v>
      </c>
      <c r="L47" s="1736">
        <f t="shared" si="38"/>
        <v>0</v>
      </c>
      <c r="M47" s="1736">
        <f t="shared" si="38"/>
        <v>0</v>
      </c>
      <c r="N47" s="1736">
        <f t="shared" si="38"/>
        <v>0</v>
      </c>
      <c r="O47" s="1736">
        <f t="shared" si="38"/>
        <v>0</v>
      </c>
      <c r="P47" s="1736">
        <f t="shared" si="38"/>
        <v>0</v>
      </c>
      <c r="Q47" s="1736">
        <f t="shared" si="38"/>
        <v>0</v>
      </c>
      <c r="R47" s="1736">
        <f t="shared" si="38"/>
        <v>0</v>
      </c>
      <c r="S47" s="1736">
        <f t="shared" si="38"/>
        <v>0</v>
      </c>
      <c r="T47" s="1736">
        <f t="shared" si="38"/>
        <v>0</v>
      </c>
      <c r="U47" s="1736">
        <f t="shared" si="38"/>
        <v>0</v>
      </c>
      <c r="V47" s="1737">
        <f t="shared" si="38"/>
        <v>0</v>
      </c>
      <c r="W47" s="1451"/>
      <c r="X47" s="1451"/>
      <c r="Y47" s="1451"/>
      <c r="Z47" s="1451"/>
      <c r="AA47" s="870"/>
      <c r="AB47" s="1451"/>
      <c r="AC47" s="1451"/>
      <c r="AD47" s="1451"/>
      <c r="AE47" s="1451"/>
      <c r="AF47" s="1451"/>
      <c r="AG47" s="1451"/>
      <c r="AH47" s="1451"/>
      <c r="AI47" s="1451"/>
      <c r="AJ47" s="1451"/>
      <c r="AK47" s="1451"/>
      <c r="AL47" s="1451"/>
      <c r="AM47" s="1450"/>
      <c r="AN47" s="1450"/>
      <c r="AO47" s="1450"/>
      <c r="AP47" s="1450"/>
      <c r="AQ47" s="1450"/>
      <c r="AR47" s="1450"/>
      <c r="AS47" s="1450"/>
      <c r="AT47" s="1450"/>
      <c r="AU47" s="1450"/>
      <c r="AV47" s="1450"/>
      <c r="AW47" s="1450"/>
      <c r="AX47" s="1450"/>
      <c r="AY47" s="1450"/>
      <c r="AZ47" s="1450"/>
      <c r="BA47" s="1450"/>
      <c r="BB47" s="1450"/>
      <c r="BC47" s="1450"/>
      <c r="BD47" s="1450"/>
      <c r="BE47" s="1450"/>
      <c r="BF47" s="1450"/>
      <c r="BG47" s="1450"/>
      <c r="BH47" s="1450"/>
      <c r="BI47" s="1450"/>
      <c r="BJ47" s="1450"/>
      <c r="BK47" s="1450"/>
      <c r="BL47" s="1450"/>
      <c r="BM47" s="1450"/>
      <c r="BN47" s="1450"/>
      <c r="BO47" s="1450"/>
      <c r="BP47" s="1450"/>
      <c r="BQ47" s="1450"/>
      <c r="BR47" s="1450"/>
      <c r="BS47" s="1450"/>
      <c r="BT47" s="1450"/>
      <c r="BU47" s="1450"/>
      <c r="BV47" s="1450"/>
      <c r="BW47" s="1450"/>
      <c r="BX47" s="1450"/>
      <c r="BY47" s="1450"/>
      <c r="BZ47" s="1450"/>
      <c r="CA47" s="1450"/>
      <c r="CB47" s="1450"/>
      <c r="CC47" s="1450"/>
      <c r="CD47" s="1450"/>
      <c r="CE47" s="1450"/>
      <c r="CF47" s="1450"/>
      <c r="CG47" s="1450"/>
      <c r="CH47" s="1450"/>
      <c r="CI47" s="1450"/>
      <c r="CJ47" s="1450"/>
      <c r="CK47" s="1450"/>
      <c r="CL47" s="1450"/>
      <c r="CM47" s="1450"/>
      <c r="CN47" s="1450"/>
      <c r="CO47" s="1450"/>
      <c r="CP47" s="1450"/>
      <c r="CQ47" s="1450"/>
      <c r="CR47" s="1450"/>
      <c r="CS47" s="1450"/>
      <c r="CT47" s="1450"/>
      <c r="CU47" s="1450"/>
      <c r="CV47" s="1450"/>
      <c r="CW47" s="1450"/>
      <c r="CX47" s="1450"/>
      <c r="CY47" s="1450"/>
      <c r="CZ47" s="1450"/>
      <c r="DA47" s="1450"/>
      <c r="DB47" s="1450"/>
      <c r="DC47" s="1450"/>
      <c r="DD47" s="1450"/>
      <c r="DE47" s="1450"/>
      <c r="DF47" s="1450"/>
      <c r="DG47" s="1450"/>
      <c r="DH47" s="1450"/>
      <c r="DI47" s="1450"/>
      <c r="DJ47" s="1450"/>
      <c r="DK47" s="1450"/>
      <c r="DL47" s="1450"/>
      <c r="DM47" s="1450"/>
      <c r="DN47" s="1450"/>
      <c r="DO47" s="1450"/>
      <c r="DP47" s="1450"/>
      <c r="DQ47" s="1450"/>
      <c r="DR47" s="1450"/>
      <c r="DS47" s="1450"/>
      <c r="DT47" s="1450"/>
      <c r="DU47" s="1450"/>
      <c r="DV47" s="1450"/>
      <c r="DW47" s="1450"/>
      <c r="DX47" s="1450"/>
      <c r="DY47" s="1450"/>
      <c r="DZ47" s="1450"/>
      <c r="EA47" s="1450"/>
      <c r="EB47" s="1450"/>
      <c r="EC47" s="1450"/>
      <c r="ED47" s="1450"/>
      <c r="EE47" s="1450"/>
      <c r="EF47" s="1450"/>
      <c r="EG47" s="1450"/>
      <c r="EH47" s="1450"/>
      <c r="EI47" s="1450"/>
      <c r="EJ47" s="1450"/>
      <c r="EK47" s="1450"/>
      <c r="EL47" s="1450"/>
      <c r="EM47" s="1450"/>
      <c r="EN47" s="1450"/>
      <c r="EO47" s="1450"/>
      <c r="EP47" s="1450"/>
      <c r="EQ47" s="1450"/>
      <c r="ER47" s="1450"/>
      <c r="ES47" s="1450"/>
      <c r="ET47" s="1450"/>
      <c r="EU47" s="1450"/>
      <c r="EV47" s="1450"/>
      <c r="EW47" s="1450"/>
      <c r="EX47" s="1450"/>
      <c r="EY47" s="1450"/>
      <c r="EZ47" s="1450"/>
      <c r="FA47" s="1450"/>
      <c r="FB47" s="1450"/>
      <c r="FC47" s="1450"/>
      <c r="FD47" s="1450"/>
      <c r="FE47" s="1450"/>
      <c r="FF47" s="1450"/>
      <c r="FG47" s="1450"/>
      <c r="FH47" s="1450"/>
      <c r="FI47" s="1450"/>
      <c r="FJ47" s="1450"/>
      <c r="FK47" s="1450"/>
      <c r="FL47" s="1450"/>
      <c r="FM47" s="1450"/>
      <c r="FN47" s="1450"/>
      <c r="FO47" s="1450"/>
      <c r="FP47" s="1450"/>
      <c r="FQ47" s="1450"/>
      <c r="FR47" s="1450"/>
      <c r="FS47" s="1450"/>
      <c r="FT47" s="1450"/>
      <c r="FU47" s="1450"/>
      <c r="FV47" s="1450"/>
      <c r="FW47" s="1450"/>
      <c r="FX47" s="1450"/>
      <c r="FY47" s="1450"/>
      <c r="FZ47" s="1450"/>
      <c r="GA47" s="1450"/>
      <c r="GB47" s="1450"/>
      <c r="GC47" s="1450"/>
      <c r="GD47" s="1450"/>
      <c r="GE47" s="1450"/>
      <c r="GF47" s="1450"/>
      <c r="GG47" s="1450"/>
      <c r="GH47" s="1450"/>
      <c r="GI47" s="1450"/>
      <c r="GJ47" s="1450"/>
      <c r="GK47" s="1450"/>
      <c r="GL47" s="1450"/>
      <c r="GM47" s="1450"/>
      <c r="GN47" s="1450"/>
      <c r="GO47" s="1450"/>
      <c r="GP47" s="1450"/>
      <c r="GQ47" s="1450"/>
      <c r="GR47" s="1450"/>
      <c r="GS47" s="1450"/>
      <c r="GT47" s="1450"/>
      <c r="GU47" s="1450"/>
      <c r="GV47" s="1450"/>
      <c r="GW47" s="1450"/>
      <c r="GX47" s="1450"/>
      <c r="GY47" s="1450"/>
      <c r="GZ47" s="1450"/>
      <c r="HA47" s="1450"/>
      <c r="HB47" s="1450"/>
      <c r="HC47" s="1450"/>
      <c r="HD47" s="1450"/>
      <c r="HE47" s="1450"/>
      <c r="HF47" s="1450"/>
      <c r="HG47" s="1450"/>
      <c r="HH47" s="1450"/>
      <c r="HI47" s="1450"/>
      <c r="HJ47" s="1450"/>
      <c r="HK47" s="1450"/>
      <c r="HL47" s="1450"/>
      <c r="HM47" s="1450"/>
      <c r="HN47" s="1450"/>
      <c r="HO47" s="1450"/>
      <c r="HP47" s="1450"/>
      <c r="HQ47" s="1450"/>
      <c r="HR47" s="1450"/>
      <c r="HS47" s="1450"/>
      <c r="HT47" s="1450"/>
      <c r="HU47" s="1450"/>
      <c r="HV47" s="1450"/>
      <c r="HW47" s="1450"/>
      <c r="HX47" s="1450"/>
      <c r="HY47" s="1450"/>
      <c r="HZ47" s="1450"/>
      <c r="IA47" s="1450"/>
      <c r="IB47" s="1450"/>
      <c r="IC47" s="1450"/>
      <c r="ID47" s="1450"/>
      <c r="IE47" s="1450"/>
      <c r="IF47" s="1450"/>
      <c r="IG47" s="1450"/>
      <c r="IH47" s="1450"/>
      <c r="II47" s="1450"/>
      <c r="IJ47" s="1450"/>
      <c r="IK47" s="1450"/>
      <c r="IL47" s="1450"/>
      <c r="IM47" s="1450"/>
      <c r="IN47" s="1450"/>
      <c r="IO47" s="1450"/>
      <c r="IP47" s="1450"/>
      <c r="IQ47" s="1450"/>
      <c r="IR47" s="1450"/>
      <c r="IS47" s="1450"/>
      <c r="IT47" s="1450"/>
      <c r="IU47" s="1450"/>
      <c r="IV47" s="1450"/>
      <c r="IW47" s="1450"/>
      <c r="IX47" s="1450"/>
      <c r="IY47" s="1450"/>
      <c r="IZ47" s="1450"/>
      <c r="JA47" s="1450"/>
      <c r="JB47" s="1450"/>
      <c r="JC47" s="1450"/>
      <c r="JD47" s="1450"/>
      <c r="JE47" s="1450"/>
      <c r="JF47" s="1450"/>
      <c r="JG47" s="1450"/>
      <c r="JH47" s="1450"/>
      <c r="JI47" s="1450"/>
      <c r="JJ47" s="1450"/>
      <c r="JK47" s="1450"/>
      <c r="JL47" s="1450"/>
      <c r="JM47" s="1450"/>
      <c r="JN47" s="1450"/>
      <c r="JO47" s="1450"/>
      <c r="JP47" s="1450"/>
      <c r="JQ47" s="1450"/>
      <c r="JR47" s="1450"/>
      <c r="JS47" s="1450"/>
      <c r="JT47" s="1450"/>
      <c r="JU47" s="1450"/>
      <c r="JV47" s="1450"/>
      <c r="JW47" s="1450"/>
      <c r="JX47" s="1450"/>
      <c r="JY47" s="1450"/>
      <c r="JZ47" s="1450"/>
      <c r="KA47" s="1450"/>
      <c r="KB47" s="1450"/>
      <c r="KC47" s="1450"/>
      <c r="KD47" s="1450"/>
      <c r="KE47" s="1450"/>
      <c r="KF47" s="1450"/>
      <c r="KG47" s="1450"/>
      <c r="KH47" s="1450"/>
      <c r="KI47" s="1450"/>
      <c r="KJ47" s="1450"/>
      <c r="KK47" s="1450"/>
      <c r="KL47" s="1450"/>
      <c r="KM47" s="1450"/>
      <c r="KN47" s="1450"/>
      <c r="KO47" s="1450"/>
      <c r="KP47" s="1450"/>
      <c r="KQ47" s="1450"/>
      <c r="KR47" s="1450"/>
      <c r="KS47" s="1450"/>
      <c r="KT47" s="1450"/>
      <c r="KU47" s="1450"/>
      <c r="KV47" s="1450"/>
      <c r="KW47" s="1450"/>
      <c r="KX47" s="1450"/>
      <c r="KY47" s="1450"/>
      <c r="KZ47" s="1450"/>
      <c r="LA47" s="1450"/>
      <c r="LB47" s="1450"/>
      <c r="LC47" s="1450"/>
      <c r="LD47" s="1450"/>
      <c r="LE47" s="1450"/>
      <c r="LF47" s="1450"/>
      <c r="LG47" s="1450"/>
      <c r="LH47" s="1450"/>
      <c r="LI47" s="1450"/>
      <c r="LJ47" s="1450"/>
      <c r="LK47" s="1450"/>
      <c r="LL47" s="1450"/>
      <c r="LM47" s="1450"/>
      <c r="LN47" s="1450"/>
      <c r="LO47" s="1450"/>
      <c r="LP47" s="1450"/>
      <c r="LQ47" s="1450"/>
      <c r="LR47" s="1450"/>
      <c r="LS47" s="1450"/>
      <c r="LT47" s="1450"/>
      <c r="LU47" s="1450"/>
      <c r="LV47" s="1450"/>
      <c r="LW47" s="1450"/>
      <c r="LX47" s="1450"/>
      <c r="LY47" s="1450"/>
      <c r="LZ47" s="1450"/>
      <c r="MA47" s="1450"/>
      <c r="MB47" s="1450"/>
      <c r="MC47" s="1450"/>
      <c r="MD47" s="1450"/>
      <c r="ME47" s="1450"/>
      <c r="MF47" s="1450"/>
      <c r="MG47" s="1450"/>
      <c r="MH47" s="1450"/>
      <c r="MI47" s="1450"/>
      <c r="MJ47" s="1450"/>
      <c r="MK47" s="1450"/>
      <c r="ML47" s="1450"/>
      <c r="MM47" s="1450"/>
      <c r="MN47" s="1450"/>
      <c r="MO47" s="1450"/>
      <c r="MP47" s="1450"/>
      <c r="MQ47" s="1450"/>
      <c r="MR47" s="1450"/>
      <c r="MS47" s="1450"/>
      <c r="MT47" s="1450"/>
      <c r="MU47" s="1450"/>
      <c r="MV47" s="1450"/>
      <c r="MW47" s="1450"/>
      <c r="MX47" s="1450"/>
      <c r="MY47" s="1450"/>
      <c r="MZ47" s="1450"/>
      <c r="NA47" s="1450"/>
      <c r="NB47" s="1450"/>
      <c r="NC47" s="1450"/>
      <c r="ND47" s="1450"/>
      <c r="NE47" s="1450"/>
      <c r="NF47" s="1450"/>
      <c r="NG47" s="1450"/>
      <c r="NH47" s="1450"/>
      <c r="NI47" s="1450"/>
      <c r="NJ47" s="1450"/>
      <c r="NK47" s="1450"/>
      <c r="NL47" s="1450"/>
      <c r="NM47" s="1450"/>
      <c r="NN47" s="1450"/>
      <c r="NO47" s="1450"/>
      <c r="NP47" s="1450"/>
      <c r="NQ47" s="1450"/>
      <c r="NR47" s="1450"/>
      <c r="NS47" s="1450"/>
      <c r="NT47" s="1450"/>
      <c r="NU47" s="1450"/>
      <c r="NV47" s="1450"/>
      <c r="NW47" s="1450"/>
      <c r="NX47" s="1450"/>
      <c r="NY47" s="1450"/>
      <c r="NZ47" s="1450"/>
      <c r="OA47" s="1450"/>
      <c r="OB47" s="1450"/>
      <c r="OC47" s="1450"/>
      <c r="OD47" s="1450"/>
      <c r="OE47" s="1450"/>
      <c r="OF47" s="1450"/>
      <c r="OG47" s="1450"/>
      <c r="OH47" s="1450"/>
      <c r="OI47" s="1450"/>
      <c r="OJ47" s="1450"/>
      <c r="OK47" s="1450"/>
      <c r="OL47" s="1450"/>
      <c r="OM47" s="1450"/>
      <c r="ON47" s="1450"/>
      <c r="OO47" s="1450"/>
      <c r="OP47" s="1450"/>
      <c r="OQ47" s="1450"/>
      <c r="OR47" s="1450"/>
      <c r="OS47" s="1450"/>
      <c r="OT47" s="1450"/>
      <c r="OU47" s="1450"/>
      <c r="OV47" s="1450"/>
      <c r="OW47" s="1450"/>
      <c r="OX47" s="1450"/>
      <c r="OY47" s="1450"/>
      <c r="OZ47" s="1450"/>
      <c r="PA47" s="1450"/>
      <c r="PB47" s="1450"/>
      <c r="PC47" s="1450"/>
      <c r="PD47" s="1450"/>
      <c r="PE47" s="1450"/>
      <c r="PF47" s="1450"/>
      <c r="PG47" s="1450"/>
      <c r="PH47" s="1450"/>
      <c r="PI47" s="1450"/>
      <c r="PJ47" s="1450"/>
      <c r="PK47" s="1450"/>
      <c r="PL47" s="1450"/>
      <c r="PM47" s="1450"/>
      <c r="PN47" s="1450"/>
      <c r="PO47" s="1450"/>
      <c r="PP47" s="1450"/>
      <c r="PQ47" s="1450"/>
      <c r="PR47" s="1450"/>
      <c r="PS47" s="1450"/>
      <c r="PT47" s="1450"/>
      <c r="PU47" s="1450"/>
      <c r="PV47" s="1450"/>
      <c r="PW47" s="1450"/>
      <c r="PX47" s="1450"/>
      <c r="PY47" s="1450"/>
      <c r="PZ47" s="1450"/>
      <c r="QA47" s="1450"/>
      <c r="QB47" s="1450"/>
      <c r="QC47" s="1450"/>
      <c r="QD47" s="1450"/>
      <c r="QE47" s="1450"/>
      <c r="QF47" s="1450"/>
      <c r="QG47" s="1450"/>
      <c r="QH47" s="1450"/>
      <c r="QI47" s="1450"/>
      <c r="QJ47" s="1450"/>
      <c r="QK47" s="1450"/>
      <c r="QL47" s="1450"/>
      <c r="QM47" s="1450"/>
      <c r="QN47" s="1450"/>
      <c r="QO47" s="1450"/>
      <c r="QP47" s="1450"/>
      <c r="QQ47" s="1450"/>
      <c r="QR47" s="1450"/>
      <c r="QS47" s="1450"/>
      <c r="QT47" s="1450"/>
      <c r="QU47" s="1450"/>
      <c r="QV47" s="1450"/>
      <c r="QW47" s="1450"/>
      <c r="QX47" s="1450"/>
      <c r="QY47" s="1450"/>
      <c r="QZ47" s="1450"/>
      <c r="RA47" s="1450"/>
      <c r="RB47" s="1450"/>
      <c r="RC47" s="1450"/>
      <c r="RD47" s="1450"/>
      <c r="RE47" s="1450"/>
      <c r="RF47" s="1450"/>
      <c r="RG47" s="1450"/>
      <c r="RH47" s="1450"/>
      <c r="RI47" s="1450"/>
      <c r="RJ47" s="1450"/>
      <c r="RK47" s="1450"/>
      <c r="RL47" s="1450"/>
      <c r="RM47" s="1450"/>
      <c r="RN47" s="1450"/>
      <c r="RO47" s="1450"/>
      <c r="RP47" s="1450"/>
      <c r="RQ47" s="1450"/>
      <c r="RR47" s="1450"/>
      <c r="RS47" s="1450"/>
      <c r="RT47" s="1450"/>
      <c r="RU47" s="1450"/>
      <c r="RV47" s="1450"/>
      <c r="RW47" s="1450"/>
      <c r="RX47" s="1450"/>
      <c r="RY47" s="1450"/>
      <c r="RZ47" s="1450"/>
      <c r="SA47" s="1450"/>
      <c r="SB47" s="1450"/>
      <c r="SC47" s="1450"/>
      <c r="SD47" s="1450"/>
      <c r="SE47" s="1450"/>
      <c r="SF47" s="1450"/>
      <c r="SG47" s="1450"/>
      <c r="SH47" s="1450"/>
      <c r="SI47" s="1450"/>
      <c r="SJ47" s="1450"/>
      <c r="SK47" s="1450"/>
      <c r="SL47" s="1450"/>
      <c r="SM47" s="1450"/>
      <c r="SN47" s="1450"/>
      <c r="SO47" s="1450"/>
      <c r="SP47" s="1450"/>
      <c r="SQ47" s="1450"/>
      <c r="SR47" s="1450"/>
      <c r="SS47" s="1450"/>
      <c r="ST47" s="1450"/>
      <c r="SU47" s="1450"/>
      <c r="SV47" s="1450"/>
      <c r="SW47" s="1450"/>
      <c r="SX47" s="1450"/>
      <c r="SY47" s="1450"/>
      <c r="SZ47" s="1450"/>
      <c r="TA47" s="1450"/>
      <c r="TB47" s="1450"/>
      <c r="TC47" s="1450"/>
      <c r="TD47" s="1450"/>
      <c r="TE47" s="1450"/>
      <c r="TF47" s="1450"/>
      <c r="TG47" s="1450"/>
      <c r="TH47" s="1450"/>
      <c r="TI47" s="1450"/>
      <c r="TJ47" s="1450"/>
      <c r="TK47" s="1450"/>
      <c r="TL47" s="1450"/>
      <c r="TM47" s="1450"/>
      <c r="TN47" s="1450"/>
      <c r="TO47" s="1450"/>
      <c r="TP47" s="1450"/>
      <c r="TQ47" s="1450"/>
      <c r="TR47" s="1450"/>
      <c r="TS47" s="1450"/>
      <c r="TT47" s="1450"/>
      <c r="TU47" s="1450"/>
      <c r="TV47" s="1450"/>
      <c r="TW47" s="1450"/>
      <c r="TX47" s="1450"/>
      <c r="TY47" s="1450"/>
      <c r="TZ47" s="1450"/>
      <c r="UA47" s="1450"/>
      <c r="UB47" s="1450"/>
      <c r="UC47" s="1450"/>
      <c r="UD47" s="1450"/>
      <c r="UE47" s="1450"/>
      <c r="UF47" s="1450"/>
      <c r="UG47" s="1450"/>
      <c r="UH47" s="1450"/>
      <c r="UI47" s="1450"/>
      <c r="UJ47" s="1450"/>
      <c r="UK47" s="1450"/>
      <c r="UL47" s="1450"/>
      <c r="UM47" s="1450"/>
      <c r="UN47" s="1450"/>
      <c r="UO47" s="1450"/>
      <c r="UP47" s="1450"/>
      <c r="UQ47" s="1450"/>
      <c r="UR47" s="1450"/>
      <c r="US47" s="1450"/>
      <c r="UT47" s="1450"/>
      <c r="UU47" s="1450"/>
      <c r="UV47" s="1450"/>
      <c r="UW47" s="1450"/>
      <c r="UX47" s="1450"/>
      <c r="UY47" s="1450"/>
      <c r="UZ47" s="1450"/>
      <c r="VA47" s="1450"/>
      <c r="VB47" s="1450"/>
      <c r="VC47" s="1450"/>
      <c r="VD47" s="1450"/>
      <c r="VE47" s="1450"/>
      <c r="VF47" s="1450"/>
      <c r="VG47" s="1450"/>
      <c r="VH47" s="1450"/>
      <c r="VI47" s="1450"/>
      <c r="VJ47" s="1450"/>
      <c r="VK47" s="1450"/>
      <c r="VL47" s="1450"/>
      <c r="VM47" s="1450"/>
      <c r="VN47" s="1450"/>
      <c r="VO47" s="1450"/>
      <c r="VP47" s="1450"/>
      <c r="VQ47" s="1450"/>
      <c r="VR47" s="1450"/>
      <c r="VS47" s="1450"/>
      <c r="VT47" s="1450"/>
      <c r="VU47" s="1450"/>
      <c r="VV47" s="1450"/>
      <c r="VW47" s="1450"/>
      <c r="VX47" s="1450"/>
      <c r="VY47" s="1450"/>
      <c r="VZ47" s="1450"/>
      <c r="WA47" s="1450"/>
      <c r="WB47" s="1450"/>
      <c r="WC47" s="1450"/>
      <c r="WD47" s="1450"/>
      <c r="WE47" s="1450"/>
      <c r="WF47" s="1450"/>
      <c r="WG47" s="1450"/>
      <c r="WH47" s="1450"/>
      <c r="WI47" s="1450"/>
      <c r="WJ47" s="1450"/>
      <c r="WK47" s="1450"/>
      <c r="WL47" s="1450"/>
      <c r="WM47" s="1450"/>
      <c r="WN47" s="1450"/>
      <c r="WO47" s="1450"/>
      <c r="WP47" s="1450"/>
      <c r="WQ47" s="1450"/>
      <c r="WR47" s="1450"/>
      <c r="WS47" s="1450"/>
      <c r="WT47" s="1450"/>
      <c r="WU47" s="1450"/>
      <c r="WV47" s="1450"/>
      <c r="WW47" s="1450"/>
      <c r="WX47" s="1450"/>
      <c r="WY47" s="1450"/>
      <c r="WZ47" s="1450"/>
      <c r="XA47" s="1450"/>
      <c r="XB47" s="1450"/>
      <c r="XC47" s="1450"/>
      <c r="XD47" s="1450"/>
      <c r="XE47" s="1450"/>
      <c r="XF47" s="1450"/>
      <c r="XG47" s="1450"/>
      <c r="XH47" s="1450"/>
      <c r="XI47" s="1450"/>
      <c r="XJ47" s="1450"/>
      <c r="XK47" s="1450"/>
      <c r="XL47" s="1450"/>
      <c r="XM47" s="1450"/>
      <c r="XN47" s="1450"/>
      <c r="XO47" s="1450"/>
      <c r="XP47" s="1450"/>
      <c r="XQ47" s="1450"/>
      <c r="XR47" s="1450"/>
      <c r="XS47" s="1450"/>
      <c r="XT47" s="1450"/>
      <c r="XU47" s="1450"/>
      <c r="XV47" s="1450"/>
      <c r="XW47" s="1450"/>
      <c r="XX47" s="1450"/>
      <c r="XY47" s="1450"/>
      <c r="XZ47" s="1450"/>
      <c r="YA47" s="1450"/>
      <c r="YB47" s="1450"/>
      <c r="YC47" s="1450"/>
      <c r="YD47" s="1450"/>
      <c r="YE47" s="1450"/>
      <c r="YF47" s="1450"/>
      <c r="YG47" s="1450"/>
      <c r="YH47" s="1450"/>
      <c r="YI47" s="1450"/>
      <c r="YJ47" s="1450"/>
      <c r="YK47" s="1450"/>
      <c r="YL47" s="1450"/>
      <c r="YM47" s="1450"/>
      <c r="YN47" s="1450"/>
      <c r="YO47" s="1450"/>
      <c r="YP47" s="1450"/>
      <c r="YQ47" s="1450"/>
      <c r="YR47" s="1450"/>
      <c r="YS47" s="1450"/>
      <c r="YT47" s="1450"/>
      <c r="YU47" s="1450"/>
      <c r="YV47" s="1450"/>
      <c r="YW47" s="1450"/>
      <c r="YX47" s="1450"/>
      <c r="YY47" s="1450"/>
      <c r="YZ47" s="1450"/>
      <c r="ZA47" s="1450"/>
      <c r="ZB47" s="1450"/>
      <c r="ZC47" s="1450"/>
      <c r="ZD47" s="1450"/>
      <c r="ZE47" s="1450"/>
      <c r="ZF47" s="1450"/>
      <c r="ZG47" s="1450"/>
      <c r="ZH47" s="1450"/>
      <c r="ZI47" s="1450"/>
      <c r="ZJ47" s="1450"/>
      <c r="ZK47" s="1450"/>
      <c r="ZL47" s="1450"/>
      <c r="ZM47" s="1450"/>
      <c r="ZN47" s="1450"/>
      <c r="ZO47" s="1450"/>
      <c r="ZP47" s="1450"/>
      <c r="ZQ47" s="1450"/>
      <c r="ZR47" s="1450"/>
      <c r="ZS47" s="1450"/>
      <c r="ZT47" s="1450"/>
      <c r="ZU47" s="1450"/>
      <c r="ZV47" s="1450"/>
      <c r="ZW47" s="1450"/>
      <c r="ZX47" s="1450"/>
      <c r="ZY47" s="1450"/>
      <c r="ZZ47" s="1450"/>
      <c r="AAA47" s="1450"/>
      <c r="AAB47" s="1450"/>
      <c r="AAC47" s="1450"/>
      <c r="AAD47" s="1450"/>
      <c r="AAE47" s="1450"/>
      <c r="AAF47" s="1450"/>
      <c r="AAG47" s="1450"/>
      <c r="AAH47" s="1450"/>
      <c r="AAI47" s="1450"/>
      <c r="AAJ47" s="1450"/>
      <c r="AAK47" s="1450"/>
      <c r="AAL47" s="1450"/>
      <c r="AAM47" s="1450"/>
      <c r="AAN47" s="1450"/>
      <c r="AAO47" s="1450"/>
      <c r="AAP47" s="1450"/>
      <c r="AAQ47" s="1450"/>
      <c r="AAR47" s="1450"/>
      <c r="AAS47" s="1450"/>
      <c r="AAT47" s="1450"/>
      <c r="AAU47" s="1450"/>
      <c r="AAV47" s="1450"/>
      <c r="AAW47" s="1450"/>
      <c r="AAX47" s="1450"/>
      <c r="AAY47" s="1450"/>
      <c r="AAZ47" s="1450"/>
      <c r="ABA47" s="1450"/>
      <c r="ABB47" s="1450"/>
      <c r="ABC47" s="1450"/>
      <c r="ABD47" s="1450"/>
      <c r="ABE47" s="1450"/>
      <c r="ABF47" s="1450"/>
      <c r="ABG47" s="1450"/>
      <c r="ABH47" s="1450"/>
      <c r="ABI47" s="1450"/>
      <c r="ABJ47" s="1450"/>
      <c r="ABK47" s="1450"/>
      <c r="ABL47" s="1450"/>
      <c r="ABM47" s="1450"/>
      <c r="ABN47" s="1450"/>
      <c r="ABO47" s="1450"/>
      <c r="ABP47" s="1450"/>
      <c r="ABQ47" s="1450"/>
      <c r="ABR47" s="1450"/>
      <c r="ABS47" s="1450"/>
      <c r="ABT47" s="1450"/>
      <c r="ABU47" s="1450"/>
      <c r="ABV47" s="1450"/>
      <c r="ABW47" s="1450"/>
      <c r="ABX47" s="1450"/>
      <c r="ABY47" s="1450"/>
      <c r="ABZ47" s="1450"/>
      <c r="ACA47" s="1450"/>
      <c r="ACB47" s="1450"/>
      <c r="ACC47" s="1450"/>
      <c r="ACD47" s="1450"/>
      <c r="ACE47" s="1450"/>
      <c r="ACF47" s="1450"/>
      <c r="ACG47" s="1450"/>
      <c r="ACH47" s="1450"/>
      <c r="ACI47" s="1450"/>
      <c r="ACJ47" s="1450"/>
      <c r="ACK47" s="1450"/>
      <c r="ACL47" s="1450"/>
      <c r="ACM47" s="1450"/>
      <c r="ACN47" s="1450"/>
      <c r="ACO47" s="1450"/>
      <c r="ACP47" s="1450"/>
      <c r="ACQ47" s="1450"/>
      <c r="ACR47" s="1450"/>
      <c r="ACS47" s="1450"/>
      <c r="ACT47" s="1450"/>
      <c r="ACU47" s="1450"/>
      <c r="ACV47" s="1450"/>
      <c r="ACW47" s="1450"/>
      <c r="ACX47" s="1450"/>
      <c r="ACY47" s="1450"/>
      <c r="ACZ47" s="1450"/>
      <c r="ADA47" s="1450"/>
      <c r="ADB47" s="1450"/>
      <c r="ADC47" s="1450"/>
      <c r="ADD47" s="1450"/>
      <c r="ADE47" s="1450"/>
      <c r="ADF47" s="1450"/>
      <c r="ADG47" s="1450"/>
      <c r="ADH47" s="1450"/>
      <c r="ADI47" s="1450"/>
      <c r="ADJ47" s="1450"/>
      <c r="ADK47" s="1450"/>
      <c r="ADL47" s="1450"/>
      <c r="ADM47" s="1450"/>
      <c r="ADN47" s="1450"/>
      <c r="ADO47" s="1450"/>
      <c r="ADP47" s="1450"/>
      <c r="ADQ47" s="1450"/>
      <c r="ADR47" s="1450"/>
      <c r="ADS47" s="1450"/>
      <c r="ADT47" s="1450"/>
      <c r="ADU47" s="1450"/>
      <c r="ADV47" s="1450"/>
      <c r="ADW47" s="1450"/>
      <c r="ADX47" s="1450"/>
      <c r="ADY47" s="1450"/>
      <c r="ADZ47" s="1450"/>
      <c r="AEA47" s="1450"/>
      <c r="AEB47" s="1450"/>
      <c r="AEC47" s="1450"/>
      <c r="AED47" s="1450"/>
      <c r="AEE47" s="1450"/>
      <c r="AEF47" s="1450"/>
      <c r="AEG47" s="1450"/>
      <c r="AEH47" s="1450"/>
      <c r="AEI47" s="1450"/>
      <c r="AEJ47" s="1450"/>
      <c r="AEK47" s="1450"/>
      <c r="AEL47" s="1450"/>
      <c r="AEM47" s="1450"/>
      <c r="AEN47" s="1450"/>
      <c r="AEO47" s="1450"/>
      <c r="AEP47" s="1450"/>
      <c r="AEQ47" s="1450"/>
      <c r="AER47" s="1450"/>
      <c r="AES47" s="1450"/>
      <c r="AET47" s="1450"/>
      <c r="AEU47" s="1450"/>
      <c r="AEV47" s="1450"/>
      <c r="AEW47" s="1450"/>
      <c r="AEX47" s="1450"/>
      <c r="AEY47" s="1450"/>
      <c r="AEZ47" s="1450"/>
      <c r="AFA47" s="1450"/>
      <c r="AFB47" s="1450"/>
      <c r="AFC47" s="1450"/>
      <c r="AFD47" s="1450"/>
      <c r="AFE47" s="1450"/>
      <c r="AFF47" s="1450"/>
      <c r="AFG47" s="1450"/>
      <c r="AFH47" s="1450"/>
      <c r="AFI47" s="1450"/>
      <c r="AFJ47" s="1450"/>
      <c r="AFK47" s="1450"/>
      <c r="AFL47" s="1450"/>
      <c r="AFM47" s="1450"/>
      <c r="AFN47" s="1450"/>
      <c r="AFO47" s="1450"/>
      <c r="AFP47" s="1450"/>
      <c r="AFQ47" s="1450"/>
      <c r="AFR47" s="1450"/>
      <c r="AFS47" s="1450"/>
      <c r="AFT47" s="1450"/>
      <c r="AFU47" s="1450"/>
      <c r="AFV47" s="1450"/>
      <c r="AFW47" s="1450"/>
      <c r="AFX47" s="1450"/>
      <c r="AFY47" s="1450"/>
      <c r="AFZ47" s="1450"/>
      <c r="AGA47" s="1450"/>
      <c r="AGB47" s="1450"/>
      <c r="AGC47" s="1450"/>
      <c r="AGD47" s="1450"/>
      <c r="AGE47" s="1450"/>
      <c r="AGF47" s="1450"/>
      <c r="AGG47" s="1450"/>
      <c r="AGH47" s="1450"/>
      <c r="AGI47" s="1450"/>
      <c r="AGJ47" s="1450"/>
      <c r="AGK47" s="1450"/>
      <c r="AGL47" s="1450"/>
      <c r="AGM47" s="1450"/>
      <c r="AGN47" s="1450"/>
      <c r="AGO47" s="1450"/>
      <c r="AGP47" s="1450"/>
      <c r="AGQ47" s="1450"/>
      <c r="AGR47" s="1450"/>
      <c r="AGS47" s="1450"/>
      <c r="AGT47" s="1450"/>
      <c r="AGU47" s="1450"/>
      <c r="AGV47" s="1450"/>
      <c r="AGW47" s="1450"/>
      <c r="AGX47" s="1450"/>
      <c r="AGY47" s="1450"/>
      <c r="AGZ47" s="1450"/>
      <c r="AHA47" s="1450"/>
      <c r="AHB47" s="1450"/>
      <c r="AHC47" s="1450"/>
      <c r="AHD47" s="1450"/>
      <c r="AHE47" s="1450"/>
      <c r="AHF47" s="1450"/>
      <c r="AHG47" s="1450"/>
      <c r="AHH47" s="1450"/>
      <c r="AHI47" s="1450"/>
      <c r="AHJ47" s="1450"/>
      <c r="AHK47" s="1450"/>
      <c r="AHL47" s="1450"/>
      <c r="AHM47" s="1450"/>
      <c r="AHN47" s="1450"/>
      <c r="AHO47" s="1450"/>
      <c r="AHP47" s="1450"/>
      <c r="AHQ47" s="1450"/>
      <c r="AHR47" s="1450"/>
      <c r="AHS47" s="1450"/>
      <c r="AHT47" s="1450"/>
      <c r="AHU47" s="1450"/>
      <c r="AHV47" s="1450"/>
      <c r="AHW47" s="1450"/>
      <c r="AHX47" s="1450"/>
      <c r="AHY47" s="1450"/>
      <c r="AHZ47" s="1450"/>
      <c r="AIA47" s="1450"/>
      <c r="AIB47" s="1450"/>
      <c r="AIC47" s="1450"/>
      <c r="AID47" s="1450"/>
      <c r="AIE47" s="1450"/>
      <c r="AIF47" s="1450"/>
      <c r="AIG47" s="1450"/>
      <c r="AIH47" s="1450"/>
      <c r="AII47" s="1450"/>
      <c r="AIJ47" s="1450"/>
      <c r="AIK47" s="1450"/>
      <c r="AIL47" s="1450"/>
      <c r="AIM47" s="1450"/>
      <c r="AIN47" s="1450"/>
      <c r="AIO47" s="1450"/>
      <c r="AIP47" s="1450"/>
      <c r="AIQ47" s="1450"/>
      <c r="AIR47" s="1450"/>
      <c r="AIS47" s="1450"/>
      <c r="AIT47" s="1450"/>
      <c r="AIU47" s="1450"/>
      <c r="AIV47" s="1450"/>
      <c r="AIW47" s="1450"/>
      <c r="AIX47" s="1450"/>
      <c r="AIY47" s="1450"/>
      <c r="AIZ47" s="1450"/>
      <c r="AJA47" s="1450"/>
      <c r="AJB47" s="1450"/>
      <c r="AJC47" s="1450"/>
      <c r="AJD47" s="1450"/>
      <c r="AJE47" s="1450"/>
      <c r="AJF47" s="1450"/>
      <c r="AJG47" s="1450"/>
      <c r="AJH47" s="1450"/>
      <c r="AJI47" s="1450"/>
      <c r="AJJ47" s="1450"/>
      <c r="AJK47" s="1450"/>
      <c r="AJL47" s="1450"/>
      <c r="AJM47" s="1450"/>
      <c r="AJN47" s="1450"/>
      <c r="AJO47" s="1450"/>
      <c r="AJP47" s="1450"/>
      <c r="AJQ47" s="1450"/>
      <c r="AJR47" s="1450"/>
      <c r="AJS47" s="1450"/>
      <c r="AJT47" s="1450"/>
      <c r="AJU47" s="1450"/>
      <c r="AJV47" s="1450"/>
      <c r="AJW47" s="1450"/>
      <c r="AJX47" s="1450"/>
      <c r="AJY47" s="1450"/>
      <c r="AJZ47" s="1450"/>
      <c r="AKA47" s="1450"/>
      <c r="AKB47" s="1450"/>
      <c r="AKC47" s="1450"/>
      <c r="AKD47" s="1450"/>
      <c r="AKE47" s="1450"/>
      <c r="AKF47" s="1450"/>
      <c r="AKG47" s="1450"/>
      <c r="AKH47" s="1450"/>
      <c r="AKI47" s="1450"/>
      <c r="AKJ47" s="1450"/>
      <c r="AKK47" s="1450"/>
      <c r="AKL47" s="1450"/>
      <c r="AKM47" s="1450"/>
      <c r="AKN47" s="1450"/>
      <c r="AKO47" s="1450"/>
      <c r="AKP47" s="1450"/>
      <c r="AKQ47" s="1450"/>
      <c r="AKR47" s="1450"/>
      <c r="AKS47" s="1450"/>
      <c r="AKT47" s="1450"/>
      <c r="AKU47" s="1450"/>
      <c r="AKV47" s="1450"/>
      <c r="AKW47" s="1450"/>
      <c r="AKX47" s="1450"/>
      <c r="AKY47" s="1450"/>
      <c r="AKZ47" s="1450"/>
      <c r="ALA47" s="1450"/>
      <c r="ALB47" s="1450"/>
      <c r="ALC47" s="1450"/>
      <c r="ALD47" s="1450"/>
      <c r="ALE47" s="1450"/>
      <c r="ALF47" s="1450"/>
      <c r="ALG47" s="1450"/>
      <c r="ALH47" s="1450"/>
      <c r="ALI47" s="1450"/>
      <c r="ALJ47" s="1450"/>
      <c r="ALK47" s="1450"/>
      <c r="ALL47" s="1450"/>
      <c r="ALM47" s="1450"/>
      <c r="ALN47" s="1450"/>
      <c r="ALO47" s="1450"/>
      <c r="ALP47" s="1450"/>
      <c r="ALQ47" s="1450"/>
      <c r="ALR47" s="1450"/>
      <c r="ALS47" s="1450"/>
      <c r="ALT47" s="1450"/>
      <c r="ALU47" s="1450"/>
      <c r="ALV47" s="1450"/>
      <c r="ALW47" s="1450"/>
      <c r="ALX47" s="1450"/>
      <c r="ALY47" s="1450"/>
      <c r="ALZ47" s="1450"/>
      <c r="AMA47" s="1450"/>
      <c r="AMB47" s="1450"/>
      <c r="AMC47" s="1450"/>
      <c r="AMD47" s="1450"/>
      <c r="AME47" s="1450"/>
      <c r="AMF47" s="1450"/>
      <c r="AMG47" s="1450"/>
      <c r="AMH47" s="1450"/>
      <c r="AMI47" s="1450"/>
      <c r="AMJ47" s="1450"/>
      <c r="AMK47" s="1450"/>
      <c r="AML47" s="1450"/>
      <c r="AMM47" s="1450"/>
      <c r="AMN47" s="1450"/>
      <c r="AMO47" s="1450"/>
      <c r="AMP47" s="1450"/>
      <c r="AMQ47" s="1450"/>
      <c r="AMR47" s="1450"/>
      <c r="AMS47" s="1450"/>
      <c r="AMT47" s="1450"/>
      <c r="AMU47" s="1450"/>
      <c r="AMV47" s="1450"/>
      <c r="AMW47" s="1450"/>
      <c r="AMX47" s="1450"/>
      <c r="AMY47" s="1450"/>
      <c r="AMZ47" s="1450"/>
      <c r="ANA47" s="1450"/>
      <c r="ANB47" s="1450"/>
      <c r="ANC47" s="1450"/>
      <c r="AND47" s="1450"/>
      <c r="ANE47" s="1450"/>
      <c r="ANF47" s="1450"/>
      <c r="ANG47" s="1450"/>
      <c r="ANH47" s="1450"/>
      <c r="ANI47" s="1450"/>
      <c r="ANJ47" s="1450"/>
      <c r="ANK47" s="1450"/>
      <c r="ANL47" s="1450"/>
      <c r="ANM47" s="1450"/>
      <c r="ANN47" s="1450"/>
      <c r="ANO47" s="1450"/>
      <c r="ANP47" s="1450"/>
      <c r="ANQ47" s="1450"/>
      <c r="ANR47" s="1450"/>
      <c r="ANS47" s="1450"/>
      <c r="ANT47" s="1450"/>
      <c r="ANU47" s="1450"/>
      <c r="ANV47" s="1450"/>
      <c r="ANW47" s="1450"/>
      <c r="ANX47" s="1450"/>
      <c r="ANY47" s="1450"/>
      <c r="ANZ47" s="1450"/>
      <c r="AOA47" s="1450"/>
      <c r="AOB47" s="1450"/>
      <c r="AOC47" s="1450"/>
      <c r="AOD47" s="1450"/>
      <c r="AOE47" s="1450"/>
      <c r="AOF47" s="1450"/>
      <c r="AOG47" s="1450"/>
      <c r="AOH47" s="1450"/>
      <c r="AOI47" s="1450"/>
      <c r="AOJ47" s="1450"/>
      <c r="AOK47" s="1450"/>
      <c r="AOL47" s="1450"/>
      <c r="AOM47" s="1450"/>
      <c r="AON47" s="1450"/>
      <c r="AOO47" s="1450"/>
      <c r="AOP47" s="1450"/>
      <c r="AOQ47" s="1450"/>
      <c r="AOR47" s="1450"/>
      <c r="AOS47" s="1450"/>
      <c r="AOT47" s="1450"/>
      <c r="AOU47" s="1450"/>
      <c r="AOV47" s="1450"/>
      <c r="AOW47" s="1450"/>
      <c r="AOX47" s="1450"/>
      <c r="AOY47" s="1450"/>
      <c r="AOZ47" s="1450"/>
      <c r="APA47" s="1450"/>
      <c r="APB47" s="1450"/>
      <c r="APC47" s="1450"/>
      <c r="APD47" s="1450"/>
      <c r="APE47" s="1450"/>
      <c r="APF47" s="1450"/>
      <c r="APG47" s="1450"/>
      <c r="APH47" s="1450"/>
      <c r="API47" s="1450"/>
      <c r="APJ47" s="1450"/>
      <c r="APK47" s="1450"/>
      <c r="APL47" s="1450"/>
      <c r="APM47" s="1450"/>
      <c r="APN47" s="1450"/>
      <c r="APO47" s="1450"/>
      <c r="APP47" s="1450"/>
      <c r="APQ47" s="1450"/>
      <c r="APR47" s="1450"/>
      <c r="APS47" s="1450"/>
      <c r="APT47" s="1450"/>
      <c r="APU47" s="1450"/>
      <c r="APV47" s="1450"/>
      <c r="APW47" s="1450"/>
      <c r="APX47" s="1450"/>
      <c r="APY47" s="1450"/>
      <c r="APZ47" s="1450"/>
      <c r="AQA47" s="1450"/>
      <c r="AQB47" s="1450"/>
      <c r="AQC47" s="1450"/>
      <c r="AQD47" s="1450"/>
      <c r="AQE47" s="1450"/>
      <c r="AQF47" s="1450"/>
      <c r="AQG47" s="1450"/>
      <c r="AQH47" s="1450"/>
      <c r="AQI47" s="1450"/>
      <c r="AQJ47" s="1450"/>
      <c r="AQK47" s="1450"/>
      <c r="AQL47" s="1450"/>
      <c r="AQM47" s="1450"/>
      <c r="AQN47" s="1450"/>
      <c r="AQO47" s="1450"/>
      <c r="AQP47" s="1450"/>
      <c r="AQQ47" s="1450"/>
      <c r="AQR47" s="1450"/>
      <c r="AQS47" s="1450"/>
      <c r="AQT47" s="1450"/>
      <c r="AQU47" s="1450"/>
      <c r="AQV47" s="1450"/>
      <c r="AQW47" s="1450"/>
      <c r="AQX47" s="1450"/>
      <c r="AQY47" s="1450"/>
      <c r="AQZ47" s="1450"/>
      <c r="ARA47" s="1450"/>
      <c r="ARB47" s="1450"/>
      <c r="ARC47" s="1450"/>
      <c r="ARD47" s="1450"/>
      <c r="ARE47" s="1450"/>
      <c r="ARF47" s="1450"/>
      <c r="ARG47" s="1450"/>
      <c r="ARH47" s="1450"/>
      <c r="ARI47" s="1450"/>
      <c r="ARJ47" s="1450"/>
      <c r="ARK47" s="1450"/>
      <c r="ARL47" s="1450"/>
      <c r="ARM47" s="1450"/>
      <c r="ARN47" s="1450"/>
      <c r="ARO47" s="1450"/>
      <c r="ARP47" s="1450"/>
      <c r="ARQ47" s="1450"/>
      <c r="ARR47" s="1450"/>
      <c r="ARS47" s="1450"/>
      <c r="ART47" s="1450"/>
      <c r="ARU47" s="1450"/>
      <c r="ARV47" s="1450"/>
      <c r="ARW47" s="1450"/>
      <c r="ARX47" s="1450"/>
      <c r="ARY47" s="1450"/>
      <c r="ARZ47" s="1450"/>
      <c r="ASA47" s="1450"/>
      <c r="ASB47" s="1450"/>
      <c r="ASC47" s="1450"/>
      <c r="ASD47" s="1450"/>
      <c r="ASE47" s="1450"/>
      <c r="ASF47" s="1450"/>
      <c r="ASG47" s="1450"/>
      <c r="ASH47" s="1450"/>
      <c r="ASI47" s="1450"/>
      <c r="ASJ47" s="1450"/>
      <c r="ASK47" s="1450"/>
      <c r="ASL47" s="1450"/>
      <c r="ASM47" s="1450"/>
      <c r="ASN47" s="1450"/>
      <c r="ASO47" s="1450"/>
      <c r="ASP47" s="1450"/>
      <c r="ASQ47" s="1450"/>
      <c r="ASR47" s="1450"/>
      <c r="ASS47" s="1450"/>
      <c r="AST47" s="1450"/>
      <c r="ASU47" s="1450"/>
      <c r="ASV47" s="1450"/>
      <c r="ASW47" s="1450"/>
      <c r="ASX47" s="1450"/>
      <c r="ASY47" s="1450"/>
      <c r="ASZ47" s="1450"/>
      <c r="ATA47" s="1450"/>
      <c r="ATB47" s="1450"/>
      <c r="ATC47" s="1450"/>
      <c r="ATD47" s="1450"/>
      <c r="ATE47" s="1450"/>
      <c r="ATF47" s="1450"/>
      <c r="ATG47" s="1450"/>
      <c r="ATH47" s="1450"/>
      <c r="ATI47" s="1450"/>
      <c r="ATJ47" s="1450"/>
      <c r="ATK47" s="1450"/>
      <c r="ATL47" s="1450"/>
      <c r="ATM47" s="1450"/>
      <c r="ATN47" s="1450"/>
      <c r="ATO47" s="1450"/>
      <c r="ATP47" s="1450"/>
      <c r="ATQ47" s="1450"/>
      <c r="ATR47" s="1450"/>
      <c r="ATS47" s="1450"/>
      <c r="ATT47" s="1450"/>
      <c r="ATU47" s="1450"/>
      <c r="ATV47" s="1450"/>
      <c r="ATW47" s="1450"/>
      <c r="ATX47" s="1450"/>
      <c r="ATY47" s="1450"/>
      <c r="ATZ47" s="1450"/>
      <c r="AUA47" s="1450"/>
      <c r="AUB47" s="1450"/>
      <c r="AUC47" s="1450"/>
      <c r="AUD47" s="1450"/>
      <c r="AUE47" s="1450"/>
      <c r="AUF47" s="1450"/>
      <c r="AUG47" s="1450"/>
      <c r="AUH47" s="1450"/>
      <c r="AUI47" s="1450"/>
      <c r="AUJ47" s="1450"/>
      <c r="AUK47" s="1450"/>
      <c r="AUL47" s="1450"/>
      <c r="AUM47" s="1450"/>
      <c r="AUN47" s="1450"/>
      <c r="AUO47" s="1450"/>
      <c r="AUP47" s="1450"/>
      <c r="AUQ47" s="1450"/>
      <c r="AUR47" s="1450"/>
      <c r="AUS47" s="1450"/>
      <c r="AUT47" s="1450"/>
      <c r="AUU47" s="1450"/>
      <c r="AUV47" s="1450"/>
      <c r="AUW47" s="1450"/>
      <c r="AUX47" s="1450"/>
      <c r="AUY47" s="1450"/>
      <c r="AUZ47" s="1450"/>
      <c r="AVA47" s="1450"/>
      <c r="AVB47" s="1450"/>
      <c r="AVC47" s="1450"/>
      <c r="AVD47" s="1450"/>
      <c r="AVE47" s="1450"/>
      <c r="AVF47" s="1450"/>
      <c r="AVG47" s="1450"/>
      <c r="AVH47" s="1450"/>
      <c r="AVI47" s="1450"/>
      <c r="AVJ47" s="1450"/>
      <c r="AVK47" s="1450"/>
      <c r="AVL47" s="1450"/>
      <c r="AVM47" s="1450"/>
      <c r="AVN47" s="1450"/>
      <c r="AVO47" s="1450"/>
      <c r="AVP47" s="1450"/>
      <c r="AVQ47" s="1450"/>
      <c r="AVR47" s="1450"/>
      <c r="AVS47" s="1450"/>
      <c r="AVT47" s="1450"/>
      <c r="AVU47" s="1450"/>
      <c r="AVV47" s="1450"/>
      <c r="AVW47" s="1450"/>
      <c r="AVX47" s="1450"/>
      <c r="AVY47" s="1450"/>
      <c r="AVZ47" s="1450"/>
      <c r="AWA47" s="1450"/>
      <c r="AWB47" s="1450"/>
      <c r="AWC47" s="1450"/>
      <c r="AWD47" s="1450"/>
      <c r="AWE47" s="1450"/>
      <c r="AWF47" s="1450"/>
      <c r="AWG47" s="1450"/>
      <c r="AWH47" s="1450"/>
      <c r="AWI47" s="1450"/>
      <c r="AWJ47" s="1450"/>
      <c r="AWK47" s="1450"/>
      <c r="AWL47" s="1450"/>
      <c r="AWM47" s="1450"/>
      <c r="AWN47" s="1450"/>
      <c r="AWO47" s="1450"/>
      <c r="AWP47" s="1450"/>
      <c r="AWQ47" s="1450"/>
      <c r="AWR47" s="1450"/>
      <c r="AWS47" s="1450"/>
      <c r="AWT47" s="1450"/>
      <c r="AWU47" s="1450"/>
      <c r="AWV47" s="1450"/>
      <c r="AWW47" s="1450"/>
      <c r="AWX47" s="1450"/>
      <c r="AWY47" s="1450"/>
      <c r="AWZ47" s="1450"/>
      <c r="AXA47" s="1450"/>
      <c r="AXB47" s="1450"/>
      <c r="AXC47" s="1450"/>
      <c r="AXD47" s="1450"/>
      <c r="AXE47" s="1450"/>
      <c r="AXF47" s="1450"/>
      <c r="AXG47" s="1450"/>
      <c r="AXH47" s="1450"/>
      <c r="AXI47" s="1450"/>
      <c r="AXJ47" s="1450"/>
      <c r="AXK47" s="1450"/>
      <c r="AXL47" s="1450"/>
      <c r="AXM47" s="1450"/>
      <c r="AXN47" s="1450"/>
      <c r="AXO47" s="1450"/>
      <c r="AXP47" s="1450"/>
      <c r="AXQ47" s="1450"/>
      <c r="AXR47" s="1450"/>
      <c r="AXS47" s="1450"/>
      <c r="AXT47" s="1450"/>
      <c r="AXU47" s="1450"/>
      <c r="AXV47" s="1450"/>
      <c r="AXW47" s="1450"/>
      <c r="AXX47" s="1450"/>
      <c r="AXY47" s="1450"/>
      <c r="AXZ47" s="1450"/>
      <c r="AYA47" s="1450"/>
      <c r="AYB47" s="1450"/>
      <c r="AYC47" s="1450"/>
      <c r="AYD47" s="1450"/>
      <c r="AYE47" s="1450"/>
      <c r="AYF47" s="1450"/>
      <c r="AYG47" s="1450"/>
      <c r="AYH47" s="1450"/>
      <c r="AYI47" s="1450"/>
      <c r="AYJ47" s="1450"/>
      <c r="AYK47" s="1450"/>
      <c r="AYL47" s="1450"/>
      <c r="AYM47" s="1450"/>
      <c r="AYN47" s="1450"/>
      <c r="AYO47" s="1450"/>
      <c r="AYP47" s="1450"/>
      <c r="AYQ47" s="1450"/>
      <c r="AYR47" s="1450"/>
      <c r="AYS47" s="1450"/>
      <c r="AYT47" s="1450"/>
      <c r="AYU47" s="1450"/>
      <c r="AYV47" s="1450"/>
      <c r="AYW47" s="1450"/>
      <c r="AYX47" s="1450"/>
      <c r="AYY47" s="1450"/>
      <c r="AYZ47" s="1450"/>
      <c r="AZA47" s="1450"/>
      <c r="AZB47" s="1450"/>
      <c r="AZC47" s="1450"/>
      <c r="AZD47" s="1450"/>
      <c r="AZE47" s="1450"/>
      <c r="AZF47" s="1450"/>
      <c r="AZG47" s="1450"/>
      <c r="AZH47" s="1450"/>
      <c r="AZI47" s="1450"/>
      <c r="AZJ47" s="1450"/>
      <c r="AZK47" s="1450"/>
      <c r="AZL47" s="1450"/>
      <c r="AZM47" s="1450"/>
      <c r="AZN47" s="1450"/>
      <c r="AZO47" s="1450"/>
      <c r="AZP47" s="1450"/>
      <c r="AZQ47" s="1450"/>
      <c r="AZR47" s="1450"/>
      <c r="AZS47" s="1450"/>
      <c r="AZT47" s="1450"/>
      <c r="AZU47" s="1450"/>
      <c r="AZV47" s="1450"/>
      <c r="AZW47" s="1450"/>
      <c r="AZX47" s="1450"/>
      <c r="AZY47" s="1450"/>
      <c r="AZZ47" s="1450"/>
      <c r="BAA47" s="1450"/>
      <c r="BAB47" s="1450"/>
      <c r="BAC47" s="1450"/>
      <c r="BAD47" s="1450"/>
      <c r="BAE47" s="1450"/>
      <c r="BAF47" s="1450"/>
      <c r="BAG47" s="1450"/>
      <c r="BAH47" s="1450"/>
      <c r="BAI47" s="1450"/>
      <c r="BAJ47" s="1450"/>
      <c r="BAK47" s="1450"/>
      <c r="BAL47" s="1450"/>
      <c r="BAM47" s="1450"/>
      <c r="BAN47" s="1450"/>
      <c r="BAO47" s="1450"/>
      <c r="BAP47" s="1450"/>
      <c r="BAQ47" s="1450"/>
      <c r="BAR47" s="1450"/>
      <c r="BAS47" s="1450"/>
      <c r="BAT47" s="1450"/>
      <c r="BAU47" s="1450"/>
      <c r="BAV47" s="1450"/>
      <c r="BAW47" s="1450"/>
      <c r="BAX47" s="1450"/>
      <c r="BAY47" s="1450"/>
      <c r="BAZ47" s="1450"/>
      <c r="BBA47" s="1450"/>
      <c r="BBB47" s="1450"/>
      <c r="BBC47" s="1450"/>
      <c r="BBD47" s="1450"/>
      <c r="BBE47" s="1450"/>
      <c r="BBF47" s="1450"/>
      <c r="BBG47" s="1450"/>
      <c r="BBH47" s="1450"/>
      <c r="BBI47" s="1450"/>
      <c r="BBJ47" s="1450"/>
      <c r="BBK47" s="1450"/>
      <c r="BBL47" s="1450"/>
      <c r="BBM47" s="1450"/>
      <c r="BBN47" s="1450"/>
      <c r="BBO47" s="1450"/>
      <c r="BBP47" s="1450"/>
      <c r="BBQ47" s="1450"/>
      <c r="BBR47" s="1450"/>
      <c r="BBS47" s="1450"/>
      <c r="BBT47" s="1450"/>
      <c r="BBU47" s="1450"/>
      <c r="BBV47" s="1450"/>
      <c r="BBW47" s="1450"/>
      <c r="BBX47" s="1450"/>
      <c r="BBY47" s="1450"/>
      <c r="BBZ47" s="1450"/>
      <c r="BCA47" s="1450"/>
      <c r="BCB47" s="1450"/>
      <c r="BCC47" s="1450"/>
      <c r="BCD47" s="1450"/>
      <c r="BCE47" s="1450"/>
      <c r="BCF47" s="1450"/>
      <c r="BCG47" s="1450"/>
      <c r="BCH47" s="1450"/>
      <c r="BCI47" s="1450"/>
      <c r="BCJ47" s="1450"/>
      <c r="BCK47" s="1450"/>
      <c r="BCL47" s="1450"/>
      <c r="BCM47" s="1450"/>
      <c r="BCN47" s="1450"/>
      <c r="BCO47" s="1450"/>
      <c r="BCP47" s="1450"/>
      <c r="BCQ47" s="1450"/>
      <c r="BCR47" s="1450"/>
      <c r="BCS47" s="1450"/>
      <c r="BCT47" s="1450"/>
      <c r="BCU47" s="1450"/>
      <c r="BCV47" s="1450"/>
      <c r="BCW47" s="1450"/>
      <c r="BCX47" s="1450"/>
      <c r="BCY47" s="1450"/>
      <c r="BCZ47" s="1450"/>
      <c r="BDA47" s="1450"/>
      <c r="BDB47" s="1450"/>
      <c r="BDC47" s="1450"/>
      <c r="BDD47" s="1450"/>
      <c r="BDE47" s="1450"/>
      <c r="BDF47" s="1450"/>
      <c r="BDG47" s="1450"/>
      <c r="BDH47" s="1450"/>
      <c r="BDI47" s="1450"/>
      <c r="BDJ47" s="1450"/>
      <c r="BDK47" s="1450"/>
      <c r="BDL47" s="1450"/>
      <c r="BDM47" s="1450"/>
      <c r="BDN47" s="1450"/>
      <c r="BDO47" s="1450"/>
      <c r="BDP47" s="1450"/>
      <c r="BDQ47" s="1450"/>
      <c r="BDR47" s="1450"/>
      <c r="BDS47" s="1450"/>
      <c r="BDT47" s="1450"/>
      <c r="BDU47" s="1450"/>
      <c r="BDV47" s="1450"/>
      <c r="BDW47" s="1450"/>
      <c r="BDX47" s="1450"/>
      <c r="BDY47" s="1450"/>
      <c r="BDZ47" s="1450"/>
      <c r="BEA47" s="1450"/>
      <c r="BEB47" s="1450"/>
      <c r="BEC47" s="1450"/>
      <c r="BED47" s="1450"/>
      <c r="BEE47" s="1450"/>
      <c r="BEF47" s="1450"/>
      <c r="BEG47" s="1450"/>
      <c r="BEH47" s="1450"/>
      <c r="BEI47" s="1450"/>
      <c r="BEJ47" s="1450"/>
      <c r="BEK47" s="1450"/>
      <c r="BEL47" s="1450"/>
      <c r="BEM47" s="1450"/>
      <c r="BEN47" s="1450"/>
      <c r="BEO47" s="1450"/>
      <c r="BEP47" s="1450"/>
      <c r="BEQ47" s="1450"/>
      <c r="BER47" s="1450"/>
      <c r="BES47" s="1450"/>
      <c r="BET47" s="1450"/>
      <c r="BEU47" s="1450"/>
      <c r="BEV47" s="1450"/>
      <c r="BEW47" s="1450"/>
      <c r="BEX47" s="1450"/>
      <c r="BEY47" s="1450"/>
      <c r="BEZ47" s="1450"/>
      <c r="BFA47" s="1450"/>
      <c r="BFB47" s="1450"/>
      <c r="BFC47" s="1450"/>
      <c r="BFD47" s="1450"/>
      <c r="BFE47" s="1450"/>
      <c r="BFF47" s="1450"/>
      <c r="BFG47" s="1450"/>
      <c r="BFH47" s="1450"/>
      <c r="BFI47" s="1450"/>
      <c r="BFJ47" s="1450"/>
      <c r="BFK47" s="1450"/>
      <c r="BFL47" s="1450"/>
      <c r="BFM47" s="1450"/>
      <c r="BFN47" s="1450"/>
      <c r="BFO47" s="1450"/>
      <c r="BFP47" s="1450"/>
      <c r="BFQ47" s="1450"/>
      <c r="BFR47" s="1450"/>
      <c r="BFS47" s="1450"/>
      <c r="BFT47" s="1450"/>
      <c r="BFU47" s="1450"/>
      <c r="BFV47" s="1450"/>
      <c r="BFW47" s="1450"/>
      <c r="BFX47" s="1450"/>
      <c r="BFY47" s="1450"/>
      <c r="BFZ47" s="1450"/>
      <c r="BGA47" s="1450"/>
      <c r="BGB47" s="1450"/>
      <c r="BGC47" s="1450"/>
      <c r="BGD47" s="1450"/>
      <c r="BGE47" s="1450"/>
      <c r="BGF47" s="1450"/>
      <c r="BGG47" s="1450"/>
      <c r="BGH47" s="1450"/>
      <c r="BGI47" s="1450"/>
      <c r="BGJ47" s="1450"/>
      <c r="BGK47" s="1450"/>
      <c r="BGL47" s="1450"/>
      <c r="BGM47" s="1450"/>
      <c r="BGN47" s="1450"/>
      <c r="BGO47" s="1450"/>
      <c r="BGP47" s="1450"/>
      <c r="BGQ47" s="1450"/>
      <c r="BGR47" s="1450"/>
      <c r="BGS47" s="1450"/>
      <c r="BGT47" s="1450"/>
      <c r="BGU47" s="1450"/>
      <c r="BGV47" s="1450"/>
      <c r="BGW47" s="1450"/>
      <c r="BGX47" s="1450"/>
      <c r="BGY47" s="1450"/>
      <c r="BGZ47" s="1450"/>
      <c r="BHA47" s="1450"/>
      <c r="BHB47" s="1450"/>
      <c r="BHC47" s="1450"/>
      <c r="BHD47" s="1450"/>
      <c r="BHE47" s="1450"/>
      <c r="BHF47" s="1450"/>
      <c r="BHG47" s="1450"/>
      <c r="BHH47" s="1450"/>
      <c r="BHI47" s="1450"/>
      <c r="BHJ47" s="1450"/>
      <c r="BHK47" s="1450"/>
      <c r="BHL47" s="1450"/>
      <c r="BHM47" s="1450"/>
      <c r="BHN47" s="1450"/>
      <c r="BHO47" s="1450"/>
      <c r="BHP47" s="1450"/>
      <c r="BHQ47" s="1450"/>
      <c r="BHR47" s="1450"/>
      <c r="BHS47" s="1450"/>
      <c r="BHT47" s="1450"/>
      <c r="BHU47" s="1450"/>
      <c r="BHV47" s="1450"/>
      <c r="BHW47" s="1450"/>
      <c r="BHX47" s="1450"/>
      <c r="BHY47" s="1450"/>
      <c r="BHZ47" s="1450"/>
      <c r="BIA47" s="1450"/>
      <c r="BIB47" s="1450"/>
      <c r="BIC47" s="1450"/>
      <c r="BID47" s="1450"/>
      <c r="BIE47" s="1450"/>
      <c r="BIF47" s="1450"/>
      <c r="BIG47" s="1450"/>
      <c r="BIH47" s="1450"/>
      <c r="BII47" s="1450"/>
      <c r="BIJ47" s="1450"/>
      <c r="BIK47" s="1450"/>
      <c r="BIL47" s="1450"/>
      <c r="BIM47" s="1450"/>
      <c r="BIN47" s="1450"/>
      <c r="BIO47" s="1450"/>
      <c r="BIP47" s="1450"/>
      <c r="BIQ47" s="1450"/>
      <c r="BIR47" s="1450"/>
      <c r="BIS47" s="1450"/>
      <c r="BIT47" s="1450"/>
      <c r="BIU47" s="1450"/>
      <c r="BIV47" s="1450"/>
      <c r="BIW47" s="1450"/>
      <c r="BIX47" s="1450"/>
      <c r="BIY47" s="1450"/>
      <c r="BIZ47" s="1450"/>
      <c r="BJA47" s="1450"/>
      <c r="BJB47" s="1450"/>
      <c r="BJC47" s="1450"/>
      <c r="BJD47" s="1450"/>
      <c r="BJE47" s="1450"/>
      <c r="BJF47" s="1450"/>
      <c r="BJG47" s="1450"/>
      <c r="BJH47" s="1450"/>
      <c r="BJI47" s="1450"/>
      <c r="BJJ47" s="1450"/>
      <c r="BJK47" s="1450"/>
      <c r="BJL47" s="1450"/>
      <c r="BJM47" s="1450"/>
      <c r="BJN47" s="1450"/>
      <c r="BJO47" s="1450"/>
      <c r="BJP47" s="1450"/>
      <c r="BJQ47" s="1450"/>
      <c r="BJR47" s="1450"/>
      <c r="BJS47" s="1450"/>
      <c r="BJT47" s="1450"/>
      <c r="BJU47" s="1450"/>
      <c r="BJV47" s="1450"/>
      <c r="BJW47" s="1450"/>
      <c r="BJX47" s="1450"/>
      <c r="BJY47" s="1450"/>
      <c r="BJZ47" s="1450"/>
      <c r="BKA47" s="1450"/>
      <c r="BKB47" s="1450"/>
      <c r="BKC47" s="1450"/>
      <c r="BKD47" s="1450"/>
      <c r="BKE47" s="1450"/>
      <c r="BKF47" s="1450"/>
      <c r="BKG47" s="1450"/>
      <c r="BKH47" s="1450"/>
      <c r="BKI47" s="1450"/>
      <c r="BKJ47" s="1450"/>
      <c r="BKK47" s="1450"/>
      <c r="BKL47" s="1450"/>
      <c r="BKM47" s="1450"/>
      <c r="BKN47" s="1450"/>
      <c r="BKO47" s="1450"/>
      <c r="BKP47" s="1450"/>
      <c r="BKQ47" s="1450"/>
      <c r="BKR47" s="1450"/>
      <c r="BKS47" s="1450"/>
      <c r="BKT47" s="1450"/>
      <c r="BKU47" s="1450"/>
      <c r="BKV47" s="1450"/>
      <c r="BKW47" s="1450"/>
      <c r="BKX47" s="1450"/>
      <c r="BKY47" s="1450"/>
      <c r="BKZ47" s="1450"/>
      <c r="BLA47" s="1450"/>
      <c r="BLB47" s="1450"/>
      <c r="BLC47" s="1450"/>
      <c r="BLD47" s="1450"/>
      <c r="BLE47" s="1450"/>
      <c r="BLF47" s="1450"/>
      <c r="BLG47" s="1450"/>
      <c r="BLH47" s="1450"/>
      <c r="BLI47" s="1450"/>
      <c r="BLJ47" s="1450"/>
      <c r="BLK47" s="1450"/>
      <c r="BLL47" s="1450"/>
      <c r="BLM47" s="1450"/>
      <c r="BLN47" s="1450"/>
      <c r="BLO47" s="1450"/>
      <c r="BLP47" s="1450"/>
      <c r="BLQ47" s="1450"/>
      <c r="BLR47" s="1450"/>
      <c r="BLS47" s="1450"/>
      <c r="BLT47" s="1450"/>
      <c r="BLU47" s="1450"/>
      <c r="BLV47" s="1450"/>
      <c r="BLW47" s="1450"/>
      <c r="BLX47" s="1450"/>
      <c r="BLY47" s="1450"/>
      <c r="BLZ47" s="1450"/>
      <c r="BMA47" s="1450"/>
      <c r="BMB47" s="1450"/>
      <c r="BMC47" s="1450"/>
      <c r="BMD47" s="1450"/>
      <c r="BME47" s="1450"/>
      <c r="BMF47" s="1450"/>
      <c r="BMG47" s="1450"/>
      <c r="BMH47" s="1450"/>
      <c r="BMI47" s="1450"/>
      <c r="BMJ47" s="1450"/>
      <c r="BMK47" s="1450"/>
      <c r="BML47" s="1450"/>
      <c r="BMM47" s="1450"/>
      <c r="BMN47" s="1450"/>
      <c r="BMO47" s="1450"/>
      <c r="BMP47" s="1450"/>
      <c r="BMQ47" s="1450"/>
      <c r="BMR47" s="1450"/>
      <c r="BMS47" s="1450"/>
      <c r="BMT47" s="1450"/>
      <c r="BMU47" s="1450"/>
      <c r="BMV47" s="1450"/>
      <c r="BMW47" s="1450"/>
      <c r="BMX47" s="1450"/>
      <c r="BMY47" s="1450"/>
      <c r="BMZ47" s="1450"/>
      <c r="BNA47" s="1450"/>
      <c r="BNB47" s="1450"/>
      <c r="BNC47" s="1450"/>
      <c r="BND47" s="1450"/>
      <c r="BNE47" s="1450"/>
      <c r="BNF47" s="1450"/>
      <c r="BNG47" s="1450"/>
      <c r="BNH47" s="1450"/>
      <c r="BNI47" s="1450"/>
      <c r="BNJ47" s="1450"/>
      <c r="BNK47" s="1450"/>
      <c r="BNL47" s="1450"/>
      <c r="BNM47" s="1450"/>
      <c r="BNN47" s="1450"/>
      <c r="BNO47" s="1450"/>
      <c r="BNP47" s="1450"/>
      <c r="BNQ47" s="1450"/>
      <c r="BNR47" s="1450"/>
      <c r="BNS47" s="1450"/>
      <c r="BNT47" s="1450"/>
      <c r="BNU47" s="1450"/>
      <c r="BNV47" s="1450"/>
      <c r="BNW47" s="1450"/>
      <c r="BNX47" s="1450"/>
      <c r="BNY47" s="1450"/>
      <c r="BNZ47" s="1450"/>
      <c r="BOA47" s="1450"/>
      <c r="BOB47" s="1450"/>
      <c r="BOC47" s="1450"/>
      <c r="BOD47" s="1450"/>
      <c r="BOE47" s="1450"/>
      <c r="BOF47" s="1450"/>
      <c r="BOG47" s="1450"/>
      <c r="BOH47" s="1450"/>
      <c r="BOI47" s="1450"/>
      <c r="BOJ47" s="1450"/>
      <c r="BOK47" s="1450"/>
      <c r="BOL47" s="1450"/>
      <c r="BOM47" s="1450"/>
      <c r="BON47" s="1450"/>
      <c r="BOO47" s="1450"/>
      <c r="BOP47" s="1450"/>
      <c r="BOQ47" s="1450"/>
      <c r="BOR47" s="1450"/>
      <c r="BOS47" s="1450"/>
      <c r="BOT47" s="1450"/>
      <c r="BOU47" s="1450"/>
      <c r="BOV47" s="1450"/>
      <c r="BOW47" s="1450"/>
      <c r="BOX47" s="1450"/>
      <c r="BOY47" s="1450"/>
      <c r="BOZ47" s="1450"/>
      <c r="BPA47" s="1450"/>
      <c r="BPB47" s="1450"/>
      <c r="BPC47" s="1450"/>
      <c r="BPD47" s="1450"/>
      <c r="BPE47" s="1450"/>
      <c r="BPF47" s="1450"/>
      <c r="BPG47" s="1450"/>
      <c r="BPH47" s="1450"/>
      <c r="BPI47" s="1450"/>
      <c r="BPJ47" s="1450"/>
      <c r="BPK47" s="1450"/>
      <c r="BPL47" s="1450"/>
      <c r="BPM47" s="1450"/>
      <c r="BPN47" s="1450"/>
      <c r="BPO47" s="1450"/>
      <c r="BPP47" s="1450"/>
      <c r="BPQ47" s="1450"/>
      <c r="BPR47" s="1450"/>
      <c r="BPS47" s="1450"/>
      <c r="BPT47" s="1450"/>
      <c r="BPU47" s="1450"/>
      <c r="BPV47" s="1450"/>
      <c r="BPW47" s="1450"/>
      <c r="BPX47" s="1450"/>
      <c r="BPY47" s="1450"/>
      <c r="BPZ47" s="1450"/>
      <c r="BQA47" s="1450"/>
      <c r="BQB47" s="1450"/>
      <c r="BQC47" s="1450"/>
      <c r="BQD47" s="1450"/>
      <c r="BQE47" s="1450"/>
      <c r="BQF47" s="1450"/>
      <c r="BQG47" s="1450"/>
      <c r="BQH47" s="1450"/>
      <c r="BQI47" s="1450"/>
      <c r="BQJ47" s="1450"/>
      <c r="BQK47" s="1450"/>
      <c r="BQL47" s="1450"/>
      <c r="BQM47" s="1450"/>
      <c r="BQN47" s="1450"/>
      <c r="BQO47" s="1450"/>
      <c r="BQP47" s="1450"/>
      <c r="BQQ47" s="1450"/>
      <c r="BQR47" s="1450"/>
      <c r="BQS47" s="1450"/>
      <c r="BQT47" s="1450"/>
      <c r="BQU47" s="1450"/>
      <c r="BQV47" s="1450"/>
      <c r="BQW47" s="1450"/>
      <c r="BQX47" s="1450"/>
      <c r="BQY47" s="1450"/>
      <c r="BQZ47" s="1450"/>
      <c r="BRA47" s="1450"/>
      <c r="BRB47" s="1450"/>
      <c r="BRC47" s="1450"/>
      <c r="BRD47" s="1450"/>
      <c r="BRE47" s="1450"/>
      <c r="BRF47" s="1450"/>
      <c r="BRG47" s="1450"/>
      <c r="BRH47" s="1450"/>
      <c r="BRI47" s="1450"/>
      <c r="BRJ47" s="1450"/>
      <c r="BRK47" s="1450"/>
      <c r="BRL47" s="1450"/>
      <c r="BRM47" s="1450"/>
      <c r="BRN47" s="1450"/>
      <c r="BRO47" s="1450"/>
      <c r="BRP47" s="1450"/>
      <c r="BRQ47" s="1450"/>
      <c r="BRR47" s="1450"/>
      <c r="BRS47" s="1450"/>
      <c r="BRT47" s="1450"/>
      <c r="BRU47" s="1450"/>
      <c r="BRV47" s="1450"/>
      <c r="BRW47" s="1450"/>
      <c r="BRX47" s="1450"/>
      <c r="BRY47" s="1450"/>
      <c r="BRZ47" s="1450"/>
      <c r="BSA47" s="1450"/>
      <c r="BSB47" s="1450"/>
      <c r="BSC47" s="1450"/>
      <c r="BSD47" s="1450"/>
      <c r="BSE47" s="1450"/>
      <c r="BSF47" s="1450"/>
      <c r="BSG47" s="1450"/>
      <c r="BSH47" s="1450"/>
      <c r="BSI47" s="1450"/>
      <c r="BSJ47" s="1450"/>
      <c r="BSK47" s="1450"/>
      <c r="BSL47" s="1450"/>
      <c r="BSM47" s="1450"/>
      <c r="BSN47" s="1450"/>
      <c r="BSO47" s="1450"/>
      <c r="BSP47" s="1450"/>
      <c r="BSQ47" s="1450"/>
      <c r="BSR47" s="1450"/>
      <c r="BSS47" s="1450"/>
      <c r="BST47" s="1450"/>
    </row>
    <row r="48" spans="1:1866" s="838" customFormat="1" x14ac:dyDescent="0.25">
      <c r="A48" s="827"/>
      <c r="B48" s="827"/>
      <c r="C48" s="827"/>
      <c r="D48" s="827"/>
      <c r="E48" s="1035">
        <f>E47/1000</f>
        <v>0</v>
      </c>
      <c r="F48" s="1035">
        <f t="shared" ref="F48:V48" si="39">F47/1000</f>
        <v>0</v>
      </c>
      <c r="G48" s="1035">
        <f t="shared" si="39"/>
        <v>0</v>
      </c>
      <c r="H48" s="1035">
        <f t="shared" si="39"/>
        <v>0</v>
      </c>
      <c r="I48" s="1035">
        <f t="shared" si="39"/>
        <v>0</v>
      </c>
      <c r="J48" s="1035">
        <f t="shared" si="39"/>
        <v>0</v>
      </c>
      <c r="K48" s="1035">
        <f t="shared" si="39"/>
        <v>0</v>
      </c>
      <c r="L48" s="1035">
        <f t="shared" si="39"/>
        <v>0</v>
      </c>
      <c r="M48" s="1035">
        <f t="shared" si="39"/>
        <v>0</v>
      </c>
      <c r="N48" s="1035">
        <f t="shared" si="39"/>
        <v>0</v>
      </c>
      <c r="O48" s="1035">
        <f t="shared" si="39"/>
        <v>0</v>
      </c>
      <c r="P48" s="1035">
        <f t="shared" si="39"/>
        <v>0</v>
      </c>
      <c r="Q48" s="1035">
        <f t="shared" si="39"/>
        <v>0</v>
      </c>
      <c r="R48" s="1035">
        <f t="shared" si="39"/>
        <v>0</v>
      </c>
      <c r="S48" s="1035">
        <f t="shared" si="39"/>
        <v>0</v>
      </c>
      <c r="T48" s="1035">
        <f t="shared" si="39"/>
        <v>0</v>
      </c>
      <c r="U48" s="1035">
        <f t="shared" si="39"/>
        <v>0</v>
      </c>
      <c r="V48" s="1035">
        <f t="shared" si="39"/>
        <v>0</v>
      </c>
      <c r="W48" s="834"/>
      <c r="X48" s="834"/>
      <c r="Y48" s="834"/>
      <c r="Z48" s="834"/>
      <c r="AA48" s="867"/>
      <c r="AB48" s="834"/>
      <c r="AC48" s="834"/>
      <c r="AD48" s="834"/>
      <c r="AE48" s="834"/>
      <c r="AF48" s="834"/>
      <c r="AG48" s="834"/>
      <c r="AH48" s="834"/>
      <c r="AI48" s="834"/>
      <c r="AJ48" s="834"/>
      <c r="AK48" s="834"/>
      <c r="AL48" s="834"/>
      <c r="AM48" s="827"/>
      <c r="AN48" s="827"/>
      <c r="AO48" s="827"/>
      <c r="AP48" s="827"/>
      <c r="AQ48" s="827"/>
      <c r="AR48" s="827"/>
      <c r="AS48" s="827"/>
      <c r="AT48" s="827"/>
      <c r="AU48" s="827"/>
      <c r="AV48" s="827"/>
      <c r="AW48" s="827"/>
      <c r="AX48" s="827"/>
      <c r="AY48" s="827"/>
      <c r="AZ48" s="827"/>
      <c r="BA48" s="827"/>
      <c r="BB48" s="827"/>
      <c r="BC48" s="827"/>
      <c r="BD48" s="827"/>
      <c r="BE48" s="827"/>
      <c r="BF48" s="827"/>
      <c r="BG48" s="827"/>
      <c r="BH48" s="827"/>
      <c r="BI48" s="827"/>
      <c r="BJ48" s="827"/>
      <c r="BK48" s="827"/>
      <c r="BL48" s="827"/>
      <c r="BM48" s="827"/>
      <c r="BN48" s="827"/>
      <c r="BO48" s="827"/>
      <c r="BP48" s="827"/>
      <c r="BQ48" s="827"/>
      <c r="BR48" s="827"/>
      <c r="BS48" s="827"/>
      <c r="BT48" s="827"/>
      <c r="BU48" s="827"/>
      <c r="BV48" s="827"/>
      <c r="BW48" s="827"/>
      <c r="BX48" s="827"/>
      <c r="BY48" s="827"/>
      <c r="BZ48" s="827"/>
      <c r="CA48" s="827"/>
      <c r="CB48" s="827"/>
      <c r="CC48" s="827"/>
      <c r="CD48" s="827"/>
      <c r="CE48" s="827"/>
      <c r="CF48" s="827"/>
      <c r="CG48" s="827"/>
      <c r="CH48" s="827"/>
      <c r="CI48" s="827"/>
      <c r="CJ48" s="827"/>
      <c r="CK48" s="827"/>
      <c r="CL48" s="827"/>
      <c r="CM48" s="827"/>
      <c r="CN48" s="827"/>
      <c r="CO48" s="827"/>
      <c r="CP48" s="827"/>
      <c r="CQ48" s="827"/>
      <c r="CR48" s="827"/>
      <c r="CS48" s="827"/>
      <c r="CT48" s="827"/>
      <c r="CU48" s="827"/>
      <c r="CV48" s="827"/>
      <c r="CW48" s="827"/>
      <c r="CX48" s="827"/>
      <c r="CY48" s="827"/>
      <c r="CZ48" s="827"/>
      <c r="DA48" s="827"/>
      <c r="DB48" s="827"/>
      <c r="DC48" s="827"/>
      <c r="DD48" s="827"/>
      <c r="DE48" s="827"/>
      <c r="DF48" s="827"/>
      <c r="DG48" s="827"/>
      <c r="DH48" s="827"/>
      <c r="DI48" s="827"/>
      <c r="DJ48" s="827"/>
      <c r="DK48" s="827"/>
      <c r="DL48" s="827"/>
      <c r="DM48" s="827"/>
      <c r="DN48" s="827"/>
      <c r="DO48" s="827"/>
      <c r="DP48" s="827"/>
      <c r="DQ48" s="827"/>
      <c r="DR48" s="827"/>
      <c r="DS48" s="827"/>
      <c r="DT48" s="827"/>
      <c r="DU48" s="827"/>
      <c r="DV48" s="827"/>
      <c r="DW48" s="827"/>
      <c r="DX48" s="827"/>
      <c r="DY48" s="827"/>
      <c r="DZ48" s="827"/>
      <c r="EA48" s="827"/>
      <c r="EB48" s="827"/>
      <c r="EC48" s="827"/>
      <c r="ED48" s="827"/>
      <c r="EE48" s="827"/>
      <c r="EF48" s="827"/>
      <c r="EG48" s="827"/>
      <c r="EH48" s="827"/>
      <c r="EI48" s="827"/>
      <c r="EJ48" s="827"/>
      <c r="EK48" s="827"/>
      <c r="EL48" s="827"/>
      <c r="EM48" s="827"/>
      <c r="EN48" s="827"/>
      <c r="EO48" s="827"/>
      <c r="EP48" s="827"/>
      <c r="EQ48" s="827"/>
      <c r="ER48" s="827"/>
      <c r="ES48" s="827"/>
      <c r="ET48" s="827"/>
      <c r="EU48" s="827"/>
      <c r="EV48" s="827"/>
      <c r="EW48" s="827"/>
      <c r="EX48" s="827"/>
      <c r="EY48" s="827"/>
      <c r="EZ48" s="827"/>
      <c r="FA48" s="827"/>
      <c r="FB48" s="827"/>
      <c r="FC48" s="827"/>
      <c r="FD48" s="827"/>
      <c r="FE48" s="827"/>
      <c r="FF48" s="827"/>
      <c r="FG48" s="827"/>
      <c r="FH48" s="827"/>
      <c r="FI48" s="827"/>
      <c r="FJ48" s="827"/>
      <c r="FK48" s="827"/>
      <c r="FL48" s="827"/>
      <c r="FM48" s="827"/>
      <c r="FN48" s="827"/>
      <c r="FO48" s="827"/>
      <c r="FP48" s="827"/>
      <c r="FQ48" s="827"/>
      <c r="FR48" s="827"/>
      <c r="FS48" s="827"/>
      <c r="FT48" s="827"/>
      <c r="FU48" s="827"/>
      <c r="FV48" s="827"/>
      <c r="FW48" s="827"/>
      <c r="FX48" s="827"/>
      <c r="FY48" s="827"/>
      <c r="FZ48" s="827"/>
      <c r="GA48" s="827"/>
      <c r="GB48" s="827"/>
      <c r="GC48" s="827"/>
      <c r="GD48" s="827"/>
      <c r="GE48" s="827"/>
      <c r="GF48" s="827"/>
      <c r="GG48" s="827"/>
      <c r="GH48" s="827"/>
      <c r="GI48" s="827"/>
      <c r="GJ48" s="827"/>
      <c r="GK48" s="827"/>
      <c r="GL48" s="827"/>
      <c r="GM48" s="827"/>
      <c r="GN48" s="827"/>
      <c r="GO48" s="827"/>
      <c r="GP48" s="827"/>
      <c r="GQ48" s="827"/>
      <c r="GR48" s="827"/>
      <c r="GS48" s="827"/>
      <c r="GT48" s="827"/>
      <c r="GU48" s="827"/>
      <c r="GV48" s="827"/>
      <c r="GW48" s="827"/>
      <c r="GX48" s="827"/>
      <c r="GY48" s="827"/>
      <c r="GZ48" s="827"/>
      <c r="HA48" s="827"/>
      <c r="HB48" s="827"/>
      <c r="HC48" s="827"/>
      <c r="HD48" s="827"/>
      <c r="HE48" s="827"/>
      <c r="HF48" s="827"/>
      <c r="HG48" s="827"/>
      <c r="HH48" s="827"/>
      <c r="HI48" s="827"/>
      <c r="HJ48" s="827"/>
      <c r="HK48" s="827"/>
      <c r="HL48" s="827"/>
      <c r="HM48" s="827"/>
      <c r="HN48" s="827"/>
      <c r="HO48" s="827"/>
      <c r="HP48" s="827"/>
      <c r="HQ48" s="827"/>
      <c r="HR48" s="827"/>
      <c r="HS48" s="827"/>
      <c r="HT48" s="827"/>
      <c r="HU48" s="827"/>
      <c r="HV48" s="827"/>
      <c r="HW48" s="827"/>
      <c r="HX48" s="827"/>
      <c r="HY48" s="827"/>
      <c r="HZ48" s="827"/>
      <c r="IA48" s="827"/>
      <c r="IB48" s="827"/>
      <c r="IC48" s="827"/>
      <c r="ID48" s="827"/>
      <c r="IE48" s="827"/>
      <c r="IF48" s="827"/>
      <c r="IG48" s="827"/>
      <c r="IH48" s="827"/>
      <c r="II48" s="827"/>
      <c r="IJ48" s="827"/>
      <c r="IK48" s="827"/>
      <c r="IL48" s="827"/>
      <c r="IM48" s="827"/>
      <c r="IN48" s="827"/>
      <c r="IO48" s="827"/>
      <c r="IP48" s="827"/>
      <c r="IQ48" s="827"/>
      <c r="IR48" s="827"/>
      <c r="IS48" s="827"/>
      <c r="IT48" s="827"/>
      <c r="IU48" s="827"/>
      <c r="IV48" s="827"/>
      <c r="IW48" s="827"/>
      <c r="IX48" s="827"/>
      <c r="IY48" s="827"/>
      <c r="IZ48" s="827"/>
      <c r="JA48" s="827"/>
      <c r="JB48" s="827"/>
      <c r="JC48" s="827"/>
      <c r="JD48" s="827"/>
      <c r="JE48" s="827"/>
      <c r="JF48" s="827"/>
      <c r="JG48" s="827"/>
      <c r="JH48" s="827"/>
      <c r="JI48" s="827"/>
      <c r="JJ48" s="827"/>
      <c r="JK48" s="827"/>
      <c r="JL48" s="827"/>
      <c r="JM48" s="827"/>
      <c r="JN48" s="827"/>
      <c r="JO48" s="827"/>
      <c r="JP48" s="827"/>
      <c r="JQ48" s="827"/>
      <c r="JR48" s="827"/>
      <c r="JS48" s="827"/>
      <c r="JT48" s="827"/>
      <c r="JU48" s="827"/>
      <c r="JV48" s="827"/>
      <c r="JW48" s="827"/>
      <c r="JX48" s="827"/>
      <c r="JY48" s="827"/>
      <c r="JZ48" s="827"/>
      <c r="KA48" s="827"/>
      <c r="KB48" s="827"/>
      <c r="KC48" s="827"/>
      <c r="KD48" s="827"/>
      <c r="KE48" s="827"/>
      <c r="KF48" s="827"/>
      <c r="KG48" s="827"/>
      <c r="KH48" s="827"/>
      <c r="KI48" s="827"/>
      <c r="KJ48" s="827"/>
      <c r="KK48" s="827"/>
      <c r="KL48" s="827"/>
      <c r="KM48" s="827"/>
      <c r="KN48" s="827"/>
      <c r="KO48" s="827"/>
      <c r="KP48" s="827"/>
      <c r="KQ48" s="827"/>
      <c r="KR48" s="827"/>
      <c r="KS48" s="827"/>
      <c r="KT48" s="827"/>
      <c r="KU48" s="827"/>
      <c r="KV48" s="827"/>
      <c r="KW48" s="827"/>
      <c r="KX48" s="827"/>
      <c r="KY48" s="827"/>
      <c r="KZ48" s="827"/>
      <c r="LA48" s="827"/>
      <c r="LB48" s="827"/>
      <c r="LC48" s="827"/>
      <c r="LD48" s="827"/>
      <c r="LE48" s="827"/>
      <c r="LF48" s="827"/>
      <c r="LG48" s="827"/>
      <c r="LH48" s="827"/>
      <c r="LI48" s="827"/>
      <c r="LJ48" s="827"/>
      <c r="LK48" s="827"/>
      <c r="LL48" s="827"/>
      <c r="LM48" s="827"/>
      <c r="LN48" s="827"/>
      <c r="LO48" s="827"/>
      <c r="LP48" s="827"/>
      <c r="LQ48" s="827"/>
      <c r="LR48" s="827"/>
      <c r="LS48" s="827"/>
      <c r="LT48" s="827"/>
      <c r="LU48" s="827"/>
      <c r="LV48" s="827"/>
      <c r="LW48" s="827"/>
      <c r="LX48" s="827"/>
      <c r="LY48" s="827"/>
      <c r="LZ48" s="827"/>
      <c r="MA48" s="827"/>
      <c r="MB48" s="827"/>
      <c r="MC48" s="827"/>
      <c r="MD48" s="827"/>
      <c r="ME48" s="827"/>
      <c r="MF48" s="827"/>
      <c r="MG48" s="827"/>
      <c r="MH48" s="827"/>
      <c r="MI48" s="827"/>
      <c r="MJ48" s="827"/>
      <c r="MK48" s="827"/>
      <c r="ML48" s="827"/>
      <c r="MM48" s="827"/>
      <c r="MN48" s="827"/>
      <c r="MO48" s="827"/>
      <c r="MP48" s="827"/>
      <c r="MQ48" s="827"/>
      <c r="MR48" s="827"/>
      <c r="MS48" s="827"/>
      <c r="MT48" s="827"/>
      <c r="MU48" s="827"/>
      <c r="MV48" s="827"/>
      <c r="MW48" s="827"/>
      <c r="MX48" s="827"/>
      <c r="MY48" s="827"/>
      <c r="MZ48" s="827"/>
      <c r="NA48" s="827"/>
      <c r="NB48" s="827"/>
      <c r="NC48" s="827"/>
      <c r="ND48" s="827"/>
      <c r="NE48" s="827"/>
      <c r="NF48" s="827"/>
      <c r="NG48" s="827"/>
      <c r="NH48" s="827"/>
      <c r="NI48" s="827"/>
      <c r="NJ48" s="827"/>
      <c r="NK48" s="827"/>
      <c r="NL48" s="827"/>
      <c r="NM48" s="827"/>
      <c r="NN48" s="827"/>
      <c r="NO48" s="827"/>
      <c r="NP48" s="827"/>
      <c r="NQ48" s="827"/>
      <c r="NR48" s="827"/>
      <c r="NS48" s="827"/>
      <c r="NT48" s="827"/>
      <c r="NU48" s="827"/>
      <c r="NV48" s="827"/>
      <c r="NW48" s="827"/>
      <c r="NX48" s="827"/>
      <c r="NY48" s="827"/>
      <c r="NZ48" s="827"/>
      <c r="OA48" s="827"/>
      <c r="OB48" s="827"/>
      <c r="OC48" s="827"/>
      <c r="OD48" s="827"/>
      <c r="OE48" s="827"/>
      <c r="OF48" s="827"/>
      <c r="OG48" s="827"/>
      <c r="OH48" s="827"/>
      <c r="OI48" s="827"/>
      <c r="OJ48" s="827"/>
      <c r="OK48" s="827"/>
      <c r="OL48" s="827"/>
      <c r="OM48" s="827"/>
      <c r="ON48" s="827"/>
      <c r="OO48" s="827"/>
      <c r="OP48" s="827"/>
      <c r="OQ48" s="827"/>
      <c r="OR48" s="827"/>
      <c r="OS48" s="827"/>
      <c r="OT48" s="827"/>
      <c r="OU48" s="827"/>
      <c r="OV48" s="827"/>
      <c r="OW48" s="827"/>
      <c r="OX48" s="827"/>
      <c r="OY48" s="827"/>
      <c r="OZ48" s="827"/>
      <c r="PA48" s="827"/>
      <c r="PB48" s="827"/>
      <c r="PC48" s="827"/>
      <c r="PD48" s="827"/>
      <c r="PE48" s="827"/>
      <c r="PF48" s="827"/>
      <c r="PG48" s="827"/>
      <c r="PH48" s="827"/>
      <c r="PI48" s="827"/>
      <c r="PJ48" s="827"/>
      <c r="PK48" s="827"/>
      <c r="PL48" s="827"/>
      <c r="PM48" s="827"/>
      <c r="PN48" s="827"/>
      <c r="PO48" s="827"/>
      <c r="PP48" s="827"/>
      <c r="PQ48" s="827"/>
      <c r="PR48" s="827"/>
      <c r="PS48" s="827"/>
      <c r="PT48" s="827"/>
      <c r="PU48" s="827"/>
      <c r="PV48" s="827"/>
      <c r="PW48" s="827"/>
      <c r="PX48" s="827"/>
      <c r="PY48" s="827"/>
      <c r="PZ48" s="827"/>
      <c r="QA48" s="827"/>
      <c r="QB48" s="827"/>
      <c r="QC48" s="827"/>
      <c r="QD48" s="827"/>
      <c r="QE48" s="827"/>
      <c r="QF48" s="827"/>
      <c r="QG48" s="827"/>
      <c r="QH48" s="827"/>
      <c r="QI48" s="827"/>
      <c r="QJ48" s="827"/>
      <c r="QK48" s="827"/>
      <c r="QL48" s="827"/>
      <c r="QM48" s="827"/>
      <c r="QN48" s="827"/>
      <c r="QO48" s="827"/>
      <c r="QP48" s="827"/>
      <c r="QQ48" s="827"/>
      <c r="QR48" s="827"/>
      <c r="QS48" s="827"/>
      <c r="QT48" s="827"/>
      <c r="QU48" s="827"/>
      <c r="QV48" s="827"/>
      <c r="QW48" s="827"/>
      <c r="QX48" s="827"/>
      <c r="QY48" s="827"/>
      <c r="QZ48" s="827"/>
      <c r="RA48" s="827"/>
      <c r="RB48" s="827"/>
      <c r="RC48" s="827"/>
      <c r="RD48" s="827"/>
      <c r="RE48" s="827"/>
      <c r="RF48" s="827"/>
      <c r="RG48" s="827"/>
      <c r="RH48" s="827"/>
      <c r="RI48" s="827"/>
      <c r="RJ48" s="827"/>
      <c r="RK48" s="827"/>
      <c r="RL48" s="827"/>
      <c r="RM48" s="827"/>
      <c r="RN48" s="827"/>
      <c r="RO48" s="827"/>
      <c r="RP48" s="827"/>
      <c r="RQ48" s="827"/>
      <c r="RR48" s="827"/>
      <c r="RS48" s="827"/>
      <c r="RT48" s="827"/>
      <c r="RU48" s="827"/>
      <c r="RV48" s="827"/>
      <c r="RW48" s="827"/>
      <c r="RX48" s="827"/>
      <c r="RY48" s="827"/>
      <c r="RZ48" s="827"/>
      <c r="SA48" s="827"/>
      <c r="SB48" s="827"/>
      <c r="SC48" s="827"/>
      <c r="SD48" s="827"/>
      <c r="SE48" s="827"/>
      <c r="SF48" s="827"/>
      <c r="SG48" s="827"/>
      <c r="SH48" s="827"/>
      <c r="SI48" s="827"/>
      <c r="SJ48" s="827"/>
      <c r="SK48" s="827"/>
      <c r="SL48" s="827"/>
      <c r="SM48" s="827"/>
      <c r="SN48" s="827"/>
      <c r="SO48" s="827"/>
      <c r="SP48" s="827"/>
      <c r="SQ48" s="827"/>
      <c r="SR48" s="827"/>
      <c r="SS48" s="827"/>
      <c r="ST48" s="827"/>
      <c r="SU48" s="827"/>
      <c r="SV48" s="827"/>
      <c r="SW48" s="827"/>
      <c r="SX48" s="827"/>
      <c r="SY48" s="827"/>
      <c r="SZ48" s="827"/>
      <c r="TA48" s="827"/>
      <c r="TB48" s="827"/>
      <c r="TC48" s="827"/>
      <c r="TD48" s="827"/>
      <c r="TE48" s="827"/>
      <c r="TF48" s="827"/>
      <c r="TG48" s="827"/>
      <c r="TH48" s="827"/>
      <c r="TI48" s="827"/>
      <c r="TJ48" s="827"/>
      <c r="TK48" s="827"/>
      <c r="TL48" s="827"/>
      <c r="TM48" s="827"/>
      <c r="TN48" s="827"/>
      <c r="TO48" s="827"/>
      <c r="TP48" s="827"/>
      <c r="TQ48" s="827"/>
      <c r="TR48" s="827"/>
      <c r="TS48" s="827"/>
      <c r="TT48" s="827"/>
      <c r="TU48" s="827"/>
      <c r="TV48" s="827"/>
      <c r="TW48" s="827"/>
      <c r="TX48" s="827"/>
      <c r="TY48" s="827"/>
      <c r="TZ48" s="827"/>
      <c r="UA48" s="827"/>
      <c r="UB48" s="827"/>
      <c r="UC48" s="827"/>
      <c r="UD48" s="827"/>
      <c r="UE48" s="827"/>
      <c r="UF48" s="827"/>
      <c r="UG48" s="827"/>
      <c r="UH48" s="827"/>
      <c r="UI48" s="827"/>
      <c r="UJ48" s="827"/>
      <c r="UK48" s="827"/>
      <c r="UL48" s="827"/>
      <c r="UM48" s="827"/>
      <c r="UN48" s="827"/>
      <c r="UO48" s="827"/>
      <c r="UP48" s="827"/>
      <c r="UQ48" s="827"/>
      <c r="UR48" s="827"/>
      <c r="US48" s="827"/>
      <c r="UT48" s="827"/>
      <c r="UU48" s="827"/>
      <c r="UV48" s="827"/>
      <c r="UW48" s="827"/>
      <c r="UX48" s="827"/>
      <c r="UY48" s="827"/>
      <c r="UZ48" s="827"/>
      <c r="VA48" s="827"/>
      <c r="VB48" s="827"/>
      <c r="VC48" s="827"/>
      <c r="VD48" s="827"/>
      <c r="VE48" s="827"/>
      <c r="VF48" s="827"/>
      <c r="VG48" s="827"/>
      <c r="VH48" s="827"/>
      <c r="VI48" s="827"/>
      <c r="VJ48" s="827"/>
      <c r="VK48" s="827"/>
      <c r="VL48" s="827"/>
      <c r="VM48" s="827"/>
      <c r="VN48" s="827"/>
      <c r="VO48" s="827"/>
      <c r="VP48" s="827"/>
      <c r="VQ48" s="827"/>
      <c r="VR48" s="827"/>
      <c r="VS48" s="827"/>
      <c r="VT48" s="827"/>
      <c r="VU48" s="827"/>
      <c r="VV48" s="827"/>
      <c r="VW48" s="827"/>
      <c r="VX48" s="827"/>
      <c r="VY48" s="827"/>
      <c r="VZ48" s="827"/>
      <c r="WA48" s="827"/>
      <c r="WB48" s="827"/>
      <c r="WC48" s="827"/>
      <c r="WD48" s="827"/>
      <c r="WE48" s="827"/>
      <c r="WF48" s="827"/>
      <c r="WG48" s="827"/>
      <c r="WH48" s="827"/>
      <c r="WI48" s="827"/>
      <c r="WJ48" s="827"/>
      <c r="WK48" s="827"/>
      <c r="WL48" s="827"/>
      <c r="WM48" s="827"/>
      <c r="WN48" s="827"/>
      <c r="WO48" s="827"/>
      <c r="WP48" s="827"/>
      <c r="WQ48" s="827"/>
      <c r="WR48" s="827"/>
      <c r="WS48" s="827"/>
      <c r="WT48" s="827"/>
      <c r="WU48" s="827"/>
      <c r="WV48" s="827"/>
      <c r="WW48" s="827"/>
      <c r="WX48" s="827"/>
      <c r="WY48" s="827"/>
      <c r="WZ48" s="827"/>
      <c r="XA48" s="827"/>
      <c r="XB48" s="827"/>
      <c r="XC48" s="827"/>
      <c r="XD48" s="827"/>
      <c r="XE48" s="827"/>
      <c r="XF48" s="827"/>
      <c r="XG48" s="827"/>
      <c r="XH48" s="827"/>
      <c r="XI48" s="827"/>
      <c r="XJ48" s="827"/>
      <c r="XK48" s="827"/>
      <c r="XL48" s="827"/>
      <c r="XM48" s="827"/>
      <c r="XN48" s="827"/>
      <c r="XO48" s="827"/>
      <c r="XP48" s="827"/>
      <c r="XQ48" s="827"/>
      <c r="XR48" s="827"/>
      <c r="XS48" s="827"/>
      <c r="XT48" s="827"/>
      <c r="XU48" s="827"/>
      <c r="XV48" s="827"/>
      <c r="XW48" s="827"/>
      <c r="XX48" s="827"/>
      <c r="XY48" s="827"/>
      <c r="XZ48" s="827"/>
      <c r="YA48" s="827"/>
      <c r="YB48" s="827"/>
      <c r="YC48" s="827"/>
      <c r="YD48" s="827"/>
      <c r="YE48" s="827"/>
      <c r="YF48" s="827"/>
      <c r="YG48" s="827"/>
      <c r="YH48" s="827"/>
      <c r="YI48" s="827"/>
      <c r="YJ48" s="827"/>
      <c r="YK48" s="827"/>
      <c r="YL48" s="827"/>
      <c r="YM48" s="827"/>
      <c r="YN48" s="827"/>
      <c r="YO48" s="827"/>
      <c r="YP48" s="827"/>
      <c r="YQ48" s="827"/>
      <c r="YR48" s="827"/>
      <c r="YS48" s="827"/>
      <c r="YT48" s="827"/>
      <c r="YU48" s="827"/>
      <c r="YV48" s="827"/>
      <c r="YW48" s="827"/>
      <c r="YX48" s="827"/>
      <c r="YY48" s="827"/>
      <c r="YZ48" s="827"/>
      <c r="ZA48" s="827"/>
      <c r="ZB48" s="827"/>
      <c r="ZC48" s="827"/>
      <c r="ZD48" s="827"/>
      <c r="ZE48" s="827"/>
      <c r="ZF48" s="827"/>
      <c r="ZG48" s="827"/>
      <c r="ZH48" s="827"/>
      <c r="ZI48" s="827"/>
      <c r="ZJ48" s="827"/>
      <c r="ZK48" s="827"/>
      <c r="ZL48" s="827"/>
      <c r="ZM48" s="827"/>
      <c r="ZN48" s="827"/>
      <c r="ZO48" s="827"/>
      <c r="ZP48" s="827"/>
      <c r="ZQ48" s="827"/>
      <c r="ZR48" s="827"/>
      <c r="ZS48" s="827"/>
      <c r="ZT48" s="827"/>
      <c r="ZU48" s="827"/>
      <c r="ZV48" s="827"/>
      <c r="ZW48" s="827"/>
      <c r="ZX48" s="827"/>
      <c r="ZY48" s="827"/>
      <c r="ZZ48" s="827"/>
      <c r="AAA48" s="827"/>
      <c r="AAB48" s="827"/>
      <c r="AAC48" s="827"/>
      <c r="AAD48" s="827"/>
      <c r="AAE48" s="827"/>
      <c r="AAF48" s="827"/>
      <c r="AAG48" s="827"/>
      <c r="AAH48" s="827"/>
      <c r="AAI48" s="827"/>
      <c r="AAJ48" s="827"/>
      <c r="AAK48" s="827"/>
      <c r="AAL48" s="827"/>
      <c r="AAM48" s="827"/>
      <c r="AAN48" s="827"/>
      <c r="AAO48" s="827"/>
      <c r="AAP48" s="827"/>
      <c r="AAQ48" s="827"/>
      <c r="AAR48" s="827"/>
      <c r="AAS48" s="827"/>
      <c r="AAT48" s="827"/>
      <c r="AAU48" s="827"/>
      <c r="AAV48" s="827"/>
      <c r="AAW48" s="827"/>
      <c r="AAX48" s="827"/>
      <c r="AAY48" s="827"/>
      <c r="AAZ48" s="827"/>
      <c r="ABA48" s="827"/>
      <c r="ABB48" s="827"/>
      <c r="ABC48" s="827"/>
      <c r="ABD48" s="827"/>
      <c r="ABE48" s="827"/>
      <c r="ABF48" s="827"/>
      <c r="ABG48" s="827"/>
      <c r="ABH48" s="827"/>
      <c r="ABI48" s="827"/>
      <c r="ABJ48" s="827"/>
      <c r="ABK48" s="827"/>
      <c r="ABL48" s="827"/>
      <c r="ABM48" s="827"/>
      <c r="ABN48" s="827"/>
      <c r="ABO48" s="827"/>
      <c r="ABP48" s="827"/>
      <c r="ABQ48" s="827"/>
      <c r="ABR48" s="827"/>
      <c r="ABS48" s="827"/>
      <c r="ABT48" s="827"/>
      <c r="ABU48" s="827"/>
      <c r="ABV48" s="827"/>
      <c r="ABW48" s="827"/>
      <c r="ABX48" s="827"/>
      <c r="ABY48" s="827"/>
      <c r="ABZ48" s="827"/>
      <c r="ACA48" s="827"/>
      <c r="ACB48" s="827"/>
      <c r="ACC48" s="827"/>
      <c r="ACD48" s="827"/>
      <c r="ACE48" s="827"/>
      <c r="ACF48" s="827"/>
      <c r="ACG48" s="827"/>
      <c r="ACH48" s="827"/>
      <c r="ACI48" s="827"/>
      <c r="ACJ48" s="827"/>
      <c r="ACK48" s="827"/>
      <c r="ACL48" s="827"/>
      <c r="ACM48" s="827"/>
      <c r="ACN48" s="827"/>
      <c r="ACO48" s="827"/>
      <c r="ACP48" s="827"/>
      <c r="ACQ48" s="827"/>
      <c r="ACR48" s="827"/>
      <c r="ACS48" s="827"/>
      <c r="ACT48" s="827"/>
      <c r="ACU48" s="827"/>
      <c r="ACV48" s="827"/>
      <c r="ACW48" s="827"/>
      <c r="ACX48" s="827"/>
      <c r="ACY48" s="827"/>
      <c r="ACZ48" s="827"/>
      <c r="ADA48" s="827"/>
      <c r="ADB48" s="827"/>
      <c r="ADC48" s="827"/>
      <c r="ADD48" s="827"/>
      <c r="ADE48" s="827"/>
      <c r="ADF48" s="827"/>
      <c r="ADG48" s="827"/>
      <c r="ADH48" s="827"/>
      <c r="ADI48" s="827"/>
      <c r="ADJ48" s="827"/>
      <c r="ADK48" s="827"/>
      <c r="ADL48" s="827"/>
      <c r="ADM48" s="827"/>
      <c r="ADN48" s="827"/>
      <c r="ADO48" s="827"/>
      <c r="ADP48" s="827"/>
      <c r="ADQ48" s="827"/>
      <c r="ADR48" s="827"/>
      <c r="ADS48" s="827"/>
      <c r="ADT48" s="827"/>
      <c r="ADU48" s="827"/>
      <c r="ADV48" s="827"/>
      <c r="ADW48" s="827"/>
      <c r="ADX48" s="827"/>
      <c r="ADY48" s="827"/>
      <c r="ADZ48" s="827"/>
      <c r="AEA48" s="827"/>
      <c r="AEB48" s="827"/>
      <c r="AEC48" s="827"/>
      <c r="AED48" s="827"/>
      <c r="AEE48" s="827"/>
      <c r="AEF48" s="827"/>
      <c r="AEG48" s="827"/>
      <c r="AEH48" s="827"/>
      <c r="AEI48" s="827"/>
      <c r="AEJ48" s="827"/>
      <c r="AEK48" s="827"/>
      <c r="AEL48" s="827"/>
      <c r="AEM48" s="827"/>
      <c r="AEN48" s="827"/>
      <c r="AEO48" s="827"/>
      <c r="AEP48" s="827"/>
      <c r="AEQ48" s="827"/>
      <c r="AER48" s="827"/>
      <c r="AES48" s="827"/>
      <c r="AET48" s="827"/>
      <c r="AEU48" s="827"/>
      <c r="AEV48" s="827"/>
      <c r="AEW48" s="827"/>
      <c r="AEX48" s="827"/>
      <c r="AEY48" s="827"/>
      <c r="AEZ48" s="827"/>
      <c r="AFA48" s="827"/>
      <c r="AFB48" s="827"/>
      <c r="AFC48" s="827"/>
      <c r="AFD48" s="827"/>
      <c r="AFE48" s="827"/>
      <c r="AFF48" s="827"/>
      <c r="AFG48" s="827"/>
      <c r="AFH48" s="827"/>
      <c r="AFI48" s="827"/>
      <c r="AFJ48" s="827"/>
      <c r="AFK48" s="827"/>
      <c r="AFL48" s="827"/>
      <c r="AFM48" s="827"/>
      <c r="AFN48" s="827"/>
      <c r="AFO48" s="827"/>
      <c r="AFP48" s="827"/>
      <c r="AFQ48" s="827"/>
      <c r="AFR48" s="827"/>
      <c r="AFS48" s="827"/>
      <c r="AFT48" s="827"/>
      <c r="AFU48" s="827"/>
      <c r="AFV48" s="827"/>
      <c r="AFW48" s="827"/>
      <c r="AFX48" s="827"/>
      <c r="AFY48" s="827"/>
      <c r="AFZ48" s="827"/>
      <c r="AGA48" s="827"/>
      <c r="AGB48" s="827"/>
      <c r="AGC48" s="827"/>
      <c r="AGD48" s="827"/>
      <c r="AGE48" s="827"/>
      <c r="AGF48" s="827"/>
      <c r="AGG48" s="827"/>
      <c r="AGH48" s="827"/>
      <c r="AGI48" s="827"/>
      <c r="AGJ48" s="827"/>
      <c r="AGK48" s="827"/>
      <c r="AGL48" s="827"/>
      <c r="AGM48" s="827"/>
      <c r="AGN48" s="827"/>
      <c r="AGO48" s="827"/>
      <c r="AGP48" s="827"/>
      <c r="AGQ48" s="827"/>
      <c r="AGR48" s="827"/>
      <c r="AGS48" s="827"/>
      <c r="AGT48" s="827"/>
      <c r="AGU48" s="827"/>
      <c r="AGV48" s="827"/>
      <c r="AGW48" s="827"/>
      <c r="AGX48" s="827"/>
      <c r="AGY48" s="827"/>
      <c r="AGZ48" s="827"/>
      <c r="AHA48" s="827"/>
      <c r="AHB48" s="827"/>
      <c r="AHC48" s="827"/>
      <c r="AHD48" s="827"/>
      <c r="AHE48" s="827"/>
      <c r="AHF48" s="827"/>
      <c r="AHG48" s="827"/>
      <c r="AHH48" s="827"/>
      <c r="AHI48" s="827"/>
      <c r="AHJ48" s="827"/>
      <c r="AHK48" s="827"/>
      <c r="AHL48" s="827"/>
      <c r="AHM48" s="827"/>
      <c r="AHN48" s="827"/>
      <c r="AHO48" s="827"/>
      <c r="AHP48" s="827"/>
      <c r="AHQ48" s="827"/>
      <c r="AHR48" s="827"/>
      <c r="AHS48" s="827"/>
      <c r="AHT48" s="827"/>
      <c r="AHU48" s="827"/>
      <c r="AHV48" s="827"/>
      <c r="AHW48" s="827"/>
      <c r="AHX48" s="827"/>
      <c r="AHY48" s="827"/>
      <c r="AHZ48" s="827"/>
      <c r="AIA48" s="827"/>
      <c r="AIB48" s="827"/>
      <c r="AIC48" s="827"/>
      <c r="AID48" s="827"/>
      <c r="AIE48" s="827"/>
      <c r="AIF48" s="827"/>
      <c r="AIG48" s="827"/>
      <c r="AIH48" s="827"/>
      <c r="AII48" s="827"/>
      <c r="AIJ48" s="827"/>
      <c r="AIK48" s="827"/>
      <c r="AIL48" s="827"/>
      <c r="AIM48" s="827"/>
      <c r="AIN48" s="827"/>
      <c r="AIO48" s="827"/>
      <c r="AIP48" s="827"/>
      <c r="AIQ48" s="827"/>
      <c r="AIR48" s="827"/>
      <c r="AIS48" s="827"/>
      <c r="AIT48" s="827"/>
      <c r="AIU48" s="827"/>
      <c r="AIV48" s="827"/>
      <c r="AIW48" s="827"/>
      <c r="AIX48" s="827"/>
      <c r="AIY48" s="827"/>
      <c r="AIZ48" s="827"/>
      <c r="AJA48" s="827"/>
      <c r="AJB48" s="827"/>
      <c r="AJC48" s="827"/>
      <c r="AJD48" s="827"/>
      <c r="AJE48" s="827"/>
      <c r="AJF48" s="827"/>
      <c r="AJG48" s="827"/>
      <c r="AJH48" s="827"/>
      <c r="AJI48" s="827"/>
      <c r="AJJ48" s="827"/>
      <c r="AJK48" s="827"/>
      <c r="AJL48" s="827"/>
      <c r="AJM48" s="827"/>
      <c r="AJN48" s="827"/>
      <c r="AJO48" s="827"/>
      <c r="AJP48" s="827"/>
      <c r="AJQ48" s="827"/>
      <c r="AJR48" s="827"/>
      <c r="AJS48" s="827"/>
      <c r="AJT48" s="827"/>
      <c r="AJU48" s="827"/>
      <c r="AJV48" s="827"/>
      <c r="AJW48" s="827"/>
      <c r="AJX48" s="827"/>
      <c r="AJY48" s="827"/>
      <c r="AJZ48" s="827"/>
      <c r="AKA48" s="827"/>
      <c r="AKB48" s="827"/>
      <c r="AKC48" s="827"/>
      <c r="AKD48" s="827"/>
      <c r="AKE48" s="827"/>
      <c r="AKF48" s="827"/>
      <c r="AKG48" s="827"/>
      <c r="AKH48" s="827"/>
      <c r="AKI48" s="827"/>
      <c r="AKJ48" s="827"/>
      <c r="AKK48" s="827"/>
      <c r="AKL48" s="827"/>
      <c r="AKM48" s="827"/>
      <c r="AKN48" s="827"/>
      <c r="AKO48" s="827"/>
      <c r="AKP48" s="827"/>
      <c r="AKQ48" s="827"/>
      <c r="AKR48" s="827"/>
      <c r="AKS48" s="827"/>
      <c r="AKT48" s="827"/>
      <c r="AKU48" s="827"/>
      <c r="AKV48" s="827"/>
      <c r="AKW48" s="827"/>
      <c r="AKX48" s="827"/>
      <c r="AKY48" s="827"/>
      <c r="AKZ48" s="827"/>
      <c r="ALA48" s="827"/>
      <c r="ALB48" s="827"/>
      <c r="ALC48" s="827"/>
      <c r="ALD48" s="827"/>
      <c r="ALE48" s="827"/>
      <c r="ALF48" s="827"/>
      <c r="ALG48" s="827"/>
      <c r="ALH48" s="827"/>
      <c r="ALI48" s="827"/>
      <c r="ALJ48" s="827"/>
      <c r="ALK48" s="827"/>
      <c r="ALL48" s="827"/>
      <c r="ALM48" s="827"/>
      <c r="ALN48" s="827"/>
      <c r="ALO48" s="827"/>
      <c r="ALP48" s="827"/>
      <c r="ALQ48" s="827"/>
      <c r="ALR48" s="827"/>
      <c r="ALS48" s="827"/>
      <c r="ALT48" s="827"/>
      <c r="ALU48" s="827"/>
      <c r="ALV48" s="827"/>
      <c r="ALW48" s="827"/>
      <c r="ALX48" s="827"/>
      <c r="ALY48" s="827"/>
      <c r="ALZ48" s="827"/>
      <c r="AMA48" s="827"/>
      <c r="AMB48" s="827"/>
      <c r="AMC48" s="827"/>
      <c r="AMD48" s="827"/>
      <c r="AME48" s="827"/>
      <c r="AMF48" s="827"/>
      <c r="AMG48" s="827"/>
      <c r="AMH48" s="827"/>
      <c r="AMI48" s="827"/>
      <c r="AMJ48" s="827"/>
      <c r="AMK48" s="827"/>
      <c r="AML48" s="827"/>
      <c r="AMM48" s="827"/>
      <c r="AMN48" s="827"/>
      <c r="AMO48" s="827"/>
      <c r="AMP48" s="827"/>
      <c r="AMQ48" s="827"/>
      <c r="AMR48" s="827"/>
      <c r="AMS48" s="827"/>
      <c r="AMT48" s="827"/>
      <c r="AMU48" s="827"/>
      <c r="AMV48" s="827"/>
      <c r="AMW48" s="827"/>
      <c r="AMX48" s="827"/>
      <c r="AMY48" s="827"/>
      <c r="AMZ48" s="827"/>
      <c r="ANA48" s="827"/>
      <c r="ANB48" s="827"/>
      <c r="ANC48" s="827"/>
      <c r="AND48" s="827"/>
      <c r="ANE48" s="827"/>
      <c r="ANF48" s="827"/>
      <c r="ANG48" s="827"/>
      <c r="ANH48" s="827"/>
      <c r="ANI48" s="827"/>
      <c r="ANJ48" s="827"/>
      <c r="ANK48" s="827"/>
      <c r="ANL48" s="827"/>
      <c r="ANM48" s="827"/>
      <c r="ANN48" s="827"/>
      <c r="ANO48" s="827"/>
      <c r="ANP48" s="827"/>
      <c r="ANQ48" s="827"/>
      <c r="ANR48" s="827"/>
      <c r="ANS48" s="827"/>
      <c r="ANT48" s="827"/>
      <c r="ANU48" s="827"/>
      <c r="ANV48" s="827"/>
      <c r="ANW48" s="827"/>
      <c r="ANX48" s="827"/>
      <c r="ANY48" s="827"/>
      <c r="ANZ48" s="827"/>
      <c r="AOA48" s="827"/>
      <c r="AOB48" s="827"/>
      <c r="AOC48" s="827"/>
      <c r="AOD48" s="827"/>
      <c r="AOE48" s="827"/>
      <c r="AOF48" s="827"/>
      <c r="AOG48" s="827"/>
      <c r="AOH48" s="827"/>
      <c r="AOI48" s="827"/>
      <c r="AOJ48" s="827"/>
      <c r="AOK48" s="827"/>
      <c r="AOL48" s="827"/>
      <c r="AOM48" s="827"/>
      <c r="AON48" s="827"/>
      <c r="AOO48" s="827"/>
      <c r="AOP48" s="827"/>
      <c r="AOQ48" s="827"/>
      <c r="AOR48" s="827"/>
      <c r="AOS48" s="827"/>
      <c r="AOT48" s="827"/>
      <c r="AOU48" s="827"/>
      <c r="AOV48" s="827"/>
      <c r="AOW48" s="827"/>
      <c r="AOX48" s="827"/>
      <c r="AOY48" s="827"/>
      <c r="AOZ48" s="827"/>
      <c r="APA48" s="827"/>
      <c r="APB48" s="827"/>
      <c r="APC48" s="827"/>
      <c r="APD48" s="827"/>
      <c r="APE48" s="827"/>
      <c r="APF48" s="827"/>
      <c r="APG48" s="827"/>
      <c r="APH48" s="827"/>
      <c r="API48" s="827"/>
      <c r="APJ48" s="827"/>
      <c r="APK48" s="827"/>
      <c r="APL48" s="827"/>
      <c r="APM48" s="827"/>
      <c r="APN48" s="827"/>
      <c r="APO48" s="827"/>
      <c r="APP48" s="827"/>
      <c r="APQ48" s="827"/>
      <c r="APR48" s="827"/>
      <c r="APS48" s="827"/>
      <c r="APT48" s="827"/>
      <c r="APU48" s="827"/>
      <c r="APV48" s="827"/>
      <c r="APW48" s="827"/>
      <c r="APX48" s="827"/>
      <c r="APY48" s="827"/>
      <c r="APZ48" s="827"/>
      <c r="AQA48" s="827"/>
      <c r="AQB48" s="827"/>
      <c r="AQC48" s="827"/>
      <c r="AQD48" s="827"/>
      <c r="AQE48" s="827"/>
      <c r="AQF48" s="827"/>
      <c r="AQG48" s="827"/>
      <c r="AQH48" s="827"/>
      <c r="AQI48" s="827"/>
      <c r="AQJ48" s="827"/>
      <c r="AQK48" s="827"/>
      <c r="AQL48" s="827"/>
      <c r="AQM48" s="827"/>
      <c r="AQN48" s="827"/>
      <c r="AQO48" s="827"/>
      <c r="AQP48" s="827"/>
      <c r="AQQ48" s="827"/>
      <c r="AQR48" s="827"/>
      <c r="AQS48" s="827"/>
      <c r="AQT48" s="827"/>
      <c r="AQU48" s="827"/>
      <c r="AQV48" s="827"/>
      <c r="AQW48" s="827"/>
      <c r="AQX48" s="827"/>
      <c r="AQY48" s="827"/>
      <c r="AQZ48" s="827"/>
      <c r="ARA48" s="827"/>
      <c r="ARB48" s="827"/>
      <c r="ARC48" s="827"/>
      <c r="ARD48" s="827"/>
      <c r="ARE48" s="827"/>
      <c r="ARF48" s="827"/>
      <c r="ARG48" s="827"/>
      <c r="ARH48" s="827"/>
      <c r="ARI48" s="827"/>
      <c r="ARJ48" s="827"/>
      <c r="ARK48" s="827"/>
      <c r="ARL48" s="827"/>
      <c r="ARM48" s="827"/>
      <c r="ARN48" s="827"/>
      <c r="ARO48" s="827"/>
      <c r="ARP48" s="827"/>
      <c r="ARQ48" s="827"/>
      <c r="ARR48" s="827"/>
      <c r="ARS48" s="827"/>
      <c r="ART48" s="827"/>
      <c r="ARU48" s="827"/>
      <c r="ARV48" s="827"/>
      <c r="ARW48" s="827"/>
      <c r="ARX48" s="827"/>
      <c r="ARY48" s="827"/>
      <c r="ARZ48" s="827"/>
      <c r="ASA48" s="827"/>
      <c r="ASB48" s="827"/>
      <c r="ASC48" s="827"/>
      <c r="ASD48" s="827"/>
      <c r="ASE48" s="827"/>
      <c r="ASF48" s="827"/>
      <c r="ASG48" s="827"/>
      <c r="ASH48" s="827"/>
      <c r="ASI48" s="827"/>
      <c r="ASJ48" s="827"/>
      <c r="ASK48" s="827"/>
      <c r="ASL48" s="827"/>
      <c r="ASM48" s="827"/>
      <c r="ASN48" s="827"/>
      <c r="ASO48" s="827"/>
      <c r="ASP48" s="827"/>
      <c r="ASQ48" s="827"/>
      <c r="ASR48" s="827"/>
      <c r="ASS48" s="827"/>
      <c r="AST48" s="827"/>
      <c r="ASU48" s="827"/>
      <c r="ASV48" s="827"/>
      <c r="ASW48" s="827"/>
      <c r="ASX48" s="827"/>
      <c r="ASY48" s="827"/>
      <c r="ASZ48" s="827"/>
      <c r="ATA48" s="827"/>
      <c r="ATB48" s="827"/>
      <c r="ATC48" s="827"/>
      <c r="ATD48" s="827"/>
      <c r="ATE48" s="827"/>
      <c r="ATF48" s="827"/>
      <c r="ATG48" s="827"/>
      <c r="ATH48" s="827"/>
      <c r="ATI48" s="827"/>
      <c r="ATJ48" s="827"/>
      <c r="ATK48" s="827"/>
      <c r="ATL48" s="827"/>
      <c r="ATM48" s="827"/>
      <c r="ATN48" s="827"/>
      <c r="ATO48" s="827"/>
      <c r="ATP48" s="827"/>
      <c r="ATQ48" s="827"/>
      <c r="ATR48" s="827"/>
      <c r="ATS48" s="827"/>
      <c r="ATT48" s="827"/>
      <c r="ATU48" s="827"/>
      <c r="ATV48" s="827"/>
      <c r="ATW48" s="827"/>
      <c r="ATX48" s="827"/>
      <c r="ATY48" s="827"/>
      <c r="ATZ48" s="827"/>
      <c r="AUA48" s="827"/>
      <c r="AUB48" s="827"/>
      <c r="AUC48" s="827"/>
      <c r="AUD48" s="827"/>
      <c r="AUE48" s="827"/>
      <c r="AUF48" s="827"/>
      <c r="AUG48" s="827"/>
      <c r="AUH48" s="827"/>
      <c r="AUI48" s="827"/>
      <c r="AUJ48" s="827"/>
      <c r="AUK48" s="827"/>
      <c r="AUL48" s="827"/>
      <c r="AUM48" s="827"/>
      <c r="AUN48" s="827"/>
      <c r="AUO48" s="827"/>
      <c r="AUP48" s="827"/>
      <c r="AUQ48" s="827"/>
      <c r="AUR48" s="827"/>
      <c r="AUS48" s="827"/>
      <c r="AUT48" s="827"/>
      <c r="AUU48" s="827"/>
      <c r="AUV48" s="827"/>
      <c r="AUW48" s="827"/>
      <c r="AUX48" s="827"/>
      <c r="AUY48" s="827"/>
      <c r="AUZ48" s="827"/>
      <c r="AVA48" s="827"/>
      <c r="AVB48" s="827"/>
      <c r="AVC48" s="827"/>
      <c r="AVD48" s="827"/>
      <c r="AVE48" s="827"/>
      <c r="AVF48" s="827"/>
      <c r="AVG48" s="827"/>
      <c r="AVH48" s="827"/>
      <c r="AVI48" s="827"/>
      <c r="AVJ48" s="827"/>
      <c r="AVK48" s="827"/>
      <c r="AVL48" s="827"/>
      <c r="AVM48" s="827"/>
      <c r="AVN48" s="827"/>
      <c r="AVO48" s="827"/>
      <c r="AVP48" s="827"/>
      <c r="AVQ48" s="827"/>
      <c r="AVR48" s="827"/>
      <c r="AVS48" s="827"/>
      <c r="AVT48" s="827"/>
      <c r="AVU48" s="827"/>
      <c r="AVV48" s="827"/>
      <c r="AVW48" s="827"/>
      <c r="AVX48" s="827"/>
      <c r="AVY48" s="827"/>
      <c r="AVZ48" s="827"/>
      <c r="AWA48" s="827"/>
      <c r="AWB48" s="827"/>
      <c r="AWC48" s="827"/>
      <c r="AWD48" s="827"/>
      <c r="AWE48" s="827"/>
      <c r="AWF48" s="827"/>
      <c r="AWG48" s="827"/>
      <c r="AWH48" s="827"/>
      <c r="AWI48" s="827"/>
      <c r="AWJ48" s="827"/>
      <c r="AWK48" s="827"/>
      <c r="AWL48" s="827"/>
      <c r="AWM48" s="827"/>
      <c r="AWN48" s="827"/>
      <c r="AWO48" s="827"/>
      <c r="AWP48" s="827"/>
      <c r="AWQ48" s="827"/>
      <c r="AWR48" s="827"/>
      <c r="AWS48" s="827"/>
      <c r="AWT48" s="827"/>
      <c r="AWU48" s="827"/>
      <c r="AWV48" s="827"/>
      <c r="AWW48" s="827"/>
      <c r="AWX48" s="827"/>
      <c r="AWY48" s="827"/>
      <c r="AWZ48" s="827"/>
      <c r="AXA48" s="827"/>
      <c r="AXB48" s="827"/>
      <c r="AXC48" s="827"/>
      <c r="AXD48" s="827"/>
      <c r="AXE48" s="827"/>
      <c r="AXF48" s="827"/>
      <c r="AXG48" s="827"/>
      <c r="AXH48" s="827"/>
      <c r="AXI48" s="827"/>
      <c r="AXJ48" s="827"/>
      <c r="AXK48" s="827"/>
      <c r="AXL48" s="827"/>
      <c r="AXM48" s="827"/>
      <c r="AXN48" s="827"/>
      <c r="AXO48" s="827"/>
      <c r="AXP48" s="827"/>
      <c r="AXQ48" s="827"/>
      <c r="AXR48" s="827"/>
      <c r="AXS48" s="827"/>
      <c r="AXT48" s="827"/>
      <c r="AXU48" s="827"/>
      <c r="AXV48" s="827"/>
      <c r="AXW48" s="827"/>
      <c r="AXX48" s="827"/>
      <c r="AXY48" s="827"/>
      <c r="AXZ48" s="827"/>
      <c r="AYA48" s="827"/>
      <c r="AYB48" s="827"/>
      <c r="AYC48" s="827"/>
      <c r="AYD48" s="827"/>
      <c r="AYE48" s="827"/>
      <c r="AYF48" s="827"/>
      <c r="AYG48" s="827"/>
      <c r="AYH48" s="827"/>
      <c r="AYI48" s="827"/>
      <c r="AYJ48" s="827"/>
      <c r="AYK48" s="827"/>
      <c r="AYL48" s="827"/>
      <c r="AYM48" s="827"/>
      <c r="AYN48" s="827"/>
      <c r="AYO48" s="827"/>
      <c r="AYP48" s="827"/>
      <c r="AYQ48" s="827"/>
      <c r="AYR48" s="827"/>
      <c r="AYS48" s="827"/>
      <c r="AYT48" s="827"/>
      <c r="AYU48" s="827"/>
      <c r="AYV48" s="827"/>
      <c r="AYW48" s="827"/>
      <c r="AYX48" s="827"/>
      <c r="AYY48" s="827"/>
      <c r="AYZ48" s="827"/>
      <c r="AZA48" s="827"/>
      <c r="AZB48" s="827"/>
      <c r="AZC48" s="827"/>
      <c r="AZD48" s="827"/>
      <c r="AZE48" s="827"/>
      <c r="AZF48" s="827"/>
      <c r="AZG48" s="827"/>
      <c r="AZH48" s="827"/>
      <c r="AZI48" s="827"/>
      <c r="AZJ48" s="827"/>
      <c r="AZK48" s="827"/>
      <c r="AZL48" s="827"/>
      <c r="AZM48" s="827"/>
      <c r="AZN48" s="827"/>
      <c r="AZO48" s="827"/>
      <c r="AZP48" s="827"/>
      <c r="AZQ48" s="827"/>
      <c r="AZR48" s="827"/>
      <c r="AZS48" s="827"/>
      <c r="AZT48" s="827"/>
      <c r="AZU48" s="827"/>
      <c r="AZV48" s="827"/>
      <c r="AZW48" s="827"/>
      <c r="AZX48" s="827"/>
      <c r="AZY48" s="827"/>
      <c r="AZZ48" s="827"/>
      <c r="BAA48" s="827"/>
      <c r="BAB48" s="827"/>
      <c r="BAC48" s="827"/>
      <c r="BAD48" s="827"/>
      <c r="BAE48" s="827"/>
      <c r="BAF48" s="827"/>
      <c r="BAG48" s="827"/>
      <c r="BAH48" s="827"/>
      <c r="BAI48" s="827"/>
      <c r="BAJ48" s="827"/>
      <c r="BAK48" s="827"/>
      <c r="BAL48" s="827"/>
      <c r="BAM48" s="827"/>
      <c r="BAN48" s="827"/>
      <c r="BAO48" s="827"/>
      <c r="BAP48" s="827"/>
      <c r="BAQ48" s="827"/>
      <c r="BAR48" s="827"/>
      <c r="BAS48" s="827"/>
      <c r="BAT48" s="827"/>
      <c r="BAU48" s="827"/>
      <c r="BAV48" s="827"/>
      <c r="BAW48" s="827"/>
      <c r="BAX48" s="827"/>
      <c r="BAY48" s="827"/>
      <c r="BAZ48" s="827"/>
      <c r="BBA48" s="827"/>
      <c r="BBB48" s="827"/>
      <c r="BBC48" s="827"/>
      <c r="BBD48" s="827"/>
      <c r="BBE48" s="827"/>
      <c r="BBF48" s="827"/>
      <c r="BBG48" s="827"/>
      <c r="BBH48" s="827"/>
      <c r="BBI48" s="827"/>
      <c r="BBJ48" s="827"/>
      <c r="BBK48" s="827"/>
      <c r="BBL48" s="827"/>
      <c r="BBM48" s="827"/>
      <c r="BBN48" s="827"/>
      <c r="BBO48" s="827"/>
      <c r="BBP48" s="827"/>
      <c r="BBQ48" s="827"/>
      <c r="BBR48" s="827"/>
      <c r="BBS48" s="827"/>
      <c r="BBT48" s="827"/>
      <c r="BBU48" s="827"/>
      <c r="BBV48" s="827"/>
      <c r="BBW48" s="827"/>
      <c r="BBX48" s="827"/>
      <c r="BBY48" s="827"/>
      <c r="BBZ48" s="827"/>
      <c r="BCA48" s="827"/>
      <c r="BCB48" s="827"/>
      <c r="BCC48" s="827"/>
      <c r="BCD48" s="827"/>
      <c r="BCE48" s="827"/>
      <c r="BCF48" s="827"/>
      <c r="BCG48" s="827"/>
      <c r="BCH48" s="827"/>
      <c r="BCI48" s="827"/>
      <c r="BCJ48" s="827"/>
      <c r="BCK48" s="827"/>
      <c r="BCL48" s="827"/>
      <c r="BCM48" s="827"/>
      <c r="BCN48" s="827"/>
      <c r="BCO48" s="827"/>
      <c r="BCP48" s="827"/>
      <c r="BCQ48" s="827"/>
      <c r="BCR48" s="827"/>
      <c r="BCS48" s="827"/>
      <c r="BCT48" s="827"/>
      <c r="BCU48" s="827"/>
      <c r="BCV48" s="827"/>
      <c r="BCW48" s="827"/>
      <c r="BCX48" s="827"/>
      <c r="BCY48" s="827"/>
      <c r="BCZ48" s="827"/>
      <c r="BDA48" s="827"/>
      <c r="BDB48" s="827"/>
      <c r="BDC48" s="827"/>
      <c r="BDD48" s="827"/>
      <c r="BDE48" s="827"/>
      <c r="BDF48" s="827"/>
      <c r="BDG48" s="827"/>
      <c r="BDH48" s="827"/>
      <c r="BDI48" s="827"/>
      <c r="BDJ48" s="827"/>
      <c r="BDK48" s="827"/>
      <c r="BDL48" s="827"/>
      <c r="BDM48" s="827"/>
      <c r="BDN48" s="827"/>
      <c r="BDO48" s="827"/>
      <c r="BDP48" s="827"/>
      <c r="BDQ48" s="827"/>
      <c r="BDR48" s="827"/>
      <c r="BDS48" s="827"/>
      <c r="BDT48" s="827"/>
      <c r="BDU48" s="827"/>
      <c r="BDV48" s="827"/>
      <c r="BDW48" s="827"/>
      <c r="BDX48" s="827"/>
      <c r="BDY48" s="827"/>
      <c r="BDZ48" s="827"/>
      <c r="BEA48" s="827"/>
      <c r="BEB48" s="827"/>
      <c r="BEC48" s="827"/>
      <c r="BED48" s="827"/>
      <c r="BEE48" s="827"/>
      <c r="BEF48" s="827"/>
      <c r="BEG48" s="827"/>
      <c r="BEH48" s="827"/>
      <c r="BEI48" s="827"/>
      <c r="BEJ48" s="827"/>
      <c r="BEK48" s="827"/>
      <c r="BEL48" s="827"/>
      <c r="BEM48" s="827"/>
      <c r="BEN48" s="827"/>
      <c r="BEO48" s="827"/>
      <c r="BEP48" s="827"/>
      <c r="BEQ48" s="827"/>
      <c r="BER48" s="827"/>
      <c r="BES48" s="827"/>
      <c r="BET48" s="827"/>
      <c r="BEU48" s="827"/>
      <c r="BEV48" s="827"/>
      <c r="BEW48" s="827"/>
      <c r="BEX48" s="827"/>
      <c r="BEY48" s="827"/>
      <c r="BEZ48" s="827"/>
      <c r="BFA48" s="827"/>
      <c r="BFB48" s="827"/>
      <c r="BFC48" s="827"/>
      <c r="BFD48" s="827"/>
      <c r="BFE48" s="827"/>
      <c r="BFF48" s="827"/>
      <c r="BFG48" s="827"/>
      <c r="BFH48" s="827"/>
      <c r="BFI48" s="827"/>
      <c r="BFJ48" s="827"/>
      <c r="BFK48" s="827"/>
      <c r="BFL48" s="827"/>
      <c r="BFM48" s="827"/>
      <c r="BFN48" s="827"/>
      <c r="BFO48" s="827"/>
      <c r="BFP48" s="827"/>
      <c r="BFQ48" s="827"/>
      <c r="BFR48" s="827"/>
      <c r="BFS48" s="827"/>
      <c r="BFT48" s="827"/>
      <c r="BFU48" s="827"/>
      <c r="BFV48" s="827"/>
      <c r="BFW48" s="827"/>
      <c r="BFX48" s="827"/>
      <c r="BFY48" s="827"/>
      <c r="BFZ48" s="827"/>
      <c r="BGA48" s="827"/>
      <c r="BGB48" s="827"/>
      <c r="BGC48" s="827"/>
      <c r="BGD48" s="827"/>
      <c r="BGE48" s="827"/>
      <c r="BGF48" s="827"/>
      <c r="BGG48" s="827"/>
      <c r="BGH48" s="827"/>
      <c r="BGI48" s="827"/>
      <c r="BGJ48" s="827"/>
      <c r="BGK48" s="827"/>
      <c r="BGL48" s="827"/>
      <c r="BGM48" s="827"/>
      <c r="BGN48" s="827"/>
      <c r="BGO48" s="827"/>
      <c r="BGP48" s="827"/>
      <c r="BGQ48" s="827"/>
      <c r="BGR48" s="827"/>
      <c r="BGS48" s="827"/>
      <c r="BGT48" s="827"/>
      <c r="BGU48" s="827"/>
      <c r="BGV48" s="827"/>
      <c r="BGW48" s="827"/>
      <c r="BGX48" s="827"/>
      <c r="BGY48" s="827"/>
      <c r="BGZ48" s="827"/>
      <c r="BHA48" s="827"/>
      <c r="BHB48" s="827"/>
      <c r="BHC48" s="827"/>
      <c r="BHD48" s="827"/>
      <c r="BHE48" s="827"/>
      <c r="BHF48" s="827"/>
      <c r="BHG48" s="827"/>
      <c r="BHH48" s="827"/>
      <c r="BHI48" s="827"/>
      <c r="BHJ48" s="827"/>
      <c r="BHK48" s="827"/>
      <c r="BHL48" s="827"/>
      <c r="BHM48" s="827"/>
      <c r="BHN48" s="827"/>
      <c r="BHO48" s="827"/>
      <c r="BHP48" s="827"/>
      <c r="BHQ48" s="827"/>
      <c r="BHR48" s="827"/>
      <c r="BHS48" s="827"/>
      <c r="BHT48" s="827"/>
      <c r="BHU48" s="827"/>
      <c r="BHV48" s="827"/>
      <c r="BHW48" s="827"/>
      <c r="BHX48" s="827"/>
      <c r="BHY48" s="827"/>
      <c r="BHZ48" s="827"/>
      <c r="BIA48" s="827"/>
      <c r="BIB48" s="827"/>
      <c r="BIC48" s="827"/>
      <c r="BID48" s="827"/>
      <c r="BIE48" s="827"/>
      <c r="BIF48" s="827"/>
      <c r="BIG48" s="827"/>
      <c r="BIH48" s="827"/>
      <c r="BII48" s="827"/>
      <c r="BIJ48" s="827"/>
      <c r="BIK48" s="827"/>
      <c r="BIL48" s="827"/>
      <c r="BIM48" s="827"/>
      <c r="BIN48" s="827"/>
      <c r="BIO48" s="827"/>
      <c r="BIP48" s="827"/>
      <c r="BIQ48" s="827"/>
      <c r="BIR48" s="827"/>
      <c r="BIS48" s="827"/>
      <c r="BIT48" s="827"/>
      <c r="BIU48" s="827"/>
      <c r="BIV48" s="827"/>
      <c r="BIW48" s="827"/>
      <c r="BIX48" s="827"/>
      <c r="BIY48" s="827"/>
      <c r="BIZ48" s="827"/>
      <c r="BJA48" s="827"/>
      <c r="BJB48" s="827"/>
      <c r="BJC48" s="827"/>
      <c r="BJD48" s="827"/>
      <c r="BJE48" s="827"/>
      <c r="BJF48" s="827"/>
      <c r="BJG48" s="827"/>
      <c r="BJH48" s="827"/>
      <c r="BJI48" s="827"/>
      <c r="BJJ48" s="827"/>
      <c r="BJK48" s="827"/>
      <c r="BJL48" s="827"/>
      <c r="BJM48" s="827"/>
      <c r="BJN48" s="827"/>
      <c r="BJO48" s="827"/>
      <c r="BJP48" s="827"/>
      <c r="BJQ48" s="827"/>
      <c r="BJR48" s="827"/>
      <c r="BJS48" s="827"/>
      <c r="BJT48" s="827"/>
      <c r="BJU48" s="827"/>
      <c r="BJV48" s="827"/>
      <c r="BJW48" s="827"/>
      <c r="BJX48" s="827"/>
      <c r="BJY48" s="827"/>
      <c r="BJZ48" s="827"/>
      <c r="BKA48" s="827"/>
      <c r="BKB48" s="827"/>
      <c r="BKC48" s="827"/>
      <c r="BKD48" s="827"/>
      <c r="BKE48" s="827"/>
      <c r="BKF48" s="827"/>
      <c r="BKG48" s="827"/>
      <c r="BKH48" s="827"/>
      <c r="BKI48" s="827"/>
      <c r="BKJ48" s="827"/>
      <c r="BKK48" s="827"/>
      <c r="BKL48" s="827"/>
      <c r="BKM48" s="827"/>
      <c r="BKN48" s="827"/>
      <c r="BKO48" s="827"/>
      <c r="BKP48" s="827"/>
      <c r="BKQ48" s="827"/>
      <c r="BKR48" s="827"/>
      <c r="BKS48" s="827"/>
      <c r="BKT48" s="827"/>
      <c r="BKU48" s="827"/>
      <c r="BKV48" s="827"/>
      <c r="BKW48" s="827"/>
      <c r="BKX48" s="827"/>
      <c r="BKY48" s="827"/>
      <c r="BKZ48" s="827"/>
      <c r="BLA48" s="827"/>
      <c r="BLB48" s="827"/>
      <c r="BLC48" s="827"/>
      <c r="BLD48" s="827"/>
      <c r="BLE48" s="827"/>
      <c r="BLF48" s="827"/>
      <c r="BLG48" s="827"/>
      <c r="BLH48" s="827"/>
      <c r="BLI48" s="827"/>
      <c r="BLJ48" s="827"/>
      <c r="BLK48" s="827"/>
      <c r="BLL48" s="827"/>
      <c r="BLM48" s="827"/>
      <c r="BLN48" s="827"/>
      <c r="BLO48" s="827"/>
      <c r="BLP48" s="827"/>
      <c r="BLQ48" s="827"/>
      <c r="BLR48" s="827"/>
      <c r="BLS48" s="827"/>
      <c r="BLT48" s="827"/>
      <c r="BLU48" s="827"/>
      <c r="BLV48" s="827"/>
      <c r="BLW48" s="827"/>
      <c r="BLX48" s="827"/>
      <c r="BLY48" s="827"/>
      <c r="BLZ48" s="827"/>
      <c r="BMA48" s="827"/>
      <c r="BMB48" s="827"/>
      <c r="BMC48" s="827"/>
      <c r="BMD48" s="827"/>
      <c r="BME48" s="827"/>
      <c r="BMF48" s="827"/>
      <c r="BMG48" s="827"/>
      <c r="BMH48" s="827"/>
      <c r="BMI48" s="827"/>
      <c r="BMJ48" s="827"/>
      <c r="BMK48" s="827"/>
      <c r="BML48" s="827"/>
      <c r="BMM48" s="827"/>
      <c r="BMN48" s="827"/>
      <c r="BMO48" s="827"/>
      <c r="BMP48" s="827"/>
      <c r="BMQ48" s="827"/>
      <c r="BMR48" s="827"/>
      <c r="BMS48" s="827"/>
      <c r="BMT48" s="827"/>
      <c r="BMU48" s="827"/>
      <c r="BMV48" s="827"/>
      <c r="BMW48" s="827"/>
      <c r="BMX48" s="827"/>
      <c r="BMY48" s="827"/>
      <c r="BMZ48" s="827"/>
      <c r="BNA48" s="827"/>
      <c r="BNB48" s="827"/>
      <c r="BNC48" s="827"/>
      <c r="BND48" s="827"/>
      <c r="BNE48" s="827"/>
      <c r="BNF48" s="827"/>
      <c r="BNG48" s="827"/>
      <c r="BNH48" s="827"/>
      <c r="BNI48" s="827"/>
      <c r="BNJ48" s="827"/>
      <c r="BNK48" s="827"/>
      <c r="BNL48" s="827"/>
      <c r="BNM48" s="827"/>
      <c r="BNN48" s="827"/>
      <c r="BNO48" s="827"/>
      <c r="BNP48" s="827"/>
      <c r="BNQ48" s="827"/>
      <c r="BNR48" s="827"/>
      <c r="BNS48" s="827"/>
      <c r="BNT48" s="827"/>
      <c r="BNU48" s="827"/>
      <c r="BNV48" s="827"/>
      <c r="BNW48" s="827"/>
      <c r="BNX48" s="827"/>
      <c r="BNY48" s="827"/>
      <c r="BNZ48" s="827"/>
      <c r="BOA48" s="827"/>
      <c r="BOB48" s="827"/>
      <c r="BOC48" s="827"/>
      <c r="BOD48" s="827"/>
      <c r="BOE48" s="827"/>
      <c r="BOF48" s="827"/>
      <c r="BOG48" s="827"/>
      <c r="BOH48" s="827"/>
      <c r="BOI48" s="827"/>
      <c r="BOJ48" s="827"/>
      <c r="BOK48" s="827"/>
      <c r="BOL48" s="827"/>
      <c r="BOM48" s="827"/>
      <c r="BON48" s="827"/>
      <c r="BOO48" s="827"/>
      <c r="BOP48" s="827"/>
      <c r="BOQ48" s="827"/>
      <c r="BOR48" s="827"/>
      <c r="BOS48" s="827"/>
      <c r="BOT48" s="827"/>
      <c r="BOU48" s="827"/>
      <c r="BOV48" s="827"/>
      <c r="BOW48" s="827"/>
      <c r="BOX48" s="827"/>
      <c r="BOY48" s="827"/>
      <c r="BOZ48" s="827"/>
      <c r="BPA48" s="827"/>
      <c r="BPB48" s="827"/>
      <c r="BPC48" s="827"/>
      <c r="BPD48" s="827"/>
      <c r="BPE48" s="827"/>
      <c r="BPF48" s="827"/>
      <c r="BPG48" s="827"/>
      <c r="BPH48" s="827"/>
      <c r="BPI48" s="827"/>
      <c r="BPJ48" s="827"/>
      <c r="BPK48" s="827"/>
      <c r="BPL48" s="827"/>
      <c r="BPM48" s="827"/>
      <c r="BPN48" s="827"/>
      <c r="BPO48" s="827"/>
      <c r="BPP48" s="827"/>
      <c r="BPQ48" s="827"/>
      <c r="BPR48" s="827"/>
      <c r="BPS48" s="827"/>
      <c r="BPT48" s="827"/>
      <c r="BPU48" s="827"/>
      <c r="BPV48" s="827"/>
      <c r="BPW48" s="827"/>
      <c r="BPX48" s="827"/>
      <c r="BPY48" s="827"/>
      <c r="BPZ48" s="827"/>
      <c r="BQA48" s="827"/>
      <c r="BQB48" s="827"/>
      <c r="BQC48" s="827"/>
      <c r="BQD48" s="827"/>
      <c r="BQE48" s="827"/>
      <c r="BQF48" s="827"/>
      <c r="BQG48" s="827"/>
      <c r="BQH48" s="827"/>
      <c r="BQI48" s="827"/>
      <c r="BQJ48" s="827"/>
      <c r="BQK48" s="827"/>
      <c r="BQL48" s="827"/>
      <c r="BQM48" s="827"/>
      <c r="BQN48" s="827"/>
      <c r="BQO48" s="827"/>
      <c r="BQP48" s="827"/>
      <c r="BQQ48" s="827"/>
      <c r="BQR48" s="827"/>
      <c r="BQS48" s="827"/>
      <c r="BQT48" s="827"/>
      <c r="BQU48" s="827"/>
      <c r="BQV48" s="827"/>
      <c r="BQW48" s="827"/>
      <c r="BQX48" s="827"/>
      <c r="BQY48" s="827"/>
      <c r="BQZ48" s="827"/>
      <c r="BRA48" s="827"/>
      <c r="BRB48" s="827"/>
      <c r="BRC48" s="827"/>
      <c r="BRD48" s="827"/>
      <c r="BRE48" s="827"/>
      <c r="BRF48" s="827"/>
      <c r="BRG48" s="827"/>
      <c r="BRH48" s="827"/>
      <c r="BRI48" s="827"/>
      <c r="BRJ48" s="827"/>
      <c r="BRK48" s="827"/>
      <c r="BRL48" s="827"/>
      <c r="BRM48" s="827"/>
      <c r="BRN48" s="827"/>
      <c r="BRO48" s="827"/>
      <c r="BRP48" s="827"/>
      <c r="BRQ48" s="827"/>
      <c r="BRR48" s="827"/>
      <c r="BRS48" s="827"/>
      <c r="BRT48" s="827"/>
      <c r="BRU48" s="827"/>
      <c r="BRV48" s="827"/>
      <c r="BRW48" s="827"/>
      <c r="BRX48" s="827"/>
      <c r="BRY48" s="827"/>
      <c r="BRZ48" s="827"/>
      <c r="BSA48" s="827"/>
      <c r="BSB48" s="827"/>
      <c r="BSC48" s="827"/>
      <c r="BSD48" s="827"/>
      <c r="BSE48" s="827"/>
      <c r="BSF48" s="827"/>
      <c r="BSG48" s="827"/>
      <c r="BSH48" s="827"/>
      <c r="BSI48" s="827"/>
      <c r="BSJ48" s="827"/>
      <c r="BSK48" s="827"/>
      <c r="BSL48" s="827"/>
      <c r="BSM48" s="827"/>
      <c r="BSN48" s="827"/>
      <c r="BSO48" s="827"/>
      <c r="BSP48" s="827"/>
      <c r="BSQ48" s="827"/>
      <c r="BSR48" s="827"/>
      <c r="BSS48" s="827"/>
      <c r="BST48" s="827"/>
    </row>
    <row r="49" spans="5:38" s="827" customFormat="1" x14ac:dyDescent="0.25">
      <c r="E49" s="834"/>
      <c r="F49" s="834"/>
      <c r="H49" s="834"/>
      <c r="I49" s="834"/>
      <c r="J49" s="834"/>
      <c r="K49" s="834"/>
      <c r="L49" s="834"/>
      <c r="M49" s="834"/>
      <c r="N49" s="834"/>
      <c r="O49" s="834"/>
      <c r="P49" s="834"/>
      <c r="Q49" s="834"/>
      <c r="R49" s="834"/>
      <c r="S49" s="834"/>
      <c r="T49" s="834"/>
      <c r="U49" s="834"/>
      <c r="V49" s="834"/>
      <c r="W49" s="834"/>
      <c r="X49" s="834"/>
      <c r="Y49" s="834"/>
      <c r="Z49" s="834"/>
      <c r="AA49" s="867"/>
      <c r="AB49" s="834"/>
      <c r="AC49" s="834"/>
      <c r="AD49" s="834"/>
      <c r="AE49" s="834"/>
      <c r="AF49" s="834"/>
      <c r="AG49" s="834"/>
      <c r="AH49" s="834"/>
      <c r="AI49" s="834"/>
      <c r="AJ49" s="834"/>
      <c r="AK49" s="834"/>
      <c r="AL49" s="834"/>
    </row>
    <row r="50" spans="5:38" s="837" customFormat="1" x14ac:dyDescent="0.3">
      <c r="AA50" s="871"/>
    </row>
    <row r="51" spans="5:38" s="837" customFormat="1" x14ac:dyDescent="0.3">
      <c r="AA51" s="871"/>
    </row>
    <row r="52" spans="5:38" s="837" customFormat="1" x14ac:dyDescent="0.3">
      <c r="AA52" s="871"/>
    </row>
    <row r="53" spans="5:38" s="837" customFormat="1" x14ac:dyDescent="0.3">
      <c r="AA53" s="871"/>
    </row>
    <row r="54" spans="5:38" s="837" customFormat="1" x14ac:dyDescent="0.3">
      <c r="AA54" s="871"/>
    </row>
    <row r="55" spans="5:38" s="837" customFormat="1" x14ac:dyDescent="0.3">
      <c r="AA55" s="871"/>
    </row>
    <row r="56" spans="5:38" s="837" customFormat="1" x14ac:dyDescent="0.3">
      <c r="AA56" s="871"/>
    </row>
    <row r="57" spans="5:38" s="837" customFormat="1" x14ac:dyDescent="0.3">
      <c r="AA57" s="871"/>
    </row>
    <row r="58" spans="5:38" s="837" customFormat="1" x14ac:dyDescent="0.3">
      <c r="AA58" s="871"/>
    </row>
    <row r="59" spans="5:38" s="837" customFormat="1" x14ac:dyDescent="0.3">
      <c r="AA59" s="871"/>
    </row>
    <row r="60" spans="5:38" s="837" customFormat="1" x14ac:dyDescent="0.3">
      <c r="AA60" s="871"/>
    </row>
    <row r="61" spans="5:38" s="837" customFormat="1" x14ac:dyDescent="0.3">
      <c r="AA61" s="871"/>
    </row>
    <row r="62" spans="5:38" s="837" customFormat="1" x14ac:dyDescent="0.3">
      <c r="AA62" s="871"/>
    </row>
    <row r="63" spans="5:38" s="837" customFormat="1" x14ac:dyDescent="0.3">
      <c r="AA63" s="871"/>
    </row>
    <row r="64" spans="5:38" s="837" customFormat="1" x14ac:dyDescent="0.3">
      <c r="AA64" s="871"/>
    </row>
    <row r="65" spans="27:27" s="837" customFormat="1" x14ac:dyDescent="0.3">
      <c r="AA65" s="871"/>
    </row>
    <row r="66" spans="27:27" s="837" customFormat="1" x14ac:dyDescent="0.3">
      <c r="AA66" s="871"/>
    </row>
    <row r="67" spans="27:27" s="837" customFormat="1" x14ac:dyDescent="0.3">
      <c r="AA67" s="871"/>
    </row>
    <row r="68" spans="27:27" s="837" customFormat="1" x14ac:dyDescent="0.3">
      <c r="AA68" s="871"/>
    </row>
    <row r="69" spans="27:27" s="837" customFormat="1" x14ac:dyDescent="0.3">
      <c r="AA69" s="871"/>
    </row>
    <row r="70" spans="27:27" s="837" customFormat="1" x14ac:dyDescent="0.3">
      <c r="AA70" s="871"/>
    </row>
    <row r="71" spans="27:27" s="837" customFormat="1" x14ac:dyDescent="0.3">
      <c r="AA71" s="871"/>
    </row>
    <row r="72" spans="27:27" s="837" customFormat="1" x14ac:dyDescent="0.3">
      <c r="AA72" s="871"/>
    </row>
    <row r="73" spans="27:27" s="837" customFormat="1" x14ac:dyDescent="0.3">
      <c r="AA73" s="871"/>
    </row>
    <row r="74" spans="27:27" s="837" customFormat="1" x14ac:dyDescent="0.3">
      <c r="AA74" s="871"/>
    </row>
    <row r="75" spans="27:27" s="837" customFormat="1" x14ac:dyDescent="0.3">
      <c r="AA75" s="871"/>
    </row>
    <row r="76" spans="27:27" s="837" customFormat="1" x14ac:dyDescent="0.3">
      <c r="AA76" s="871"/>
    </row>
    <row r="77" spans="27:27" s="837" customFormat="1" x14ac:dyDescent="0.3">
      <c r="AA77" s="871"/>
    </row>
    <row r="78" spans="27:27" s="837" customFormat="1" x14ac:dyDescent="0.3">
      <c r="AA78" s="871"/>
    </row>
    <row r="79" spans="27:27" s="837" customFormat="1" x14ac:dyDescent="0.3">
      <c r="AA79" s="871"/>
    </row>
    <row r="80" spans="27:27" s="837" customFormat="1" x14ac:dyDescent="0.3">
      <c r="AA80" s="871"/>
    </row>
    <row r="81" spans="27:27" s="837" customFormat="1" x14ac:dyDescent="0.3">
      <c r="AA81" s="871"/>
    </row>
    <row r="82" spans="27:27" s="837" customFormat="1" x14ac:dyDescent="0.3">
      <c r="AA82" s="871"/>
    </row>
    <row r="83" spans="27:27" s="837" customFormat="1" x14ac:dyDescent="0.3">
      <c r="AA83" s="871"/>
    </row>
    <row r="84" spans="27:27" s="837" customFormat="1" x14ac:dyDescent="0.3">
      <c r="AA84" s="871"/>
    </row>
    <row r="85" spans="27:27" s="837" customFormat="1" x14ac:dyDescent="0.3">
      <c r="AA85" s="871"/>
    </row>
    <row r="86" spans="27:27" s="837" customFormat="1" x14ac:dyDescent="0.3">
      <c r="AA86" s="871"/>
    </row>
    <row r="87" spans="27:27" s="837" customFormat="1" x14ac:dyDescent="0.3">
      <c r="AA87" s="871"/>
    </row>
    <row r="88" spans="27:27" s="837" customFormat="1" x14ac:dyDescent="0.3">
      <c r="AA88" s="871"/>
    </row>
    <row r="89" spans="27:27" s="837" customFormat="1" x14ac:dyDescent="0.3">
      <c r="AA89" s="871"/>
    </row>
    <row r="90" spans="27:27" s="837" customFormat="1" x14ac:dyDescent="0.3">
      <c r="AA90" s="871"/>
    </row>
    <row r="91" spans="27:27" s="837" customFormat="1" x14ac:dyDescent="0.3">
      <c r="AA91" s="871"/>
    </row>
    <row r="92" spans="27:27" s="837" customFormat="1" x14ac:dyDescent="0.3">
      <c r="AA92" s="871"/>
    </row>
    <row r="93" spans="27:27" s="837" customFormat="1" x14ac:dyDescent="0.3">
      <c r="AA93" s="871"/>
    </row>
    <row r="94" spans="27:27" s="837" customFormat="1" x14ac:dyDescent="0.3">
      <c r="AA94" s="871"/>
    </row>
    <row r="95" spans="27:27" s="837" customFormat="1" x14ac:dyDescent="0.3">
      <c r="AA95" s="871"/>
    </row>
    <row r="96" spans="27:27" s="837" customFormat="1" x14ac:dyDescent="0.3">
      <c r="AA96" s="871"/>
    </row>
    <row r="97" spans="27:27" s="837" customFormat="1" x14ac:dyDescent="0.3">
      <c r="AA97" s="871"/>
    </row>
    <row r="98" spans="27:27" s="837" customFormat="1" x14ac:dyDescent="0.3">
      <c r="AA98" s="871"/>
    </row>
    <row r="99" spans="27:27" s="837" customFormat="1" x14ac:dyDescent="0.3">
      <c r="AA99" s="871"/>
    </row>
    <row r="100" spans="27:27" s="837" customFormat="1" x14ac:dyDescent="0.3">
      <c r="AA100" s="871"/>
    </row>
    <row r="101" spans="27:27" s="837" customFormat="1" x14ac:dyDescent="0.3">
      <c r="AA101" s="871"/>
    </row>
    <row r="102" spans="27:27" s="837" customFormat="1" x14ac:dyDescent="0.3">
      <c r="AA102" s="871"/>
    </row>
    <row r="103" spans="27:27" s="837" customFormat="1" x14ac:dyDescent="0.3">
      <c r="AA103" s="871"/>
    </row>
    <row r="104" spans="27:27" s="837" customFormat="1" x14ac:dyDescent="0.3">
      <c r="AA104" s="871"/>
    </row>
    <row r="105" spans="27:27" s="837" customFormat="1" x14ac:dyDescent="0.3">
      <c r="AA105" s="871"/>
    </row>
    <row r="106" spans="27:27" s="837" customFormat="1" x14ac:dyDescent="0.3">
      <c r="AA106" s="871"/>
    </row>
    <row r="107" spans="27:27" s="837" customFormat="1" x14ac:dyDescent="0.3">
      <c r="AA107" s="871"/>
    </row>
    <row r="108" spans="27:27" s="837" customFormat="1" x14ac:dyDescent="0.3">
      <c r="AA108" s="871"/>
    </row>
    <row r="109" spans="27:27" s="837" customFormat="1" x14ac:dyDescent="0.3">
      <c r="AA109" s="871"/>
    </row>
    <row r="110" spans="27:27" s="837" customFormat="1" x14ac:dyDescent="0.3">
      <c r="AA110" s="871"/>
    </row>
    <row r="111" spans="27:27" s="837" customFormat="1" x14ac:dyDescent="0.3">
      <c r="AA111" s="871"/>
    </row>
    <row r="112" spans="27:27" s="837" customFormat="1" x14ac:dyDescent="0.3">
      <c r="AA112" s="871"/>
    </row>
    <row r="113" spans="27:27" s="837" customFormat="1" x14ac:dyDescent="0.3">
      <c r="AA113" s="871"/>
    </row>
    <row r="114" spans="27:27" s="837" customFormat="1" x14ac:dyDescent="0.3">
      <c r="AA114" s="871"/>
    </row>
    <row r="115" spans="27:27" s="837" customFormat="1" x14ac:dyDescent="0.3">
      <c r="AA115" s="871"/>
    </row>
    <row r="116" spans="27:27" s="837" customFormat="1" x14ac:dyDescent="0.3">
      <c r="AA116" s="871"/>
    </row>
    <row r="117" spans="27:27" s="837" customFormat="1" x14ac:dyDescent="0.3">
      <c r="AA117" s="871"/>
    </row>
    <row r="118" spans="27:27" s="837" customFormat="1" x14ac:dyDescent="0.3">
      <c r="AA118" s="871"/>
    </row>
    <row r="119" spans="27:27" s="837" customFormat="1" x14ac:dyDescent="0.3">
      <c r="AA119" s="871"/>
    </row>
    <row r="120" spans="27:27" s="837" customFormat="1" x14ac:dyDescent="0.3">
      <c r="AA120" s="871"/>
    </row>
    <row r="121" spans="27:27" s="837" customFormat="1" x14ac:dyDescent="0.3">
      <c r="AA121" s="871"/>
    </row>
    <row r="122" spans="27:27" s="837" customFormat="1" x14ac:dyDescent="0.3">
      <c r="AA122" s="871"/>
    </row>
    <row r="123" spans="27:27" s="837" customFormat="1" x14ac:dyDescent="0.3">
      <c r="AA123" s="871"/>
    </row>
    <row r="124" spans="27:27" s="837" customFormat="1" x14ac:dyDescent="0.3">
      <c r="AA124" s="871"/>
    </row>
    <row r="125" spans="27:27" s="837" customFormat="1" x14ac:dyDescent="0.3">
      <c r="AA125" s="871"/>
    </row>
    <row r="126" spans="27:27" s="837" customFormat="1" x14ac:dyDescent="0.3">
      <c r="AA126" s="871"/>
    </row>
    <row r="127" spans="27:27" s="837" customFormat="1" x14ac:dyDescent="0.3">
      <c r="AA127" s="871"/>
    </row>
    <row r="128" spans="27:27" s="837" customFormat="1" x14ac:dyDescent="0.3">
      <c r="AA128" s="871"/>
    </row>
    <row r="129" spans="27:27" s="837" customFormat="1" x14ac:dyDescent="0.3">
      <c r="AA129" s="871"/>
    </row>
    <row r="130" spans="27:27" s="837" customFormat="1" x14ac:dyDescent="0.3">
      <c r="AA130" s="871"/>
    </row>
    <row r="131" spans="27:27" s="837" customFormat="1" x14ac:dyDescent="0.3">
      <c r="AA131" s="871"/>
    </row>
    <row r="132" spans="27:27" s="837" customFormat="1" x14ac:dyDescent="0.3">
      <c r="AA132" s="871"/>
    </row>
    <row r="133" spans="27:27" s="837" customFormat="1" x14ac:dyDescent="0.3">
      <c r="AA133" s="871"/>
    </row>
    <row r="134" spans="27:27" s="837" customFormat="1" x14ac:dyDescent="0.3">
      <c r="AA134" s="871"/>
    </row>
    <row r="135" spans="27:27" s="837" customFormat="1" x14ac:dyDescent="0.3">
      <c r="AA135" s="871"/>
    </row>
    <row r="136" spans="27:27" s="837" customFormat="1" x14ac:dyDescent="0.3">
      <c r="AA136" s="871"/>
    </row>
    <row r="137" spans="27:27" s="837" customFormat="1" x14ac:dyDescent="0.3">
      <c r="AA137" s="871"/>
    </row>
    <row r="138" spans="27:27" s="837" customFormat="1" x14ac:dyDescent="0.3">
      <c r="AA138" s="871"/>
    </row>
    <row r="139" spans="27:27" s="837" customFormat="1" x14ac:dyDescent="0.3">
      <c r="AA139" s="871"/>
    </row>
    <row r="140" spans="27:27" s="837" customFormat="1" x14ac:dyDescent="0.3">
      <c r="AA140" s="871"/>
    </row>
    <row r="141" spans="27:27" s="837" customFormat="1" x14ac:dyDescent="0.3">
      <c r="AA141" s="871"/>
    </row>
    <row r="142" spans="27:27" s="837" customFormat="1" x14ac:dyDescent="0.3">
      <c r="AA142" s="871"/>
    </row>
    <row r="143" spans="27:27" s="837" customFormat="1" x14ac:dyDescent="0.3">
      <c r="AA143" s="871"/>
    </row>
    <row r="144" spans="27:27" s="837" customFormat="1" x14ac:dyDescent="0.3">
      <c r="AA144" s="871"/>
    </row>
    <row r="145" spans="27:27" s="837" customFormat="1" x14ac:dyDescent="0.3">
      <c r="AA145" s="871"/>
    </row>
    <row r="146" spans="27:27" s="837" customFormat="1" x14ac:dyDescent="0.3">
      <c r="AA146" s="871"/>
    </row>
    <row r="147" spans="27:27" s="837" customFormat="1" x14ac:dyDescent="0.3">
      <c r="AA147" s="871"/>
    </row>
    <row r="148" spans="27:27" s="837" customFormat="1" x14ac:dyDescent="0.3">
      <c r="AA148" s="871"/>
    </row>
    <row r="149" spans="27:27" s="837" customFormat="1" x14ac:dyDescent="0.3">
      <c r="AA149" s="871"/>
    </row>
    <row r="150" spans="27:27" s="837" customFormat="1" x14ac:dyDescent="0.3">
      <c r="AA150" s="871"/>
    </row>
    <row r="151" spans="27:27" s="837" customFormat="1" x14ac:dyDescent="0.3">
      <c r="AA151" s="871"/>
    </row>
    <row r="152" spans="27:27" s="837" customFormat="1" x14ac:dyDescent="0.3">
      <c r="AA152" s="871"/>
    </row>
    <row r="153" spans="27:27" s="837" customFormat="1" x14ac:dyDescent="0.3">
      <c r="AA153" s="871"/>
    </row>
    <row r="154" spans="27:27" s="837" customFormat="1" x14ac:dyDescent="0.3">
      <c r="AA154" s="871"/>
    </row>
    <row r="155" spans="27:27" s="837" customFormat="1" x14ac:dyDescent="0.3">
      <c r="AA155" s="871"/>
    </row>
    <row r="156" spans="27:27" s="837" customFormat="1" x14ac:dyDescent="0.3">
      <c r="AA156" s="871"/>
    </row>
    <row r="157" spans="27:27" s="837" customFormat="1" x14ac:dyDescent="0.3">
      <c r="AA157" s="871"/>
    </row>
    <row r="158" spans="27:27" s="837" customFormat="1" x14ac:dyDescent="0.3">
      <c r="AA158" s="871"/>
    </row>
    <row r="159" spans="27:27" s="837" customFormat="1" x14ac:dyDescent="0.3">
      <c r="AA159" s="871"/>
    </row>
    <row r="160" spans="27:27" s="837" customFormat="1" x14ac:dyDescent="0.3">
      <c r="AA160" s="871"/>
    </row>
    <row r="161" spans="27:27" s="837" customFormat="1" x14ac:dyDescent="0.3">
      <c r="AA161" s="871"/>
    </row>
    <row r="162" spans="27:27" s="837" customFormat="1" x14ac:dyDescent="0.3">
      <c r="AA162" s="871"/>
    </row>
    <row r="163" spans="27:27" s="837" customFormat="1" x14ac:dyDescent="0.3">
      <c r="AA163" s="871"/>
    </row>
    <row r="164" spans="27:27" s="837" customFormat="1" x14ac:dyDescent="0.3">
      <c r="AA164" s="871"/>
    </row>
    <row r="165" spans="27:27" s="837" customFormat="1" x14ac:dyDescent="0.3">
      <c r="AA165" s="871"/>
    </row>
    <row r="166" spans="27:27" s="837" customFormat="1" x14ac:dyDescent="0.3">
      <c r="AA166" s="871"/>
    </row>
    <row r="167" spans="27:27" s="837" customFormat="1" x14ac:dyDescent="0.3">
      <c r="AA167" s="871"/>
    </row>
    <row r="168" spans="27:27" s="837" customFormat="1" x14ac:dyDescent="0.3">
      <c r="AA168" s="871"/>
    </row>
    <row r="169" spans="27:27" s="837" customFormat="1" x14ac:dyDescent="0.3">
      <c r="AA169" s="871"/>
    </row>
    <row r="170" spans="27:27" s="837" customFormat="1" x14ac:dyDescent="0.3">
      <c r="AA170" s="871"/>
    </row>
    <row r="171" spans="27:27" s="837" customFormat="1" x14ac:dyDescent="0.3">
      <c r="AA171" s="871"/>
    </row>
    <row r="172" spans="27:27" s="837" customFormat="1" x14ac:dyDescent="0.3">
      <c r="AA172" s="871"/>
    </row>
    <row r="173" spans="27:27" s="837" customFormat="1" x14ac:dyDescent="0.3">
      <c r="AA173" s="871"/>
    </row>
    <row r="174" spans="27:27" s="837" customFormat="1" x14ac:dyDescent="0.3">
      <c r="AA174" s="871"/>
    </row>
    <row r="175" spans="27:27" s="837" customFormat="1" x14ac:dyDescent="0.3">
      <c r="AA175" s="871"/>
    </row>
    <row r="176" spans="27:27" s="837" customFormat="1" x14ac:dyDescent="0.3">
      <c r="AA176" s="871"/>
    </row>
    <row r="177" spans="27:27" s="837" customFormat="1" x14ac:dyDescent="0.3">
      <c r="AA177" s="871"/>
    </row>
    <row r="178" spans="27:27" s="837" customFormat="1" x14ac:dyDescent="0.3">
      <c r="AA178" s="871"/>
    </row>
    <row r="179" spans="27:27" s="837" customFormat="1" x14ac:dyDescent="0.3">
      <c r="AA179" s="871"/>
    </row>
    <row r="180" spans="27:27" s="837" customFormat="1" x14ac:dyDescent="0.3">
      <c r="AA180" s="871"/>
    </row>
    <row r="181" spans="27:27" s="837" customFormat="1" x14ac:dyDescent="0.3">
      <c r="AA181" s="871"/>
    </row>
    <row r="182" spans="27:27" s="837" customFormat="1" x14ac:dyDescent="0.3">
      <c r="AA182" s="871"/>
    </row>
    <row r="183" spans="27:27" s="837" customFormat="1" x14ac:dyDescent="0.3">
      <c r="AA183" s="871"/>
    </row>
    <row r="184" spans="27:27" s="837" customFormat="1" x14ac:dyDescent="0.3">
      <c r="AA184" s="871"/>
    </row>
    <row r="185" spans="27:27" s="837" customFormat="1" x14ac:dyDescent="0.3">
      <c r="AA185" s="871"/>
    </row>
    <row r="186" spans="27:27" s="837" customFormat="1" x14ac:dyDescent="0.3">
      <c r="AA186" s="871"/>
    </row>
    <row r="187" spans="27:27" s="837" customFormat="1" x14ac:dyDescent="0.3">
      <c r="AA187" s="871"/>
    </row>
    <row r="188" spans="27:27" s="837" customFormat="1" x14ac:dyDescent="0.3">
      <c r="AA188" s="871"/>
    </row>
    <row r="189" spans="27:27" s="837" customFormat="1" x14ac:dyDescent="0.3">
      <c r="AA189" s="871"/>
    </row>
    <row r="190" spans="27:27" s="837" customFormat="1" x14ac:dyDescent="0.3">
      <c r="AA190" s="871"/>
    </row>
    <row r="191" spans="27:27" s="837" customFormat="1" x14ac:dyDescent="0.3">
      <c r="AA191" s="871"/>
    </row>
    <row r="192" spans="27:27" s="837" customFormat="1" x14ac:dyDescent="0.3">
      <c r="AA192" s="871"/>
    </row>
    <row r="193" spans="27:27" s="837" customFormat="1" x14ac:dyDescent="0.3">
      <c r="AA193" s="871"/>
    </row>
    <row r="194" spans="27:27" s="837" customFormat="1" x14ac:dyDescent="0.3">
      <c r="AA194" s="871"/>
    </row>
    <row r="195" spans="27:27" s="837" customFormat="1" x14ac:dyDescent="0.3">
      <c r="AA195" s="871"/>
    </row>
    <row r="196" spans="27:27" s="837" customFormat="1" x14ac:dyDescent="0.3">
      <c r="AA196" s="871"/>
    </row>
    <row r="197" spans="27:27" s="837" customFormat="1" x14ac:dyDescent="0.3">
      <c r="AA197" s="871"/>
    </row>
    <row r="198" spans="27:27" s="837" customFormat="1" x14ac:dyDescent="0.3">
      <c r="AA198" s="871"/>
    </row>
    <row r="199" spans="27:27" s="837" customFormat="1" x14ac:dyDescent="0.3">
      <c r="AA199" s="871"/>
    </row>
    <row r="200" spans="27:27" s="837" customFormat="1" x14ac:dyDescent="0.3">
      <c r="AA200" s="871"/>
    </row>
    <row r="201" spans="27:27" s="837" customFormat="1" x14ac:dyDescent="0.3">
      <c r="AA201" s="871"/>
    </row>
    <row r="202" spans="27:27" s="837" customFormat="1" x14ac:dyDescent="0.3">
      <c r="AA202" s="871"/>
    </row>
    <row r="203" spans="27:27" s="837" customFormat="1" x14ac:dyDescent="0.3">
      <c r="AA203" s="871"/>
    </row>
    <row r="204" spans="27:27" s="837" customFormat="1" x14ac:dyDescent="0.3">
      <c r="AA204" s="871"/>
    </row>
    <row r="205" spans="27:27" s="837" customFormat="1" x14ac:dyDescent="0.3">
      <c r="AA205" s="871"/>
    </row>
    <row r="206" spans="27:27" s="837" customFormat="1" x14ac:dyDescent="0.3">
      <c r="AA206" s="871"/>
    </row>
    <row r="207" spans="27:27" s="837" customFormat="1" x14ac:dyDescent="0.3">
      <c r="AA207" s="871"/>
    </row>
    <row r="208" spans="27:27" s="837" customFormat="1" x14ac:dyDescent="0.3">
      <c r="AA208" s="871"/>
    </row>
    <row r="209" spans="27:27" s="837" customFormat="1" x14ac:dyDescent="0.3">
      <c r="AA209" s="871"/>
    </row>
    <row r="210" spans="27:27" s="837" customFormat="1" x14ac:dyDescent="0.3">
      <c r="AA210" s="871"/>
    </row>
    <row r="211" spans="27:27" s="837" customFormat="1" x14ac:dyDescent="0.3">
      <c r="AA211" s="871"/>
    </row>
    <row r="212" spans="27:27" s="837" customFormat="1" x14ac:dyDescent="0.3">
      <c r="AA212" s="871"/>
    </row>
    <row r="213" spans="27:27" s="837" customFormat="1" x14ac:dyDescent="0.3">
      <c r="AA213" s="871"/>
    </row>
    <row r="214" spans="27:27" s="837" customFormat="1" x14ac:dyDescent="0.3">
      <c r="AA214" s="871"/>
    </row>
    <row r="215" spans="27:27" s="837" customFormat="1" x14ac:dyDescent="0.3">
      <c r="AA215" s="871"/>
    </row>
    <row r="216" spans="27:27" s="837" customFormat="1" x14ac:dyDescent="0.3">
      <c r="AA216" s="871"/>
    </row>
    <row r="217" spans="27:27" s="837" customFormat="1" x14ac:dyDescent="0.3">
      <c r="AA217" s="871"/>
    </row>
    <row r="218" spans="27:27" s="837" customFormat="1" x14ac:dyDescent="0.3">
      <c r="AA218" s="871"/>
    </row>
    <row r="219" spans="27:27" s="837" customFormat="1" x14ac:dyDescent="0.3">
      <c r="AA219" s="871"/>
    </row>
    <row r="220" spans="27:27" s="837" customFormat="1" x14ac:dyDescent="0.3">
      <c r="AA220" s="871"/>
    </row>
    <row r="221" spans="27:27" s="837" customFormat="1" x14ac:dyDescent="0.3">
      <c r="AA221" s="871"/>
    </row>
    <row r="222" spans="27:27" s="837" customFormat="1" x14ac:dyDescent="0.3">
      <c r="AA222" s="871"/>
    </row>
    <row r="223" spans="27:27" s="837" customFormat="1" x14ac:dyDescent="0.3">
      <c r="AA223" s="871"/>
    </row>
    <row r="224" spans="27:27" s="837" customFormat="1" x14ac:dyDescent="0.3">
      <c r="AA224" s="871"/>
    </row>
    <row r="225" spans="27:27" s="837" customFormat="1" x14ac:dyDescent="0.3">
      <c r="AA225" s="871"/>
    </row>
    <row r="226" spans="27:27" s="837" customFormat="1" x14ac:dyDescent="0.3">
      <c r="AA226" s="871"/>
    </row>
    <row r="227" spans="27:27" s="837" customFormat="1" x14ac:dyDescent="0.3">
      <c r="AA227" s="871"/>
    </row>
    <row r="228" spans="27:27" s="837" customFormat="1" x14ac:dyDescent="0.3">
      <c r="AA228" s="871"/>
    </row>
    <row r="229" spans="27:27" s="837" customFormat="1" x14ac:dyDescent="0.3">
      <c r="AA229" s="871"/>
    </row>
    <row r="230" spans="27:27" s="837" customFormat="1" x14ac:dyDescent="0.3">
      <c r="AA230" s="871"/>
    </row>
    <row r="231" spans="27:27" s="837" customFormat="1" x14ac:dyDescent="0.3">
      <c r="AA231" s="871"/>
    </row>
    <row r="232" spans="27:27" s="837" customFormat="1" x14ac:dyDescent="0.3">
      <c r="AA232" s="871"/>
    </row>
    <row r="233" spans="27:27" s="837" customFormat="1" x14ac:dyDescent="0.3">
      <c r="AA233" s="871"/>
    </row>
    <row r="234" spans="27:27" s="837" customFormat="1" x14ac:dyDescent="0.3">
      <c r="AA234" s="871"/>
    </row>
    <row r="235" spans="27:27" s="837" customFormat="1" x14ac:dyDescent="0.3">
      <c r="AA235" s="871"/>
    </row>
    <row r="236" spans="27:27" s="837" customFormat="1" x14ac:dyDescent="0.3">
      <c r="AA236" s="871"/>
    </row>
    <row r="237" spans="27:27" s="837" customFormat="1" x14ac:dyDescent="0.3">
      <c r="AA237" s="871"/>
    </row>
    <row r="238" spans="27:27" s="837" customFormat="1" x14ac:dyDescent="0.3">
      <c r="AA238" s="871"/>
    </row>
    <row r="239" spans="27:27" s="837" customFormat="1" x14ac:dyDescent="0.3">
      <c r="AA239" s="871"/>
    </row>
    <row r="240" spans="27:27" s="837" customFormat="1" x14ac:dyDescent="0.3">
      <c r="AA240" s="871"/>
    </row>
    <row r="241" spans="27:27" s="837" customFormat="1" x14ac:dyDescent="0.3">
      <c r="AA241" s="871"/>
    </row>
    <row r="242" spans="27:27" s="837" customFormat="1" x14ac:dyDescent="0.3">
      <c r="AA242" s="871"/>
    </row>
    <row r="243" spans="27:27" s="837" customFormat="1" x14ac:dyDescent="0.3">
      <c r="AA243" s="871"/>
    </row>
    <row r="244" spans="27:27" s="837" customFormat="1" x14ac:dyDescent="0.3">
      <c r="AA244" s="871"/>
    </row>
    <row r="245" spans="27:27" s="837" customFormat="1" x14ac:dyDescent="0.3">
      <c r="AA245" s="871"/>
    </row>
    <row r="246" spans="27:27" s="837" customFormat="1" x14ac:dyDescent="0.3">
      <c r="AA246" s="871"/>
    </row>
    <row r="247" spans="27:27" s="837" customFormat="1" x14ac:dyDescent="0.3">
      <c r="AA247" s="871"/>
    </row>
    <row r="248" spans="27:27" s="837" customFormat="1" x14ac:dyDescent="0.3">
      <c r="AA248" s="871"/>
    </row>
    <row r="249" spans="27:27" s="837" customFormat="1" x14ac:dyDescent="0.3">
      <c r="AA249" s="871"/>
    </row>
    <row r="250" spans="27:27" s="837" customFormat="1" x14ac:dyDescent="0.3">
      <c r="AA250" s="871"/>
    </row>
    <row r="251" spans="27:27" s="837" customFormat="1" x14ac:dyDescent="0.3">
      <c r="AA251" s="871"/>
    </row>
    <row r="252" spans="27:27" s="837" customFormat="1" x14ac:dyDescent="0.3">
      <c r="AA252" s="871"/>
    </row>
    <row r="253" spans="27:27" s="837" customFormat="1" x14ac:dyDescent="0.3">
      <c r="AA253" s="871"/>
    </row>
    <row r="254" spans="27:27" s="837" customFormat="1" x14ac:dyDescent="0.3">
      <c r="AA254" s="871"/>
    </row>
    <row r="255" spans="27:27" s="837" customFormat="1" x14ac:dyDescent="0.3">
      <c r="AA255" s="871"/>
    </row>
    <row r="256" spans="27:27" s="837" customFormat="1" x14ac:dyDescent="0.3">
      <c r="AA256" s="871"/>
    </row>
    <row r="257" spans="27:27" s="837" customFormat="1" x14ac:dyDescent="0.3">
      <c r="AA257" s="871"/>
    </row>
    <row r="258" spans="27:27" s="837" customFormat="1" x14ac:dyDescent="0.3">
      <c r="AA258" s="871"/>
    </row>
    <row r="259" spans="27:27" s="837" customFormat="1" x14ac:dyDescent="0.3">
      <c r="AA259" s="871"/>
    </row>
    <row r="260" spans="27:27" s="837" customFormat="1" x14ac:dyDescent="0.3">
      <c r="AA260" s="871"/>
    </row>
    <row r="261" spans="27:27" s="837" customFormat="1" x14ac:dyDescent="0.3">
      <c r="AA261" s="871"/>
    </row>
    <row r="262" spans="27:27" s="837" customFormat="1" x14ac:dyDescent="0.3">
      <c r="AA262" s="871"/>
    </row>
    <row r="263" spans="27:27" s="837" customFormat="1" x14ac:dyDescent="0.3">
      <c r="AA263" s="871"/>
    </row>
    <row r="264" spans="27:27" s="837" customFormat="1" x14ac:dyDescent="0.3">
      <c r="AA264" s="871"/>
    </row>
    <row r="265" spans="27:27" s="837" customFormat="1" x14ac:dyDescent="0.3">
      <c r="AA265" s="871"/>
    </row>
    <row r="266" spans="27:27" s="837" customFormat="1" x14ac:dyDescent="0.3">
      <c r="AA266" s="871"/>
    </row>
    <row r="267" spans="27:27" s="837" customFormat="1" x14ac:dyDescent="0.3">
      <c r="AA267" s="871"/>
    </row>
    <row r="268" spans="27:27" s="837" customFormat="1" x14ac:dyDescent="0.3">
      <c r="AA268" s="871"/>
    </row>
    <row r="269" spans="27:27" s="837" customFormat="1" x14ac:dyDescent="0.3">
      <c r="AA269" s="871"/>
    </row>
    <row r="270" spans="27:27" s="837" customFormat="1" x14ac:dyDescent="0.3">
      <c r="AA270" s="871"/>
    </row>
    <row r="271" spans="27:27" s="837" customFormat="1" x14ac:dyDescent="0.3">
      <c r="AA271" s="871"/>
    </row>
    <row r="272" spans="27:27" s="837" customFormat="1" x14ac:dyDescent="0.3">
      <c r="AA272" s="871"/>
    </row>
    <row r="273" spans="27:27" s="837" customFormat="1" x14ac:dyDescent="0.3">
      <c r="AA273" s="871"/>
    </row>
    <row r="274" spans="27:27" s="837" customFormat="1" x14ac:dyDescent="0.3">
      <c r="AA274" s="871"/>
    </row>
    <row r="275" spans="27:27" s="837" customFormat="1" x14ac:dyDescent="0.3">
      <c r="AA275" s="871"/>
    </row>
    <row r="276" spans="27:27" s="837" customFormat="1" x14ac:dyDescent="0.3">
      <c r="AA276" s="871"/>
    </row>
    <row r="277" spans="27:27" s="837" customFormat="1" x14ac:dyDescent="0.3">
      <c r="AA277" s="871"/>
    </row>
    <row r="278" spans="27:27" s="837" customFormat="1" x14ac:dyDescent="0.3">
      <c r="AA278" s="871"/>
    </row>
    <row r="279" spans="27:27" s="837" customFormat="1" x14ac:dyDescent="0.3">
      <c r="AA279" s="871"/>
    </row>
    <row r="280" spans="27:27" s="837" customFormat="1" x14ac:dyDescent="0.3">
      <c r="AA280" s="871"/>
    </row>
    <row r="281" spans="27:27" s="837" customFormat="1" x14ac:dyDescent="0.3">
      <c r="AA281" s="871"/>
    </row>
    <row r="282" spans="27:27" s="837" customFormat="1" x14ac:dyDescent="0.3">
      <c r="AA282" s="871"/>
    </row>
    <row r="283" spans="27:27" s="837" customFormat="1" x14ac:dyDescent="0.3">
      <c r="AA283" s="871"/>
    </row>
    <row r="284" spans="27:27" s="837" customFormat="1" x14ac:dyDescent="0.3">
      <c r="AA284" s="871"/>
    </row>
    <row r="285" spans="27:27" s="837" customFormat="1" x14ac:dyDescent="0.3">
      <c r="AA285" s="871"/>
    </row>
    <row r="286" spans="27:27" s="837" customFormat="1" x14ac:dyDescent="0.3">
      <c r="AA286" s="871"/>
    </row>
    <row r="287" spans="27:27" s="837" customFormat="1" x14ac:dyDescent="0.3">
      <c r="AA287" s="871"/>
    </row>
    <row r="288" spans="27:27" s="837" customFormat="1" x14ac:dyDescent="0.3">
      <c r="AA288" s="871"/>
    </row>
    <row r="289" spans="27:27" s="837" customFormat="1" x14ac:dyDescent="0.3">
      <c r="AA289" s="871"/>
    </row>
    <row r="290" spans="27:27" s="837" customFormat="1" x14ac:dyDescent="0.3">
      <c r="AA290" s="871"/>
    </row>
    <row r="291" spans="27:27" s="837" customFormat="1" x14ac:dyDescent="0.3">
      <c r="AA291" s="871"/>
    </row>
    <row r="292" spans="27:27" s="837" customFormat="1" x14ac:dyDescent="0.3">
      <c r="AA292" s="871"/>
    </row>
    <row r="293" spans="27:27" s="837" customFormat="1" x14ac:dyDescent="0.3">
      <c r="AA293" s="871"/>
    </row>
    <row r="294" spans="27:27" s="837" customFormat="1" x14ac:dyDescent="0.3">
      <c r="AA294" s="871"/>
    </row>
    <row r="295" spans="27:27" s="837" customFormat="1" x14ac:dyDescent="0.3">
      <c r="AA295" s="871"/>
    </row>
    <row r="296" spans="27:27" s="837" customFormat="1" x14ac:dyDescent="0.3">
      <c r="AA296" s="871"/>
    </row>
    <row r="297" spans="27:27" s="837" customFormat="1" x14ac:dyDescent="0.3">
      <c r="AA297" s="871"/>
    </row>
    <row r="298" spans="27:27" s="837" customFormat="1" x14ac:dyDescent="0.3">
      <c r="AA298" s="871"/>
    </row>
    <row r="299" spans="27:27" s="837" customFormat="1" x14ac:dyDescent="0.3">
      <c r="AA299" s="871"/>
    </row>
    <row r="300" spans="27:27" s="837" customFormat="1" x14ac:dyDescent="0.3">
      <c r="AA300" s="871"/>
    </row>
    <row r="301" spans="27:27" s="837" customFormat="1" x14ac:dyDescent="0.3">
      <c r="AA301" s="871"/>
    </row>
    <row r="302" spans="27:27" s="837" customFormat="1" x14ac:dyDescent="0.3">
      <c r="AA302" s="871"/>
    </row>
    <row r="303" spans="27:27" s="837" customFormat="1" x14ac:dyDescent="0.3">
      <c r="AA303" s="871"/>
    </row>
    <row r="304" spans="27:27" s="837" customFormat="1" x14ac:dyDescent="0.3">
      <c r="AA304" s="871"/>
    </row>
    <row r="305" spans="27:27" s="837" customFormat="1" x14ac:dyDescent="0.3">
      <c r="AA305" s="871"/>
    </row>
    <row r="306" spans="27:27" s="837" customFormat="1" x14ac:dyDescent="0.3">
      <c r="AA306" s="871"/>
    </row>
    <row r="307" spans="27:27" s="837" customFormat="1" x14ac:dyDescent="0.3">
      <c r="AA307" s="871"/>
    </row>
    <row r="308" spans="27:27" s="837" customFormat="1" x14ac:dyDescent="0.3">
      <c r="AA308" s="871"/>
    </row>
    <row r="309" spans="27:27" s="837" customFormat="1" x14ac:dyDescent="0.3">
      <c r="AA309" s="871"/>
    </row>
    <row r="310" spans="27:27" s="837" customFormat="1" x14ac:dyDescent="0.3">
      <c r="AA310" s="871"/>
    </row>
    <row r="311" spans="27:27" s="837" customFormat="1" x14ac:dyDescent="0.3">
      <c r="AA311" s="871"/>
    </row>
    <row r="312" spans="27:27" s="837" customFormat="1" x14ac:dyDescent="0.3">
      <c r="AA312" s="871"/>
    </row>
    <row r="313" spans="27:27" s="837" customFormat="1" x14ac:dyDescent="0.3">
      <c r="AA313" s="871"/>
    </row>
    <row r="314" spans="27:27" s="837" customFormat="1" x14ac:dyDescent="0.3">
      <c r="AA314" s="871"/>
    </row>
    <row r="315" spans="27:27" s="837" customFormat="1" x14ac:dyDescent="0.3">
      <c r="AA315" s="871"/>
    </row>
    <row r="316" spans="27:27" s="837" customFormat="1" x14ac:dyDescent="0.3">
      <c r="AA316" s="871"/>
    </row>
    <row r="317" spans="27:27" s="837" customFormat="1" x14ac:dyDescent="0.3">
      <c r="AA317" s="871"/>
    </row>
    <row r="318" spans="27:27" s="837" customFormat="1" x14ac:dyDescent="0.3">
      <c r="AA318" s="871"/>
    </row>
    <row r="319" spans="27:27" s="837" customFormat="1" x14ac:dyDescent="0.3">
      <c r="AA319" s="871"/>
    </row>
    <row r="320" spans="27:27" s="837" customFormat="1" x14ac:dyDescent="0.3">
      <c r="AA320" s="871"/>
    </row>
    <row r="321" spans="27:27" s="837" customFormat="1" x14ac:dyDescent="0.3">
      <c r="AA321" s="871"/>
    </row>
    <row r="322" spans="27:27" s="837" customFormat="1" x14ac:dyDescent="0.3">
      <c r="AA322" s="871"/>
    </row>
    <row r="323" spans="27:27" s="837" customFormat="1" x14ac:dyDescent="0.3">
      <c r="AA323" s="871"/>
    </row>
    <row r="324" spans="27:27" s="837" customFormat="1" x14ac:dyDescent="0.3">
      <c r="AA324" s="871"/>
    </row>
    <row r="325" spans="27:27" s="837" customFormat="1" x14ac:dyDescent="0.3">
      <c r="AA325" s="871"/>
    </row>
    <row r="326" spans="27:27" s="837" customFormat="1" x14ac:dyDescent="0.3">
      <c r="AA326" s="871"/>
    </row>
    <row r="327" spans="27:27" s="837" customFormat="1" x14ac:dyDescent="0.3">
      <c r="AA327" s="871"/>
    </row>
    <row r="328" spans="27:27" s="837" customFormat="1" x14ac:dyDescent="0.3">
      <c r="AA328" s="871"/>
    </row>
    <row r="329" spans="27:27" s="837" customFormat="1" x14ac:dyDescent="0.3">
      <c r="AA329" s="871"/>
    </row>
    <row r="330" spans="27:27" s="837" customFormat="1" x14ac:dyDescent="0.3">
      <c r="AA330" s="871"/>
    </row>
    <row r="331" spans="27:27" s="837" customFormat="1" x14ac:dyDescent="0.3">
      <c r="AA331" s="871"/>
    </row>
    <row r="332" spans="27:27" s="837" customFormat="1" x14ac:dyDescent="0.3">
      <c r="AA332" s="871"/>
    </row>
    <row r="333" spans="27:27" s="837" customFormat="1" x14ac:dyDescent="0.3">
      <c r="AA333" s="871"/>
    </row>
    <row r="334" spans="27:27" s="837" customFormat="1" x14ac:dyDescent="0.3">
      <c r="AA334" s="871"/>
    </row>
    <row r="335" spans="27:27" s="837" customFormat="1" x14ac:dyDescent="0.3">
      <c r="AA335" s="871"/>
    </row>
    <row r="336" spans="27:27" s="837" customFormat="1" x14ac:dyDescent="0.3">
      <c r="AA336" s="871"/>
    </row>
    <row r="337" spans="27:27" s="837" customFormat="1" x14ac:dyDescent="0.3">
      <c r="AA337" s="871"/>
    </row>
    <row r="338" spans="27:27" s="837" customFormat="1" x14ac:dyDescent="0.3">
      <c r="AA338" s="871"/>
    </row>
    <row r="339" spans="27:27" s="837" customFormat="1" x14ac:dyDescent="0.3">
      <c r="AA339" s="871"/>
    </row>
    <row r="340" spans="27:27" s="837" customFormat="1" x14ac:dyDescent="0.3">
      <c r="AA340" s="871"/>
    </row>
    <row r="341" spans="27:27" s="837" customFormat="1" x14ac:dyDescent="0.3">
      <c r="AA341" s="871"/>
    </row>
    <row r="342" spans="27:27" s="837" customFormat="1" x14ac:dyDescent="0.3">
      <c r="AA342" s="871"/>
    </row>
    <row r="343" spans="27:27" s="837" customFormat="1" x14ac:dyDescent="0.3">
      <c r="AA343" s="871"/>
    </row>
    <row r="344" spans="27:27" s="837" customFormat="1" x14ac:dyDescent="0.3">
      <c r="AA344" s="871"/>
    </row>
    <row r="345" spans="27:27" s="837" customFormat="1" x14ac:dyDescent="0.3">
      <c r="AA345" s="871"/>
    </row>
    <row r="346" spans="27:27" s="837" customFormat="1" x14ac:dyDescent="0.3">
      <c r="AA346" s="871"/>
    </row>
    <row r="347" spans="27:27" s="837" customFormat="1" x14ac:dyDescent="0.3">
      <c r="AA347" s="871"/>
    </row>
    <row r="348" spans="27:27" s="837" customFormat="1" x14ac:dyDescent="0.3">
      <c r="AA348" s="871"/>
    </row>
    <row r="349" spans="27:27" s="837" customFormat="1" x14ac:dyDescent="0.3">
      <c r="AA349" s="871"/>
    </row>
    <row r="350" spans="27:27" s="837" customFormat="1" x14ac:dyDescent="0.3">
      <c r="AA350" s="871"/>
    </row>
    <row r="351" spans="27:27" s="837" customFormat="1" x14ac:dyDescent="0.3">
      <c r="AA351" s="871"/>
    </row>
    <row r="352" spans="27:27" s="837" customFormat="1" x14ac:dyDescent="0.3">
      <c r="AA352" s="871"/>
    </row>
    <row r="353" spans="27:27" s="837" customFormat="1" x14ac:dyDescent="0.3">
      <c r="AA353" s="871"/>
    </row>
    <row r="354" spans="27:27" s="837" customFormat="1" x14ac:dyDescent="0.3">
      <c r="AA354" s="871"/>
    </row>
    <row r="355" spans="27:27" s="837" customFormat="1" x14ac:dyDescent="0.3">
      <c r="AA355" s="871"/>
    </row>
    <row r="356" spans="27:27" s="837" customFormat="1" x14ac:dyDescent="0.3">
      <c r="AA356" s="871"/>
    </row>
    <row r="357" spans="27:27" s="837" customFormat="1" x14ac:dyDescent="0.3">
      <c r="AA357" s="871"/>
    </row>
    <row r="358" spans="27:27" s="837" customFormat="1" x14ac:dyDescent="0.3">
      <c r="AA358" s="871"/>
    </row>
    <row r="359" spans="27:27" s="837" customFormat="1" x14ac:dyDescent="0.3">
      <c r="AA359" s="871"/>
    </row>
    <row r="360" spans="27:27" s="837" customFormat="1" x14ac:dyDescent="0.3">
      <c r="AA360" s="871"/>
    </row>
    <row r="361" spans="27:27" s="837" customFormat="1" x14ac:dyDescent="0.3">
      <c r="AA361" s="871"/>
    </row>
    <row r="362" spans="27:27" s="837" customFormat="1" x14ac:dyDescent="0.3">
      <c r="AA362" s="871"/>
    </row>
    <row r="363" spans="27:27" s="837" customFormat="1" x14ac:dyDescent="0.3">
      <c r="AA363" s="871"/>
    </row>
    <row r="364" spans="27:27" s="837" customFormat="1" x14ac:dyDescent="0.3">
      <c r="AA364" s="871"/>
    </row>
    <row r="365" spans="27:27" s="837" customFormat="1" x14ac:dyDescent="0.3">
      <c r="AA365" s="871"/>
    </row>
    <row r="366" spans="27:27" s="837" customFormat="1" x14ac:dyDescent="0.3">
      <c r="AA366" s="871"/>
    </row>
    <row r="367" spans="27:27" s="837" customFormat="1" x14ac:dyDescent="0.3">
      <c r="AA367" s="871"/>
    </row>
    <row r="368" spans="27:27" s="837" customFormat="1" x14ac:dyDescent="0.3">
      <c r="AA368" s="871"/>
    </row>
    <row r="369" spans="27:27" s="837" customFormat="1" x14ac:dyDescent="0.3">
      <c r="AA369" s="871"/>
    </row>
    <row r="370" spans="27:27" s="837" customFormat="1" x14ac:dyDescent="0.3">
      <c r="AA370" s="871"/>
    </row>
    <row r="371" spans="27:27" s="837" customFormat="1" x14ac:dyDescent="0.3">
      <c r="AA371" s="871"/>
    </row>
    <row r="372" spans="27:27" s="837" customFormat="1" x14ac:dyDescent="0.3">
      <c r="AA372" s="871"/>
    </row>
    <row r="373" spans="27:27" s="837" customFormat="1" x14ac:dyDescent="0.3">
      <c r="AA373" s="871"/>
    </row>
    <row r="374" spans="27:27" s="837" customFormat="1" x14ac:dyDescent="0.3">
      <c r="AA374" s="871"/>
    </row>
    <row r="375" spans="27:27" s="837" customFormat="1" x14ac:dyDescent="0.3">
      <c r="AA375" s="871"/>
    </row>
    <row r="376" spans="27:27" s="837" customFormat="1" x14ac:dyDescent="0.3">
      <c r="AA376" s="871"/>
    </row>
    <row r="377" spans="27:27" s="837" customFormat="1" x14ac:dyDescent="0.3">
      <c r="AA377" s="871"/>
    </row>
    <row r="378" spans="27:27" s="837" customFormat="1" x14ac:dyDescent="0.3">
      <c r="AA378" s="871"/>
    </row>
    <row r="379" spans="27:27" s="837" customFormat="1" x14ac:dyDescent="0.3">
      <c r="AA379" s="871"/>
    </row>
    <row r="380" spans="27:27" s="837" customFormat="1" x14ac:dyDescent="0.3">
      <c r="AA380" s="871"/>
    </row>
    <row r="381" spans="27:27" s="837" customFormat="1" x14ac:dyDescent="0.3">
      <c r="AA381" s="871"/>
    </row>
    <row r="382" spans="27:27" s="837" customFormat="1" x14ac:dyDescent="0.3">
      <c r="AA382" s="871"/>
    </row>
    <row r="383" spans="27:27" s="837" customFormat="1" x14ac:dyDescent="0.3">
      <c r="AA383" s="871"/>
    </row>
    <row r="384" spans="27:27" s="837" customFormat="1" x14ac:dyDescent="0.3">
      <c r="AA384" s="871"/>
    </row>
    <row r="385" spans="27:27" s="837" customFormat="1" x14ac:dyDescent="0.3">
      <c r="AA385" s="871"/>
    </row>
    <row r="386" spans="27:27" s="837" customFormat="1" x14ac:dyDescent="0.3">
      <c r="AA386" s="871"/>
    </row>
    <row r="387" spans="27:27" s="837" customFormat="1" x14ac:dyDescent="0.3">
      <c r="AA387" s="871"/>
    </row>
    <row r="388" spans="27:27" s="837" customFormat="1" x14ac:dyDescent="0.3">
      <c r="AA388" s="871"/>
    </row>
    <row r="389" spans="27:27" s="837" customFormat="1" x14ac:dyDescent="0.3">
      <c r="AA389" s="871"/>
    </row>
    <row r="390" spans="27:27" s="837" customFormat="1" x14ac:dyDescent="0.3">
      <c r="AA390" s="871"/>
    </row>
    <row r="391" spans="27:27" s="837" customFormat="1" x14ac:dyDescent="0.3">
      <c r="AA391" s="871"/>
    </row>
    <row r="392" spans="27:27" s="837" customFormat="1" x14ac:dyDescent="0.3">
      <c r="AA392" s="871"/>
    </row>
    <row r="393" spans="27:27" s="837" customFormat="1" x14ac:dyDescent="0.3">
      <c r="AA393" s="871"/>
    </row>
    <row r="394" spans="27:27" s="837" customFormat="1" x14ac:dyDescent="0.3">
      <c r="AA394" s="871"/>
    </row>
    <row r="395" spans="27:27" s="837" customFormat="1" x14ac:dyDescent="0.3">
      <c r="AA395" s="871"/>
    </row>
    <row r="396" spans="27:27" s="837" customFormat="1" x14ac:dyDescent="0.3">
      <c r="AA396" s="871"/>
    </row>
    <row r="397" spans="27:27" s="837" customFormat="1" x14ac:dyDescent="0.3">
      <c r="AA397" s="871"/>
    </row>
    <row r="398" spans="27:27" s="837" customFormat="1" x14ac:dyDescent="0.3">
      <c r="AA398" s="871"/>
    </row>
    <row r="399" spans="27:27" s="837" customFormat="1" x14ac:dyDescent="0.3">
      <c r="AA399" s="871"/>
    </row>
    <row r="400" spans="27:27" s="837" customFormat="1" x14ac:dyDescent="0.3">
      <c r="AA400" s="871"/>
    </row>
    <row r="401" spans="27:27" s="837" customFormat="1" x14ac:dyDescent="0.3">
      <c r="AA401" s="871"/>
    </row>
    <row r="402" spans="27:27" s="837" customFormat="1" x14ac:dyDescent="0.3">
      <c r="AA402" s="871"/>
    </row>
    <row r="403" spans="27:27" s="837" customFormat="1" x14ac:dyDescent="0.3">
      <c r="AA403" s="871"/>
    </row>
    <row r="404" spans="27:27" s="837" customFormat="1" x14ac:dyDescent="0.3">
      <c r="AA404" s="871"/>
    </row>
    <row r="405" spans="27:27" s="837" customFormat="1" x14ac:dyDescent="0.3">
      <c r="AA405" s="871"/>
    </row>
    <row r="406" spans="27:27" s="837" customFormat="1" x14ac:dyDescent="0.3">
      <c r="AA406" s="871"/>
    </row>
    <row r="407" spans="27:27" s="837" customFormat="1" x14ac:dyDescent="0.3">
      <c r="AA407" s="871"/>
    </row>
    <row r="408" spans="27:27" s="837" customFormat="1" x14ac:dyDescent="0.3">
      <c r="AA408" s="871"/>
    </row>
    <row r="409" spans="27:27" s="837" customFormat="1" x14ac:dyDescent="0.3">
      <c r="AA409" s="871"/>
    </row>
    <row r="410" spans="27:27" s="837" customFormat="1" x14ac:dyDescent="0.3">
      <c r="AA410" s="871"/>
    </row>
    <row r="411" spans="27:27" s="837" customFormat="1" x14ac:dyDescent="0.3">
      <c r="AA411" s="871"/>
    </row>
    <row r="412" spans="27:27" s="837" customFormat="1" x14ac:dyDescent="0.3">
      <c r="AA412" s="871"/>
    </row>
    <row r="413" spans="27:27" s="837" customFormat="1" x14ac:dyDescent="0.3">
      <c r="AA413" s="871"/>
    </row>
    <row r="414" spans="27:27" s="837" customFormat="1" x14ac:dyDescent="0.3">
      <c r="AA414" s="871"/>
    </row>
    <row r="415" spans="27:27" s="837" customFormat="1" x14ac:dyDescent="0.3">
      <c r="AA415" s="871"/>
    </row>
    <row r="416" spans="27:27" s="837" customFormat="1" x14ac:dyDescent="0.3">
      <c r="AA416" s="871"/>
    </row>
    <row r="417" spans="27:27" s="837" customFormat="1" x14ac:dyDescent="0.3">
      <c r="AA417" s="871"/>
    </row>
    <row r="418" spans="27:27" s="837" customFormat="1" x14ac:dyDescent="0.3">
      <c r="AA418" s="871"/>
    </row>
    <row r="419" spans="27:27" s="837" customFormat="1" x14ac:dyDescent="0.3">
      <c r="AA419" s="871"/>
    </row>
    <row r="420" spans="27:27" s="837" customFormat="1" x14ac:dyDescent="0.3">
      <c r="AA420" s="871"/>
    </row>
    <row r="421" spans="27:27" s="837" customFormat="1" x14ac:dyDescent="0.3">
      <c r="AA421" s="871"/>
    </row>
    <row r="422" spans="27:27" s="837" customFormat="1" x14ac:dyDescent="0.3">
      <c r="AA422" s="871"/>
    </row>
    <row r="423" spans="27:27" s="837" customFormat="1" x14ac:dyDescent="0.3">
      <c r="AA423" s="871"/>
    </row>
    <row r="424" spans="27:27" s="837" customFormat="1" x14ac:dyDescent="0.3">
      <c r="AA424" s="871"/>
    </row>
    <row r="425" spans="27:27" s="837" customFormat="1" x14ac:dyDescent="0.3">
      <c r="AA425" s="871"/>
    </row>
    <row r="426" spans="27:27" s="837" customFormat="1" x14ac:dyDescent="0.3">
      <c r="AA426" s="871"/>
    </row>
    <row r="427" spans="27:27" s="837" customFormat="1" x14ac:dyDescent="0.3">
      <c r="AA427" s="871"/>
    </row>
    <row r="428" spans="27:27" s="837" customFormat="1" x14ac:dyDescent="0.3">
      <c r="AA428" s="871"/>
    </row>
    <row r="429" spans="27:27" s="837" customFormat="1" x14ac:dyDescent="0.3">
      <c r="AA429" s="871"/>
    </row>
    <row r="430" spans="27:27" s="837" customFormat="1" x14ac:dyDescent="0.3">
      <c r="AA430" s="871"/>
    </row>
    <row r="431" spans="27:27" s="837" customFormat="1" x14ac:dyDescent="0.3">
      <c r="AA431" s="871"/>
    </row>
    <row r="432" spans="27:27" s="837" customFormat="1" x14ac:dyDescent="0.3">
      <c r="AA432" s="871"/>
    </row>
    <row r="433" spans="27:27" s="837" customFormat="1" x14ac:dyDescent="0.3">
      <c r="AA433" s="871"/>
    </row>
    <row r="434" spans="27:27" s="837" customFormat="1" x14ac:dyDescent="0.3">
      <c r="AA434" s="871"/>
    </row>
    <row r="435" spans="27:27" s="837" customFormat="1" x14ac:dyDescent="0.3">
      <c r="AA435" s="871"/>
    </row>
    <row r="436" spans="27:27" s="837" customFormat="1" x14ac:dyDescent="0.3">
      <c r="AA436" s="871"/>
    </row>
    <row r="437" spans="27:27" s="837" customFormat="1" x14ac:dyDescent="0.3">
      <c r="AA437" s="871"/>
    </row>
    <row r="438" spans="27:27" s="837" customFormat="1" x14ac:dyDescent="0.3">
      <c r="AA438" s="871"/>
    </row>
    <row r="439" spans="27:27" s="837" customFormat="1" x14ac:dyDescent="0.3">
      <c r="AA439" s="871"/>
    </row>
    <row r="440" spans="27:27" s="837" customFormat="1" x14ac:dyDescent="0.3">
      <c r="AA440" s="871"/>
    </row>
    <row r="441" spans="27:27" s="837" customFormat="1" x14ac:dyDescent="0.3">
      <c r="AA441" s="871"/>
    </row>
    <row r="442" spans="27:27" s="837" customFormat="1" x14ac:dyDescent="0.3">
      <c r="AA442" s="871"/>
    </row>
    <row r="443" spans="27:27" s="837" customFormat="1" x14ac:dyDescent="0.3">
      <c r="AA443" s="871"/>
    </row>
    <row r="444" spans="27:27" s="837" customFormat="1" x14ac:dyDescent="0.3">
      <c r="AA444" s="871"/>
    </row>
    <row r="445" spans="27:27" s="837" customFormat="1" x14ac:dyDescent="0.3">
      <c r="AA445" s="871"/>
    </row>
    <row r="446" spans="27:27" s="837" customFormat="1" x14ac:dyDescent="0.3">
      <c r="AA446" s="871"/>
    </row>
    <row r="447" spans="27:27" s="837" customFormat="1" x14ac:dyDescent="0.3">
      <c r="AA447" s="871"/>
    </row>
    <row r="448" spans="27:27" s="837" customFormat="1" x14ac:dyDescent="0.3">
      <c r="AA448" s="871"/>
    </row>
    <row r="449" spans="27:27" s="837" customFormat="1" x14ac:dyDescent="0.3">
      <c r="AA449" s="871"/>
    </row>
    <row r="450" spans="27:27" s="837" customFormat="1" x14ac:dyDescent="0.3">
      <c r="AA450" s="871"/>
    </row>
    <row r="451" spans="27:27" s="837" customFormat="1" x14ac:dyDescent="0.3">
      <c r="AA451" s="871"/>
    </row>
    <row r="452" spans="27:27" s="837" customFormat="1" x14ac:dyDescent="0.3">
      <c r="AA452" s="871"/>
    </row>
    <row r="453" spans="27:27" s="837" customFormat="1" x14ac:dyDescent="0.3">
      <c r="AA453" s="871"/>
    </row>
    <row r="454" spans="27:27" s="837" customFormat="1" x14ac:dyDescent="0.3">
      <c r="AA454" s="871"/>
    </row>
    <row r="455" spans="27:27" s="837" customFormat="1" x14ac:dyDescent="0.3">
      <c r="AA455" s="871"/>
    </row>
    <row r="456" spans="27:27" s="837" customFormat="1" x14ac:dyDescent="0.3">
      <c r="AA456" s="871"/>
    </row>
    <row r="457" spans="27:27" s="837" customFormat="1" x14ac:dyDescent="0.3">
      <c r="AA457" s="871"/>
    </row>
    <row r="458" spans="27:27" s="837" customFormat="1" x14ac:dyDescent="0.3">
      <c r="AA458" s="871"/>
    </row>
    <row r="459" spans="27:27" s="837" customFormat="1" x14ac:dyDescent="0.3">
      <c r="AA459" s="871"/>
    </row>
    <row r="460" spans="27:27" s="837" customFormat="1" x14ac:dyDescent="0.3">
      <c r="AA460" s="871"/>
    </row>
    <row r="461" spans="27:27" s="837" customFormat="1" x14ac:dyDescent="0.3">
      <c r="AA461" s="871"/>
    </row>
    <row r="462" spans="27:27" s="837" customFormat="1" x14ac:dyDescent="0.3">
      <c r="AA462" s="871"/>
    </row>
    <row r="463" spans="27:27" s="837" customFormat="1" x14ac:dyDescent="0.3">
      <c r="AA463" s="871"/>
    </row>
    <row r="464" spans="27:27" s="837" customFormat="1" x14ac:dyDescent="0.3">
      <c r="AA464" s="871"/>
    </row>
    <row r="465" spans="27:27" s="837" customFormat="1" x14ac:dyDescent="0.3">
      <c r="AA465" s="871"/>
    </row>
    <row r="466" spans="27:27" s="837" customFormat="1" x14ac:dyDescent="0.3">
      <c r="AA466" s="871"/>
    </row>
    <row r="467" spans="27:27" s="837" customFormat="1" x14ac:dyDescent="0.3">
      <c r="AA467" s="871"/>
    </row>
    <row r="468" spans="27:27" s="837" customFormat="1" x14ac:dyDescent="0.3">
      <c r="AA468" s="871"/>
    </row>
    <row r="469" spans="27:27" s="837" customFormat="1" x14ac:dyDescent="0.3">
      <c r="AA469" s="871"/>
    </row>
    <row r="470" spans="27:27" s="837" customFormat="1" x14ac:dyDescent="0.3">
      <c r="AA470" s="871"/>
    </row>
    <row r="471" spans="27:27" s="837" customFormat="1" x14ac:dyDescent="0.3">
      <c r="AA471" s="871"/>
    </row>
    <row r="472" spans="27:27" s="837" customFormat="1" x14ac:dyDescent="0.3">
      <c r="AA472" s="871"/>
    </row>
    <row r="473" spans="27:27" s="837" customFormat="1" x14ac:dyDescent="0.3">
      <c r="AA473" s="871"/>
    </row>
    <row r="474" spans="27:27" s="837" customFormat="1" x14ac:dyDescent="0.3">
      <c r="AA474" s="871"/>
    </row>
    <row r="475" spans="27:27" s="837" customFormat="1" x14ac:dyDescent="0.3">
      <c r="AA475" s="871"/>
    </row>
    <row r="476" spans="27:27" s="837" customFormat="1" x14ac:dyDescent="0.3">
      <c r="AA476" s="871"/>
    </row>
    <row r="477" spans="27:27" s="837" customFormat="1" x14ac:dyDescent="0.3">
      <c r="AA477" s="871"/>
    </row>
    <row r="478" spans="27:27" s="837" customFormat="1" x14ac:dyDescent="0.3">
      <c r="AA478" s="871"/>
    </row>
    <row r="479" spans="27:27" s="837" customFormat="1" x14ac:dyDescent="0.3">
      <c r="AA479" s="871"/>
    </row>
    <row r="480" spans="27:27" s="837" customFormat="1" x14ac:dyDescent="0.3">
      <c r="AA480" s="871"/>
    </row>
    <row r="481" spans="27:27" s="837" customFormat="1" x14ac:dyDescent="0.3">
      <c r="AA481" s="871"/>
    </row>
    <row r="482" spans="27:27" s="837" customFormat="1" x14ac:dyDescent="0.3">
      <c r="AA482" s="871"/>
    </row>
    <row r="483" spans="27:27" s="837" customFormat="1" x14ac:dyDescent="0.3">
      <c r="AA483" s="871"/>
    </row>
    <row r="484" spans="27:27" s="837" customFormat="1" x14ac:dyDescent="0.3">
      <c r="AA484" s="871"/>
    </row>
    <row r="485" spans="27:27" s="837" customFormat="1" x14ac:dyDescent="0.3">
      <c r="AA485" s="871"/>
    </row>
    <row r="486" spans="27:27" s="837" customFormat="1" x14ac:dyDescent="0.3">
      <c r="AA486" s="871"/>
    </row>
    <row r="487" spans="27:27" s="837" customFormat="1" x14ac:dyDescent="0.3">
      <c r="AA487" s="871"/>
    </row>
    <row r="488" spans="27:27" s="837" customFormat="1" x14ac:dyDescent="0.3">
      <c r="AA488" s="871"/>
    </row>
    <row r="489" spans="27:27" s="837" customFormat="1" x14ac:dyDescent="0.3">
      <c r="AA489" s="871"/>
    </row>
    <row r="490" spans="27:27" s="837" customFormat="1" x14ac:dyDescent="0.3">
      <c r="AA490" s="871"/>
    </row>
    <row r="491" spans="27:27" s="837" customFormat="1" x14ac:dyDescent="0.3">
      <c r="AA491" s="871"/>
    </row>
    <row r="492" spans="27:27" s="837" customFormat="1" x14ac:dyDescent="0.3">
      <c r="AA492" s="871"/>
    </row>
    <row r="493" spans="27:27" s="837" customFormat="1" x14ac:dyDescent="0.3">
      <c r="AA493" s="871"/>
    </row>
    <row r="494" spans="27:27" s="837" customFormat="1" x14ac:dyDescent="0.3">
      <c r="AA494" s="871"/>
    </row>
    <row r="495" spans="27:27" s="837" customFormat="1" x14ac:dyDescent="0.3">
      <c r="AA495" s="871"/>
    </row>
    <row r="496" spans="27:27" s="837" customFormat="1" x14ac:dyDescent="0.3">
      <c r="AA496" s="871"/>
    </row>
    <row r="497" spans="27:27" s="837" customFormat="1" x14ac:dyDescent="0.3">
      <c r="AA497" s="871"/>
    </row>
    <row r="498" spans="27:27" s="837" customFormat="1" x14ac:dyDescent="0.3">
      <c r="AA498" s="871"/>
    </row>
    <row r="499" spans="27:27" s="837" customFormat="1" x14ac:dyDescent="0.3">
      <c r="AA499" s="871"/>
    </row>
    <row r="500" spans="27:27" s="837" customFormat="1" x14ac:dyDescent="0.3">
      <c r="AA500" s="871"/>
    </row>
    <row r="501" spans="27:27" s="837" customFormat="1" x14ac:dyDescent="0.3">
      <c r="AA501" s="871"/>
    </row>
    <row r="502" spans="27:27" s="837" customFormat="1" x14ac:dyDescent="0.3">
      <c r="AA502" s="871"/>
    </row>
    <row r="503" spans="27:27" s="837" customFormat="1" x14ac:dyDescent="0.3">
      <c r="AA503" s="871"/>
    </row>
    <row r="504" spans="27:27" s="837" customFormat="1" x14ac:dyDescent="0.3">
      <c r="AA504" s="871"/>
    </row>
    <row r="505" spans="27:27" s="837" customFormat="1" x14ac:dyDescent="0.3">
      <c r="AA505" s="871"/>
    </row>
    <row r="506" spans="27:27" s="837" customFormat="1" x14ac:dyDescent="0.3">
      <c r="AA506" s="871"/>
    </row>
    <row r="507" spans="27:27" s="837" customFormat="1" x14ac:dyDescent="0.3">
      <c r="AA507" s="871"/>
    </row>
    <row r="508" spans="27:27" s="837" customFormat="1" x14ac:dyDescent="0.3">
      <c r="AA508" s="871"/>
    </row>
    <row r="509" spans="27:27" s="837" customFormat="1" x14ac:dyDescent="0.3">
      <c r="AA509" s="871"/>
    </row>
    <row r="510" spans="27:27" s="837" customFormat="1" x14ac:dyDescent="0.3">
      <c r="AA510" s="871"/>
    </row>
    <row r="511" spans="27:27" s="837" customFormat="1" x14ac:dyDescent="0.3">
      <c r="AA511" s="871"/>
    </row>
    <row r="512" spans="27:27" s="837" customFormat="1" x14ac:dyDescent="0.3">
      <c r="AA512" s="871"/>
    </row>
    <row r="513" spans="27:27" s="837" customFormat="1" x14ac:dyDescent="0.3">
      <c r="AA513" s="871"/>
    </row>
    <row r="514" spans="27:27" s="837" customFormat="1" x14ac:dyDescent="0.3">
      <c r="AA514" s="871"/>
    </row>
    <row r="515" spans="27:27" s="837" customFormat="1" x14ac:dyDescent="0.3">
      <c r="AA515" s="871"/>
    </row>
    <row r="516" spans="27:27" s="837" customFormat="1" x14ac:dyDescent="0.3">
      <c r="AA516" s="871"/>
    </row>
    <row r="517" spans="27:27" s="837" customFormat="1" x14ac:dyDescent="0.3">
      <c r="AA517" s="871"/>
    </row>
    <row r="518" spans="27:27" s="837" customFormat="1" x14ac:dyDescent="0.3">
      <c r="AA518" s="871"/>
    </row>
    <row r="519" spans="27:27" s="837" customFormat="1" x14ac:dyDescent="0.3">
      <c r="AA519" s="871"/>
    </row>
    <row r="520" spans="27:27" s="837" customFormat="1" x14ac:dyDescent="0.3">
      <c r="AA520" s="871"/>
    </row>
    <row r="521" spans="27:27" s="837" customFormat="1" x14ac:dyDescent="0.3">
      <c r="AA521" s="871"/>
    </row>
    <row r="522" spans="27:27" s="837" customFormat="1" x14ac:dyDescent="0.3">
      <c r="AA522" s="871"/>
    </row>
    <row r="523" spans="27:27" s="837" customFormat="1" x14ac:dyDescent="0.3">
      <c r="AA523" s="871"/>
    </row>
    <row r="524" spans="27:27" s="837" customFormat="1" x14ac:dyDescent="0.3">
      <c r="AA524" s="871"/>
    </row>
    <row r="525" spans="27:27" s="837" customFormat="1" x14ac:dyDescent="0.3">
      <c r="AA525" s="871"/>
    </row>
    <row r="526" spans="27:27" s="837" customFormat="1" x14ac:dyDescent="0.3">
      <c r="AA526" s="871"/>
    </row>
    <row r="527" spans="27:27" s="837" customFormat="1" x14ac:dyDescent="0.3">
      <c r="AA527" s="871"/>
    </row>
    <row r="528" spans="27:27" s="837" customFormat="1" x14ac:dyDescent="0.3">
      <c r="AA528" s="871"/>
    </row>
    <row r="529" spans="27:27" s="837" customFormat="1" x14ac:dyDescent="0.3">
      <c r="AA529" s="871"/>
    </row>
    <row r="530" spans="27:27" s="837" customFormat="1" x14ac:dyDescent="0.3">
      <c r="AA530" s="871"/>
    </row>
    <row r="531" spans="27:27" s="837" customFormat="1" x14ac:dyDescent="0.3">
      <c r="AA531" s="871"/>
    </row>
    <row r="532" spans="27:27" s="837" customFormat="1" x14ac:dyDescent="0.3">
      <c r="AA532" s="871"/>
    </row>
    <row r="533" spans="27:27" s="837" customFormat="1" x14ac:dyDescent="0.3">
      <c r="AA533" s="871"/>
    </row>
    <row r="534" spans="27:27" s="837" customFormat="1" x14ac:dyDescent="0.3">
      <c r="AA534" s="871"/>
    </row>
    <row r="535" spans="27:27" s="837" customFormat="1" x14ac:dyDescent="0.3">
      <c r="AA535" s="871"/>
    </row>
    <row r="536" spans="27:27" s="837" customFormat="1" x14ac:dyDescent="0.3">
      <c r="AA536" s="871"/>
    </row>
    <row r="537" spans="27:27" s="837" customFormat="1" x14ac:dyDescent="0.3">
      <c r="AA537" s="871"/>
    </row>
    <row r="538" spans="27:27" s="837" customFormat="1" x14ac:dyDescent="0.3">
      <c r="AA538" s="871"/>
    </row>
    <row r="539" spans="27:27" s="837" customFormat="1" x14ac:dyDescent="0.3">
      <c r="AA539" s="871"/>
    </row>
    <row r="540" spans="27:27" s="837" customFormat="1" x14ac:dyDescent="0.3">
      <c r="AA540" s="871"/>
    </row>
    <row r="541" spans="27:27" s="837" customFormat="1" x14ac:dyDescent="0.3">
      <c r="AA541" s="871"/>
    </row>
    <row r="542" spans="27:27" s="837" customFormat="1" x14ac:dyDescent="0.3">
      <c r="AA542" s="871"/>
    </row>
    <row r="543" spans="27:27" s="837" customFormat="1" x14ac:dyDescent="0.3">
      <c r="AA543" s="871"/>
    </row>
    <row r="544" spans="27:27" s="837" customFormat="1" x14ac:dyDescent="0.3">
      <c r="AA544" s="871"/>
    </row>
    <row r="545" spans="27:27" s="837" customFormat="1" x14ac:dyDescent="0.3">
      <c r="AA545" s="871"/>
    </row>
    <row r="546" spans="27:27" s="837" customFormat="1" x14ac:dyDescent="0.3">
      <c r="AA546" s="871"/>
    </row>
    <row r="547" spans="27:27" s="837" customFormat="1" x14ac:dyDescent="0.3">
      <c r="AA547" s="871"/>
    </row>
    <row r="548" spans="27:27" s="837" customFormat="1" x14ac:dyDescent="0.3">
      <c r="AA548" s="871"/>
    </row>
    <row r="549" spans="27:27" s="837" customFormat="1" x14ac:dyDescent="0.3">
      <c r="AA549" s="871"/>
    </row>
    <row r="550" spans="27:27" s="837" customFormat="1" x14ac:dyDescent="0.3">
      <c r="AA550" s="871"/>
    </row>
    <row r="551" spans="27:27" s="837" customFormat="1" x14ac:dyDescent="0.3">
      <c r="AA551" s="871"/>
    </row>
    <row r="552" spans="27:27" s="837" customFormat="1" x14ac:dyDescent="0.3">
      <c r="AA552" s="871"/>
    </row>
    <row r="553" spans="27:27" s="837" customFormat="1" x14ac:dyDescent="0.3">
      <c r="AA553" s="871"/>
    </row>
    <row r="554" spans="27:27" s="837" customFormat="1" x14ac:dyDescent="0.3">
      <c r="AA554" s="871"/>
    </row>
    <row r="555" spans="27:27" s="837" customFormat="1" x14ac:dyDescent="0.3">
      <c r="AA555" s="871"/>
    </row>
    <row r="556" spans="27:27" s="837" customFormat="1" x14ac:dyDescent="0.3">
      <c r="AA556" s="871"/>
    </row>
    <row r="557" spans="27:27" s="837" customFormat="1" x14ac:dyDescent="0.3">
      <c r="AA557" s="871"/>
    </row>
    <row r="558" spans="27:27" s="837" customFormat="1" x14ac:dyDescent="0.3">
      <c r="AA558" s="871"/>
    </row>
    <row r="559" spans="27:27" s="837" customFormat="1" x14ac:dyDescent="0.3">
      <c r="AA559" s="871"/>
    </row>
    <row r="560" spans="27:27" s="837" customFormat="1" x14ac:dyDescent="0.3">
      <c r="AA560" s="871"/>
    </row>
    <row r="561" spans="27:27" s="837" customFormat="1" x14ac:dyDescent="0.3">
      <c r="AA561" s="871"/>
    </row>
    <row r="562" spans="27:27" s="837" customFormat="1" x14ac:dyDescent="0.3">
      <c r="AA562" s="871"/>
    </row>
    <row r="563" spans="27:27" s="837" customFormat="1" x14ac:dyDescent="0.3">
      <c r="AA563" s="871"/>
    </row>
    <row r="564" spans="27:27" s="837" customFormat="1" x14ac:dyDescent="0.3">
      <c r="AA564" s="871"/>
    </row>
    <row r="565" spans="27:27" s="837" customFormat="1" x14ac:dyDescent="0.3">
      <c r="AA565" s="871"/>
    </row>
    <row r="566" spans="27:27" s="837" customFormat="1" x14ac:dyDescent="0.3">
      <c r="AA566" s="871"/>
    </row>
    <row r="567" spans="27:27" s="837" customFormat="1" x14ac:dyDescent="0.3">
      <c r="AA567" s="871"/>
    </row>
    <row r="568" spans="27:27" s="837" customFormat="1" x14ac:dyDescent="0.3">
      <c r="AA568" s="871"/>
    </row>
    <row r="569" spans="27:27" s="837" customFormat="1" x14ac:dyDescent="0.3">
      <c r="AA569" s="871"/>
    </row>
    <row r="570" spans="27:27" s="837" customFormat="1" x14ac:dyDescent="0.3">
      <c r="AA570" s="871"/>
    </row>
    <row r="571" spans="27:27" s="837" customFormat="1" x14ac:dyDescent="0.3">
      <c r="AA571" s="871"/>
    </row>
    <row r="572" spans="27:27" s="837" customFormat="1" x14ac:dyDescent="0.3">
      <c r="AA572" s="871"/>
    </row>
    <row r="573" spans="27:27" s="837" customFormat="1" x14ac:dyDescent="0.3">
      <c r="AA573" s="871"/>
    </row>
    <row r="574" spans="27:27" s="837" customFormat="1" x14ac:dyDescent="0.3">
      <c r="AA574" s="871"/>
    </row>
    <row r="575" spans="27:27" s="837" customFormat="1" x14ac:dyDescent="0.3">
      <c r="AA575" s="871"/>
    </row>
    <row r="576" spans="27:27" s="837" customFormat="1" x14ac:dyDescent="0.3">
      <c r="AA576" s="871"/>
    </row>
    <row r="577" spans="27:27" s="837" customFormat="1" x14ac:dyDescent="0.3">
      <c r="AA577" s="871"/>
    </row>
    <row r="578" spans="27:27" s="837" customFormat="1" x14ac:dyDescent="0.3">
      <c r="AA578" s="871"/>
    </row>
    <row r="579" spans="27:27" s="837" customFormat="1" x14ac:dyDescent="0.3">
      <c r="AA579" s="871"/>
    </row>
    <row r="580" spans="27:27" s="837" customFormat="1" x14ac:dyDescent="0.3">
      <c r="AA580" s="871"/>
    </row>
    <row r="581" spans="27:27" s="837" customFormat="1" x14ac:dyDescent="0.3">
      <c r="AA581" s="871"/>
    </row>
    <row r="582" spans="27:27" s="837" customFormat="1" x14ac:dyDescent="0.3">
      <c r="AA582" s="871"/>
    </row>
    <row r="583" spans="27:27" s="837" customFormat="1" x14ac:dyDescent="0.3">
      <c r="AA583" s="871"/>
    </row>
    <row r="584" spans="27:27" s="837" customFormat="1" x14ac:dyDescent="0.3">
      <c r="AA584" s="871"/>
    </row>
    <row r="585" spans="27:27" s="837" customFormat="1" x14ac:dyDescent="0.3">
      <c r="AA585" s="871"/>
    </row>
    <row r="586" spans="27:27" s="837" customFormat="1" x14ac:dyDescent="0.3">
      <c r="AA586" s="871"/>
    </row>
    <row r="587" spans="27:27" s="837" customFormat="1" x14ac:dyDescent="0.3">
      <c r="AA587" s="871"/>
    </row>
    <row r="588" spans="27:27" s="837" customFormat="1" x14ac:dyDescent="0.3">
      <c r="AA588" s="871"/>
    </row>
    <row r="589" spans="27:27" s="837" customFormat="1" x14ac:dyDescent="0.3">
      <c r="AA589" s="871"/>
    </row>
    <row r="590" spans="27:27" s="837" customFormat="1" x14ac:dyDescent="0.3">
      <c r="AA590" s="871"/>
    </row>
    <row r="591" spans="27:27" s="837" customFormat="1" x14ac:dyDescent="0.3">
      <c r="AA591" s="871"/>
    </row>
    <row r="592" spans="27:27" s="837" customFormat="1" x14ac:dyDescent="0.3">
      <c r="AA592" s="871"/>
    </row>
    <row r="593" spans="27:27" s="837" customFormat="1" x14ac:dyDescent="0.3">
      <c r="AA593" s="871"/>
    </row>
    <row r="594" spans="27:27" s="837" customFormat="1" x14ac:dyDescent="0.3">
      <c r="AA594" s="871"/>
    </row>
    <row r="595" spans="27:27" s="837" customFormat="1" x14ac:dyDescent="0.3">
      <c r="AA595" s="871"/>
    </row>
    <row r="596" spans="27:27" s="837" customFormat="1" x14ac:dyDescent="0.3">
      <c r="AA596" s="871"/>
    </row>
    <row r="597" spans="27:27" s="837" customFormat="1" x14ac:dyDescent="0.3">
      <c r="AA597" s="871"/>
    </row>
    <row r="598" spans="27:27" s="837" customFormat="1" x14ac:dyDescent="0.3">
      <c r="AA598" s="871"/>
    </row>
    <row r="599" spans="27:27" s="837" customFormat="1" x14ac:dyDescent="0.3">
      <c r="AA599" s="871"/>
    </row>
    <row r="600" spans="27:27" s="837" customFormat="1" x14ac:dyDescent="0.3">
      <c r="AA600" s="871"/>
    </row>
    <row r="601" spans="27:27" s="837" customFormat="1" x14ac:dyDescent="0.3">
      <c r="AA601" s="871"/>
    </row>
    <row r="602" spans="27:27" s="837" customFormat="1" x14ac:dyDescent="0.3">
      <c r="AA602" s="871"/>
    </row>
    <row r="603" spans="27:27" s="837" customFormat="1" x14ac:dyDescent="0.3">
      <c r="AA603" s="871"/>
    </row>
    <row r="604" spans="27:27" s="837" customFormat="1" x14ac:dyDescent="0.3">
      <c r="AA604" s="871"/>
    </row>
    <row r="605" spans="27:27" s="837" customFormat="1" x14ac:dyDescent="0.3">
      <c r="AA605" s="871"/>
    </row>
    <row r="606" spans="27:27" s="837" customFormat="1" x14ac:dyDescent="0.3">
      <c r="AA606" s="871"/>
    </row>
    <row r="607" spans="27:27" s="837" customFormat="1" x14ac:dyDescent="0.3">
      <c r="AA607" s="871"/>
    </row>
    <row r="608" spans="27:27" s="837" customFormat="1" x14ac:dyDescent="0.3">
      <c r="AA608" s="871"/>
    </row>
    <row r="609" spans="27:27" s="837" customFormat="1" x14ac:dyDescent="0.3">
      <c r="AA609" s="871"/>
    </row>
    <row r="610" spans="27:27" s="837" customFormat="1" x14ac:dyDescent="0.3">
      <c r="AA610" s="871"/>
    </row>
    <row r="611" spans="27:27" s="837" customFormat="1" x14ac:dyDescent="0.3">
      <c r="AA611" s="871"/>
    </row>
    <row r="612" spans="27:27" s="837" customFormat="1" x14ac:dyDescent="0.3">
      <c r="AA612" s="871"/>
    </row>
    <row r="613" spans="27:27" s="837" customFormat="1" x14ac:dyDescent="0.3">
      <c r="AA613" s="871"/>
    </row>
    <row r="614" spans="27:27" s="837" customFormat="1" x14ac:dyDescent="0.3">
      <c r="AA614" s="871"/>
    </row>
    <row r="615" spans="27:27" s="837" customFormat="1" x14ac:dyDescent="0.3">
      <c r="AA615" s="871"/>
    </row>
    <row r="616" spans="27:27" s="837" customFormat="1" x14ac:dyDescent="0.3">
      <c r="AA616" s="871"/>
    </row>
    <row r="617" spans="27:27" s="837" customFormat="1" x14ac:dyDescent="0.3">
      <c r="AA617" s="871"/>
    </row>
    <row r="618" spans="27:27" s="837" customFormat="1" x14ac:dyDescent="0.3">
      <c r="AA618" s="871"/>
    </row>
    <row r="619" spans="27:27" s="837" customFormat="1" x14ac:dyDescent="0.3">
      <c r="AA619" s="871"/>
    </row>
    <row r="620" spans="27:27" s="837" customFormat="1" x14ac:dyDescent="0.3">
      <c r="AA620" s="871"/>
    </row>
    <row r="621" spans="27:27" s="837" customFormat="1" x14ac:dyDescent="0.3">
      <c r="AA621" s="871"/>
    </row>
    <row r="622" spans="27:27" s="837" customFormat="1" x14ac:dyDescent="0.3">
      <c r="AA622" s="871"/>
    </row>
    <row r="623" spans="27:27" s="837" customFormat="1" x14ac:dyDescent="0.3">
      <c r="AA623" s="871"/>
    </row>
    <row r="624" spans="27:27" s="837" customFormat="1" x14ac:dyDescent="0.3">
      <c r="AA624" s="871"/>
    </row>
    <row r="625" spans="27:27" s="837" customFormat="1" x14ac:dyDescent="0.3">
      <c r="AA625" s="871"/>
    </row>
    <row r="626" spans="27:27" s="837" customFormat="1" x14ac:dyDescent="0.3">
      <c r="AA626" s="871"/>
    </row>
    <row r="627" spans="27:27" s="837" customFormat="1" x14ac:dyDescent="0.3">
      <c r="AA627" s="871"/>
    </row>
    <row r="628" spans="27:27" s="837" customFormat="1" x14ac:dyDescent="0.3">
      <c r="AA628" s="871"/>
    </row>
    <row r="629" spans="27:27" s="837" customFormat="1" x14ac:dyDescent="0.3">
      <c r="AA629" s="871"/>
    </row>
    <row r="630" spans="27:27" s="837" customFormat="1" x14ac:dyDescent="0.3">
      <c r="AA630" s="871"/>
    </row>
    <row r="631" spans="27:27" s="837" customFormat="1" x14ac:dyDescent="0.3">
      <c r="AA631" s="871"/>
    </row>
    <row r="632" spans="27:27" s="837" customFormat="1" x14ac:dyDescent="0.3">
      <c r="AA632" s="871"/>
    </row>
    <row r="633" spans="27:27" s="837" customFormat="1" x14ac:dyDescent="0.3">
      <c r="AA633" s="871"/>
    </row>
    <row r="634" spans="27:27" s="837" customFormat="1" x14ac:dyDescent="0.3">
      <c r="AA634" s="871"/>
    </row>
    <row r="635" spans="27:27" s="837" customFormat="1" x14ac:dyDescent="0.3">
      <c r="AA635" s="871"/>
    </row>
    <row r="636" spans="27:27" s="837" customFormat="1" x14ac:dyDescent="0.3">
      <c r="AA636" s="871"/>
    </row>
    <row r="637" spans="27:27" s="837" customFormat="1" x14ac:dyDescent="0.3">
      <c r="AA637" s="871"/>
    </row>
    <row r="638" spans="27:27" s="837" customFormat="1" x14ac:dyDescent="0.3">
      <c r="AA638" s="871"/>
    </row>
    <row r="639" spans="27:27" s="837" customFormat="1" x14ac:dyDescent="0.3">
      <c r="AA639" s="871"/>
    </row>
    <row r="640" spans="27:27" s="837" customFormat="1" x14ac:dyDescent="0.3">
      <c r="AA640" s="871"/>
    </row>
    <row r="641" spans="27:27" s="837" customFormat="1" x14ac:dyDescent="0.3">
      <c r="AA641" s="871"/>
    </row>
    <row r="642" spans="27:27" s="837" customFormat="1" x14ac:dyDescent="0.3">
      <c r="AA642" s="871"/>
    </row>
    <row r="643" spans="27:27" s="837" customFormat="1" x14ac:dyDescent="0.3">
      <c r="AA643" s="871"/>
    </row>
    <row r="644" spans="27:27" s="837" customFormat="1" x14ac:dyDescent="0.3">
      <c r="AA644" s="871"/>
    </row>
    <row r="645" spans="27:27" s="837" customFormat="1" x14ac:dyDescent="0.3">
      <c r="AA645" s="871"/>
    </row>
    <row r="646" spans="27:27" s="837" customFormat="1" x14ac:dyDescent="0.3">
      <c r="AA646" s="871"/>
    </row>
    <row r="647" spans="27:27" s="837" customFormat="1" x14ac:dyDescent="0.3">
      <c r="AA647" s="871"/>
    </row>
    <row r="648" spans="27:27" s="837" customFormat="1" x14ac:dyDescent="0.3">
      <c r="AA648" s="871"/>
    </row>
    <row r="649" spans="27:27" s="837" customFormat="1" x14ac:dyDescent="0.3">
      <c r="AA649" s="871"/>
    </row>
    <row r="650" spans="27:27" s="837" customFormat="1" x14ac:dyDescent="0.3">
      <c r="AA650" s="871"/>
    </row>
    <row r="651" spans="27:27" s="837" customFormat="1" x14ac:dyDescent="0.3">
      <c r="AA651" s="871"/>
    </row>
    <row r="652" spans="27:27" s="837" customFormat="1" x14ac:dyDescent="0.3">
      <c r="AA652" s="871"/>
    </row>
    <row r="653" spans="27:27" s="837" customFormat="1" x14ac:dyDescent="0.3">
      <c r="AA653" s="871"/>
    </row>
    <row r="654" spans="27:27" s="837" customFormat="1" x14ac:dyDescent="0.3">
      <c r="AA654" s="871"/>
    </row>
    <row r="655" spans="27:27" s="837" customFormat="1" x14ac:dyDescent="0.3">
      <c r="AA655" s="871"/>
    </row>
    <row r="656" spans="27:27" s="837" customFormat="1" x14ac:dyDescent="0.3">
      <c r="AA656" s="871"/>
    </row>
    <row r="657" spans="27:27" s="837" customFormat="1" x14ac:dyDescent="0.3">
      <c r="AA657" s="871"/>
    </row>
    <row r="658" spans="27:27" s="837" customFormat="1" x14ac:dyDescent="0.3">
      <c r="AA658" s="871"/>
    </row>
    <row r="659" spans="27:27" s="837" customFormat="1" x14ac:dyDescent="0.3">
      <c r="AA659" s="871"/>
    </row>
    <row r="660" spans="27:27" s="837" customFormat="1" x14ac:dyDescent="0.3">
      <c r="AA660" s="871"/>
    </row>
    <row r="661" spans="27:27" s="837" customFormat="1" x14ac:dyDescent="0.3">
      <c r="AA661" s="871"/>
    </row>
    <row r="662" spans="27:27" s="837" customFormat="1" x14ac:dyDescent="0.3">
      <c r="AA662" s="871"/>
    </row>
    <row r="663" spans="27:27" s="837" customFormat="1" x14ac:dyDescent="0.3">
      <c r="AA663" s="871"/>
    </row>
    <row r="664" spans="27:27" s="837" customFormat="1" x14ac:dyDescent="0.3">
      <c r="AA664" s="871"/>
    </row>
    <row r="665" spans="27:27" s="837" customFormat="1" x14ac:dyDescent="0.3">
      <c r="AA665" s="871"/>
    </row>
    <row r="666" spans="27:27" s="837" customFormat="1" x14ac:dyDescent="0.3">
      <c r="AA666" s="871"/>
    </row>
    <row r="667" spans="27:27" s="837" customFormat="1" x14ac:dyDescent="0.3">
      <c r="AA667" s="871"/>
    </row>
    <row r="668" spans="27:27" s="837" customFormat="1" x14ac:dyDescent="0.3">
      <c r="AA668" s="871"/>
    </row>
    <row r="669" spans="27:27" s="837" customFormat="1" x14ac:dyDescent="0.3">
      <c r="AA669" s="871"/>
    </row>
    <row r="670" spans="27:27" s="837" customFormat="1" x14ac:dyDescent="0.3">
      <c r="AA670" s="871"/>
    </row>
    <row r="671" spans="27:27" s="837" customFormat="1" x14ac:dyDescent="0.3">
      <c r="AA671" s="871"/>
    </row>
    <row r="672" spans="27:27" s="837" customFormat="1" x14ac:dyDescent="0.3">
      <c r="AA672" s="871"/>
    </row>
    <row r="673" spans="27:27" s="837" customFormat="1" x14ac:dyDescent="0.3">
      <c r="AA673" s="871"/>
    </row>
    <row r="674" spans="27:27" s="837" customFormat="1" x14ac:dyDescent="0.3">
      <c r="AA674" s="871"/>
    </row>
    <row r="675" spans="27:27" s="837" customFormat="1" x14ac:dyDescent="0.3">
      <c r="AA675" s="871"/>
    </row>
    <row r="676" spans="27:27" s="837" customFormat="1" x14ac:dyDescent="0.3">
      <c r="AA676" s="871"/>
    </row>
    <row r="677" spans="27:27" s="837" customFormat="1" x14ac:dyDescent="0.3">
      <c r="AA677" s="871"/>
    </row>
    <row r="678" spans="27:27" s="837" customFormat="1" x14ac:dyDescent="0.3">
      <c r="AA678" s="871"/>
    </row>
    <row r="679" spans="27:27" s="837" customFormat="1" x14ac:dyDescent="0.3">
      <c r="AA679" s="871"/>
    </row>
    <row r="680" spans="27:27" s="837" customFormat="1" x14ac:dyDescent="0.3">
      <c r="AA680" s="871"/>
    </row>
    <row r="681" spans="27:27" s="837" customFormat="1" x14ac:dyDescent="0.3">
      <c r="AA681" s="871"/>
    </row>
    <row r="682" spans="27:27" s="837" customFormat="1" x14ac:dyDescent="0.3">
      <c r="AA682" s="871"/>
    </row>
    <row r="683" spans="27:27" s="837" customFormat="1" x14ac:dyDescent="0.3">
      <c r="AA683" s="871"/>
    </row>
    <row r="684" spans="27:27" s="837" customFormat="1" x14ac:dyDescent="0.3">
      <c r="AA684" s="871"/>
    </row>
    <row r="685" spans="27:27" s="837" customFormat="1" x14ac:dyDescent="0.3">
      <c r="AA685" s="871"/>
    </row>
    <row r="686" spans="27:27" s="837" customFormat="1" x14ac:dyDescent="0.3">
      <c r="AA686" s="871"/>
    </row>
    <row r="687" spans="27:27" s="837" customFormat="1" x14ac:dyDescent="0.3">
      <c r="AA687" s="871"/>
    </row>
    <row r="688" spans="27:27" s="837" customFormat="1" x14ac:dyDescent="0.3">
      <c r="AA688" s="871"/>
    </row>
    <row r="689" spans="27:27" s="837" customFormat="1" x14ac:dyDescent="0.3">
      <c r="AA689" s="871"/>
    </row>
    <row r="690" spans="27:27" s="837" customFormat="1" x14ac:dyDescent="0.3">
      <c r="AA690" s="871"/>
    </row>
    <row r="691" spans="27:27" s="837" customFormat="1" x14ac:dyDescent="0.3">
      <c r="AA691" s="871"/>
    </row>
    <row r="692" spans="27:27" s="837" customFormat="1" x14ac:dyDescent="0.3">
      <c r="AA692" s="871"/>
    </row>
    <row r="693" spans="27:27" s="837" customFormat="1" x14ac:dyDescent="0.3">
      <c r="AA693" s="871"/>
    </row>
    <row r="694" spans="27:27" s="837" customFormat="1" x14ac:dyDescent="0.3">
      <c r="AA694" s="871"/>
    </row>
    <row r="695" spans="27:27" s="837" customFormat="1" x14ac:dyDescent="0.3">
      <c r="AA695" s="871"/>
    </row>
    <row r="696" spans="27:27" s="837" customFormat="1" x14ac:dyDescent="0.3">
      <c r="AA696" s="871"/>
    </row>
    <row r="697" spans="27:27" s="837" customFormat="1" x14ac:dyDescent="0.3">
      <c r="AA697" s="871"/>
    </row>
    <row r="698" spans="27:27" s="837" customFormat="1" x14ac:dyDescent="0.3">
      <c r="AA698" s="871"/>
    </row>
    <row r="699" spans="27:27" s="837" customFormat="1" x14ac:dyDescent="0.3">
      <c r="AA699" s="871"/>
    </row>
    <row r="700" spans="27:27" s="837" customFormat="1" x14ac:dyDescent="0.3">
      <c r="AA700" s="871"/>
    </row>
    <row r="701" spans="27:27" s="837" customFormat="1" x14ac:dyDescent="0.3">
      <c r="AA701" s="871"/>
    </row>
    <row r="702" spans="27:27" s="837" customFormat="1" x14ac:dyDescent="0.3">
      <c r="AA702" s="871"/>
    </row>
    <row r="703" spans="27:27" s="837" customFormat="1" x14ac:dyDescent="0.3">
      <c r="AA703" s="871"/>
    </row>
    <row r="704" spans="27:27" s="837" customFormat="1" x14ac:dyDescent="0.3">
      <c r="AA704" s="871"/>
    </row>
    <row r="705" spans="27:27" s="837" customFormat="1" x14ac:dyDescent="0.3">
      <c r="AA705" s="871"/>
    </row>
    <row r="706" spans="27:27" s="837" customFormat="1" x14ac:dyDescent="0.3">
      <c r="AA706" s="871"/>
    </row>
    <row r="707" spans="27:27" s="837" customFormat="1" x14ac:dyDescent="0.3">
      <c r="AA707" s="871"/>
    </row>
    <row r="708" spans="27:27" s="837" customFormat="1" x14ac:dyDescent="0.3">
      <c r="AA708" s="871"/>
    </row>
    <row r="709" spans="27:27" s="837" customFormat="1" x14ac:dyDescent="0.3">
      <c r="AA709" s="871"/>
    </row>
    <row r="710" spans="27:27" s="837" customFormat="1" x14ac:dyDescent="0.3">
      <c r="AA710" s="871"/>
    </row>
    <row r="711" spans="27:27" s="837" customFormat="1" x14ac:dyDescent="0.3">
      <c r="AA711" s="871"/>
    </row>
    <row r="712" spans="27:27" s="837" customFormat="1" x14ac:dyDescent="0.3">
      <c r="AA712" s="871"/>
    </row>
    <row r="713" spans="27:27" s="837" customFormat="1" x14ac:dyDescent="0.3">
      <c r="AA713" s="871"/>
    </row>
    <row r="714" spans="27:27" s="837" customFormat="1" x14ac:dyDescent="0.3">
      <c r="AA714" s="871"/>
    </row>
    <row r="715" spans="27:27" s="837" customFormat="1" x14ac:dyDescent="0.3">
      <c r="AA715" s="871"/>
    </row>
    <row r="716" spans="27:27" s="837" customFormat="1" x14ac:dyDescent="0.3">
      <c r="AA716" s="871"/>
    </row>
    <row r="717" spans="27:27" s="837" customFormat="1" x14ac:dyDescent="0.3">
      <c r="AA717" s="871"/>
    </row>
    <row r="718" spans="27:27" s="837" customFormat="1" x14ac:dyDescent="0.3">
      <c r="AA718" s="871"/>
    </row>
    <row r="719" spans="27:27" s="837" customFormat="1" x14ac:dyDescent="0.3">
      <c r="AA719" s="871"/>
    </row>
    <row r="720" spans="27:27" s="837" customFormat="1" x14ac:dyDescent="0.3">
      <c r="AA720" s="871"/>
    </row>
    <row r="721" spans="27:27" s="837" customFormat="1" x14ac:dyDescent="0.3">
      <c r="AA721" s="871"/>
    </row>
    <row r="722" spans="27:27" s="837" customFormat="1" x14ac:dyDescent="0.3">
      <c r="AA722" s="871"/>
    </row>
    <row r="723" spans="27:27" s="837" customFormat="1" x14ac:dyDescent="0.3">
      <c r="AA723" s="871"/>
    </row>
    <row r="724" spans="27:27" s="837" customFormat="1" x14ac:dyDescent="0.3">
      <c r="AA724" s="871"/>
    </row>
    <row r="725" spans="27:27" s="837" customFormat="1" x14ac:dyDescent="0.3">
      <c r="AA725" s="871"/>
    </row>
    <row r="726" spans="27:27" s="837" customFormat="1" x14ac:dyDescent="0.3">
      <c r="AA726" s="871"/>
    </row>
    <row r="727" spans="27:27" s="837" customFormat="1" x14ac:dyDescent="0.3">
      <c r="AA727" s="871"/>
    </row>
    <row r="728" spans="27:27" s="837" customFormat="1" x14ac:dyDescent="0.3">
      <c r="AA728" s="871"/>
    </row>
    <row r="729" spans="27:27" s="837" customFormat="1" x14ac:dyDescent="0.3">
      <c r="AA729" s="871"/>
    </row>
    <row r="730" spans="27:27" s="837" customFormat="1" x14ac:dyDescent="0.3">
      <c r="AA730" s="871"/>
    </row>
    <row r="731" spans="27:27" s="837" customFormat="1" x14ac:dyDescent="0.3">
      <c r="AA731" s="871"/>
    </row>
    <row r="732" spans="27:27" s="837" customFormat="1" x14ac:dyDescent="0.3">
      <c r="AA732" s="871"/>
    </row>
    <row r="733" spans="27:27" s="837" customFormat="1" x14ac:dyDescent="0.3">
      <c r="AA733" s="871"/>
    </row>
    <row r="734" spans="27:27" s="837" customFormat="1" x14ac:dyDescent="0.3">
      <c r="AA734" s="871"/>
    </row>
    <row r="735" spans="27:27" s="837" customFormat="1" x14ac:dyDescent="0.3">
      <c r="AA735" s="871"/>
    </row>
    <row r="736" spans="27:27" s="837" customFormat="1" x14ac:dyDescent="0.3">
      <c r="AA736" s="871"/>
    </row>
    <row r="737" spans="27:27" s="837" customFormat="1" x14ac:dyDescent="0.3">
      <c r="AA737" s="871"/>
    </row>
    <row r="738" spans="27:27" s="837" customFormat="1" x14ac:dyDescent="0.3">
      <c r="AA738" s="871"/>
    </row>
    <row r="739" spans="27:27" s="837" customFormat="1" x14ac:dyDescent="0.3">
      <c r="AA739" s="871"/>
    </row>
    <row r="740" spans="27:27" s="837" customFormat="1" x14ac:dyDescent="0.3">
      <c r="AA740" s="871"/>
    </row>
    <row r="741" spans="27:27" s="837" customFormat="1" x14ac:dyDescent="0.3">
      <c r="AA741" s="871"/>
    </row>
    <row r="742" spans="27:27" s="837" customFormat="1" x14ac:dyDescent="0.3">
      <c r="AA742" s="871"/>
    </row>
    <row r="743" spans="27:27" s="837" customFormat="1" x14ac:dyDescent="0.3">
      <c r="AA743" s="871"/>
    </row>
    <row r="744" spans="27:27" s="837" customFormat="1" x14ac:dyDescent="0.3">
      <c r="AA744" s="871"/>
    </row>
    <row r="745" spans="27:27" s="837" customFormat="1" x14ac:dyDescent="0.3">
      <c r="AA745" s="871"/>
    </row>
    <row r="746" spans="27:27" s="837" customFormat="1" x14ac:dyDescent="0.3">
      <c r="AA746" s="871"/>
    </row>
    <row r="747" spans="27:27" s="837" customFormat="1" x14ac:dyDescent="0.3">
      <c r="AA747" s="871"/>
    </row>
    <row r="748" spans="27:27" s="837" customFormat="1" x14ac:dyDescent="0.3">
      <c r="AA748" s="871"/>
    </row>
    <row r="749" spans="27:27" s="837" customFormat="1" x14ac:dyDescent="0.3">
      <c r="AA749" s="871"/>
    </row>
    <row r="750" spans="27:27" s="837" customFormat="1" x14ac:dyDescent="0.3">
      <c r="AA750" s="871"/>
    </row>
    <row r="751" spans="27:27" s="837" customFormat="1" x14ac:dyDescent="0.3">
      <c r="AA751" s="871"/>
    </row>
    <row r="752" spans="27:27" s="837" customFormat="1" x14ac:dyDescent="0.3">
      <c r="AA752" s="871"/>
    </row>
    <row r="753" spans="27:27" s="837" customFormat="1" x14ac:dyDescent="0.3">
      <c r="AA753" s="871"/>
    </row>
    <row r="754" spans="27:27" s="837" customFormat="1" x14ac:dyDescent="0.3">
      <c r="AA754" s="871"/>
    </row>
    <row r="755" spans="27:27" s="837" customFormat="1" x14ac:dyDescent="0.3">
      <c r="AA755" s="871"/>
    </row>
    <row r="756" spans="27:27" s="837" customFormat="1" x14ac:dyDescent="0.3">
      <c r="AA756" s="871"/>
    </row>
    <row r="757" spans="27:27" s="837" customFormat="1" x14ac:dyDescent="0.3">
      <c r="AA757" s="871"/>
    </row>
    <row r="758" spans="27:27" s="837" customFormat="1" x14ac:dyDescent="0.3">
      <c r="AA758" s="871"/>
    </row>
    <row r="759" spans="27:27" s="837" customFormat="1" x14ac:dyDescent="0.3">
      <c r="AA759" s="871"/>
    </row>
    <row r="760" spans="27:27" s="837" customFormat="1" x14ac:dyDescent="0.3">
      <c r="AA760" s="871"/>
    </row>
    <row r="761" spans="27:27" s="837" customFormat="1" x14ac:dyDescent="0.3">
      <c r="AA761" s="871"/>
    </row>
    <row r="762" spans="27:27" s="837" customFormat="1" x14ac:dyDescent="0.3">
      <c r="AA762" s="871"/>
    </row>
    <row r="763" spans="27:27" s="837" customFormat="1" x14ac:dyDescent="0.3">
      <c r="AA763" s="871"/>
    </row>
    <row r="764" spans="27:27" s="837" customFormat="1" x14ac:dyDescent="0.3">
      <c r="AA764" s="871"/>
    </row>
    <row r="765" spans="27:27" s="837" customFormat="1" x14ac:dyDescent="0.3">
      <c r="AA765" s="871"/>
    </row>
    <row r="766" spans="27:27" s="837" customFormat="1" x14ac:dyDescent="0.3">
      <c r="AA766" s="871"/>
    </row>
    <row r="767" spans="27:27" s="837" customFormat="1" x14ac:dyDescent="0.3">
      <c r="AA767" s="871"/>
    </row>
    <row r="768" spans="27:27" s="837" customFormat="1" x14ac:dyDescent="0.3">
      <c r="AA768" s="871"/>
    </row>
    <row r="769" spans="27:27" s="837" customFormat="1" x14ac:dyDescent="0.3">
      <c r="AA769" s="871"/>
    </row>
    <row r="770" spans="27:27" s="837" customFormat="1" x14ac:dyDescent="0.3">
      <c r="AA770" s="871"/>
    </row>
    <row r="771" spans="27:27" s="837" customFormat="1" x14ac:dyDescent="0.3">
      <c r="AA771" s="871"/>
    </row>
    <row r="772" spans="27:27" s="837" customFormat="1" x14ac:dyDescent="0.3">
      <c r="AA772" s="871"/>
    </row>
    <row r="773" spans="27:27" s="837" customFormat="1" x14ac:dyDescent="0.3">
      <c r="AA773" s="871"/>
    </row>
    <row r="774" spans="27:27" s="837" customFormat="1" x14ac:dyDescent="0.3">
      <c r="AA774" s="871"/>
    </row>
    <row r="775" spans="27:27" s="837" customFormat="1" x14ac:dyDescent="0.3">
      <c r="AA775" s="871"/>
    </row>
    <row r="776" spans="27:27" s="837" customFormat="1" x14ac:dyDescent="0.3">
      <c r="AA776" s="871"/>
    </row>
    <row r="777" spans="27:27" s="837" customFormat="1" x14ac:dyDescent="0.3">
      <c r="AA777" s="871"/>
    </row>
    <row r="778" spans="27:27" s="837" customFormat="1" x14ac:dyDescent="0.3">
      <c r="AA778" s="871"/>
    </row>
    <row r="779" spans="27:27" s="837" customFormat="1" x14ac:dyDescent="0.3">
      <c r="AA779" s="871"/>
    </row>
    <row r="780" spans="27:27" s="837" customFormat="1" x14ac:dyDescent="0.3">
      <c r="AA780" s="871"/>
    </row>
    <row r="781" spans="27:27" s="837" customFormat="1" x14ac:dyDescent="0.3">
      <c r="AA781" s="871"/>
    </row>
    <row r="782" spans="27:27" s="837" customFormat="1" x14ac:dyDescent="0.3">
      <c r="AA782" s="871"/>
    </row>
    <row r="783" spans="27:27" s="837" customFormat="1" x14ac:dyDescent="0.3">
      <c r="AA783" s="871"/>
    </row>
    <row r="784" spans="27:27" s="837" customFormat="1" x14ac:dyDescent="0.3">
      <c r="AA784" s="871"/>
    </row>
    <row r="785" spans="27:27" s="837" customFormat="1" x14ac:dyDescent="0.3">
      <c r="AA785" s="871"/>
    </row>
    <row r="786" spans="27:27" s="837" customFormat="1" x14ac:dyDescent="0.3">
      <c r="AA786" s="871"/>
    </row>
    <row r="787" spans="27:27" s="837" customFormat="1" x14ac:dyDescent="0.3">
      <c r="AA787" s="871"/>
    </row>
    <row r="788" spans="27:27" s="837" customFormat="1" x14ac:dyDescent="0.3">
      <c r="AA788" s="871"/>
    </row>
    <row r="789" spans="27:27" s="837" customFormat="1" x14ac:dyDescent="0.3">
      <c r="AA789" s="871"/>
    </row>
    <row r="790" spans="27:27" s="837" customFormat="1" x14ac:dyDescent="0.3">
      <c r="AA790" s="871"/>
    </row>
    <row r="791" spans="27:27" s="837" customFormat="1" x14ac:dyDescent="0.3">
      <c r="AA791" s="871"/>
    </row>
    <row r="792" spans="27:27" s="837" customFormat="1" x14ac:dyDescent="0.3">
      <c r="AA792" s="871"/>
    </row>
    <row r="793" spans="27:27" s="837" customFormat="1" x14ac:dyDescent="0.3">
      <c r="AA793" s="871"/>
    </row>
    <row r="794" spans="27:27" s="837" customFormat="1" x14ac:dyDescent="0.3">
      <c r="AA794" s="871"/>
    </row>
    <row r="795" spans="27:27" s="837" customFormat="1" x14ac:dyDescent="0.3">
      <c r="AA795" s="871"/>
    </row>
    <row r="796" spans="27:27" s="837" customFormat="1" x14ac:dyDescent="0.3">
      <c r="AA796" s="871"/>
    </row>
    <row r="797" spans="27:27" s="837" customFormat="1" x14ac:dyDescent="0.3">
      <c r="AA797" s="871"/>
    </row>
    <row r="798" spans="27:27" s="837" customFormat="1" x14ac:dyDescent="0.3">
      <c r="AA798" s="871"/>
    </row>
    <row r="799" spans="27:27" s="837" customFormat="1" x14ac:dyDescent="0.3">
      <c r="AA799" s="871"/>
    </row>
    <row r="800" spans="27:27" s="837" customFormat="1" x14ac:dyDescent="0.3">
      <c r="AA800" s="871"/>
    </row>
    <row r="801" spans="27:27" s="837" customFormat="1" x14ac:dyDescent="0.3">
      <c r="AA801" s="871"/>
    </row>
    <row r="802" spans="27:27" s="837" customFormat="1" x14ac:dyDescent="0.3">
      <c r="AA802" s="871"/>
    </row>
    <row r="803" spans="27:27" s="837" customFormat="1" x14ac:dyDescent="0.3">
      <c r="AA803" s="871"/>
    </row>
    <row r="804" spans="27:27" s="837" customFormat="1" x14ac:dyDescent="0.3">
      <c r="AA804" s="871"/>
    </row>
    <row r="805" spans="27:27" s="837" customFormat="1" x14ac:dyDescent="0.3">
      <c r="AA805" s="871"/>
    </row>
    <row r="806" spans="27:27" s="837" customFormat="1" x14ac:dyDescent="0.3">
      <c r="AA806" s="871"/>
    </row>
    <row r="807" spans="27:27" s="837" customFormat="1" x14ac:dyDescent="0.3">
      <c r="AA807" s="871"/>
    </row>
    <row r="808" spans="27:27" s="837" customFormat="1" x14ac:dyDescent="0.3">
      <c r="AA808" s="871"/>
    </row>
    <row r="809" spans="27:27" s="837" customFormat="1" x14ac:dyDescent="0.3">
      <c r="AA809" s="871"/>
    </row>
    <row r="810" spans="27:27" s="837" customFormat="1" x14ac:dyDescent="0.3">
      <c r="AA810" s="871"/>
    </row>
    <row r="811" spans="27:27" s="837" customFormat="1" x14ac:dyDescent="0.3">
      <c r="AA811" s="871"/>
    </row>
    <row r="812" spans="27:27" s="837" customFormat="1" x14ac:dyDescent="0.3">
      <c r="AA812" s="871"/>
    </row>
    <row r="813" spans="27:27" s="837" customFormat="1" x14ac:dyDescent="0.3">
      <c r="AA813" s="871"/>
    </row>
    <row r="814" spans="27:27" s="837" customFormat="1" x14ac:dyDescent="0.3">
      <c r="AA814" s="871"/>
    </row>
    <row r="815" spans="27:27" s="837" customFormat="1" x14ac:dyDescent="0.3">
      <c r="AA815" s="871"/>
    </row>
    <row r="816" spans="27:27" s="837" customFormat="1" x14ac:dyDescent="0.3">
      <c r="AA816" s="871"/>
    </row>
    <row r="817" spans="27:27" s="837" customFormat="1" x14ac:dyDescent="0.3">
      <c r="AA817" s="871"/>
    </row>
    <row r="818" spans="27:27" s="837" customFormat="1" x14ac:dyDescent="0.3">
      <c r="AA818" s="871"/>
    </row>
    <row r="819" spans="27:27" s="837" customFormat="1" x14ac:dyDescent="0.3">
      <c r="AA819" s="871"/>
    </row>
    <row r="820" spans="27:27" s="837" customFormat="1" x14ac:dyDescent="0.3">
      <c r="AA820" s="871"/>
    </row>
    <row r="821" spans="27:27" s="837" customFormat="1" x14ac:dyDescent="0.3">
      <c r="AA821" s="871"/>
    </row>
    <row r="822" spans="27:27" s="837" customFormat="1" x14ac:dyDescent="0.3">
      <c r="AA822" s="871"/>
    </row>
    <row r="823" spans="27:27" s="837" customFormat="1" x14ac:dyDescent="0.3">
      <c r="AA823" s="871"/>
    </row>
    <row r="824" spans="27:27" s="837" customFormat="1" x14ac:dyDescent="0.3">
      <c r="AA824" s="871"/>
    </row>
    <row r="825" spans="27:27" s="837" customFormat="1" x14ac:dyDescent="0.3">
      <c r="AA825" s="871"/>
    </row>
    <row r="826" spans="27:27" s="837" customFormat="1" x14ac:dyDescent="0.3">
      <c r="AA826" s="871"/>
    </row>
    <row r="827" spans="27:27" s="837" customFormat="1" x14ac:dyDescent="0.3">
      <c r="AA827" s="871"/>
    </row>
    <row r="828" spans="27:27" s="837" customFormat="1" x14ac:dyDescent="0.3">
      <c r="AA828" s="871"/>
    </row>
    <row r="829" spans="27:27" s="837" customFormat="1" x14ac:dyDescent="0.3">
      <c r="AA829" s="871"/>
    </row>
    <row r="830" spans="27:27" s="837" customFormat="1" x14ac:dyDescent="0.3">
      <c r="AA830" s="871"/>
    </row>
    <row r="831" spans="27:27" s="837" customFormat="1" x14ac:dyDescent="0.3">
      <c r="AA831" s="871"/>
    </row>
    <row r="832" spans="27:27" s="837" customFormat="1" x14ac:dyDescent="0.3">
      <c r="AA832" s="871"/>
    </row>
    <row r="833" spans="27:27" s="837" customFormat="1" x14ac:dyDescent="0.3">
      <c r="AA833" s="871"/>
    </row>
    <row r="834" spans="27:27" s="837" customFormat="1" x14ac:dyDescent="0.3">
      <c r="AA834" s="871"/>
    </row>
    <row r="835" spans="27:27" s="837" customFormat="1" x14ac:dyDescent="0.3">
      <c r="AA835" s="871"/>
    </row>
    <row r="836" spans="27:27" s="837" customFormat="1" x14ac:dyDescent="0.3">
      <c r="AA836" s="871"/>
    </row>
    <row r="837" spans="27:27" s="837" customFormat="1" x14ac:dyDescent="0.3">
      <c r="AA837" s="871"/>
    </row>
    <row r="838" spans="27:27" s="837" customFormat="1" x14ac:dyDescent="0.3">
      <c r="AA838" s="871"/>
    </row>
    <row r="839" spans="27:27" s="837" customFormat="1" x14ac:dyDescent="0.3">
      <c r="AA839" s="871"/>
    </row>
    <row r="840" spans="27:27" s="837" customFormat="1" x14ac:dyDescent="0.3">
      <c r="AA840" s="871"/>
    </row>
    <row r="841" spans="27:27" s="837" customFormat="1" x14ac:dyDescent="0.3">
      <c r="AA841" s="871"/>
    </row>
    <row r="842" spans="27:27" s="837" customFormat="1" x14ac:dyDescent="0.3">
      <c r="AA842" s="871"/>
    </row>
    <row r="843" spans="27:27" s="837" customFormat="1" x14ac:dyDescent="0.3">
      <c r="AA843" s="871"/>
    </row>
    <row r="844" spans="27:27" s="837" customFormat="1" x14ac:dyDescent="0.3">
      <c r="AA844" s="871"/>
    </row>
    <row r="845" spans="27:27" s="837" customFormat="1" x14ac:dyDescent="0.3">
      <c r="AA845" s="871"/>
    </row>
    <row r="846" spans="27:27" s="837" customFormat="1" x14ac:dyDescent="0.3">
      <c r="AA846" s="871"/>
    </row>
    <row r="847" spans="27:27" s="837" customFormat="1" x14ac:dyDescent="0.3">
      <c r="AA847" s="871"/>
    </row>
    <row r="848" spans="27:27" s="837" customFormat="1" x14ac:dyDescent="0.3">
      <c r="AA848" s="871"/>
    </row>
    <row r="849" spans="27:27" s="837" customFormat="1" x14ac:dyDescent="0.3">
      <c r="AA849" s="871"/>
    </row>
    <row r="850" spans="27:27" s="837" customFormat="1" x14ac:dyDescent="0.3">
      <c r="AA850" s="871"/>
    </row>
    <row r="851" spans="27:27" s="837" customFormat="1" x14ac:dyDescent="0.3">
      <c r="AA851" s="871"/>
    </row>
    <row r="852" spans="27:27" s="837" customFormat="1" x14ac:dyDescent="0.3">
      <c r="AA852" s="871"/>
    </row>
    <row r="853" spans="27:27" s="837" customFormat="1" x14ac:dyDescent="0.3">
      <c r="AA853" s="871"/>
    </row>
    <row r="854" spans="27:27" s="837" customFormat="1" x14ac:dyDescent="0.3">
      <c r="AA854" s="871"/>
    </row>
    <row r="855" spans="27:27" s="837" customFormat="1" x14ac:dyDescent="0.3">
      <c r="AA855" s="871"/>
    </row>
    <row r="856" spans="27:27" s="837" customFormat="1" x14ac:dyDescent="0.3">
      <c r="AA856" s="871"/>
    </row>
    <row r="857" spans="27:27" s="837" customFormat="1" x14ac:dyDescent="0.3">
      <c r="AA857" s="871"/>
    </row>
    <row r="858" spans="27:27" s="837" customFormat="1" x14ac:dyDescent="0.3">
      <c r="AA858" s="871"/>
    </row>
    <row r="859" spans="27:27" s="837" customFormat="1" x14ac:dyDescent="0.3">
      <c r="AA859" s="871"/>
    </row>
    <row r="860" spans="27:27" s="837" customFormat="1" x14ac:dyDescent="0.3">
      <c r="AA860" s="871"/>
    </row>
    <row r="861" spans="27:27" s="837" customFormat="1" x14ac:dyDescent="0.3">
      <c r="AA861" s="871"/>
    </row>
    <row r="862" spans="27:27" s="837" customFormat="1" x14ac:dyDescent="0.3">
      <c r="AA862" s="871"/>
    </row>
    <row r="863" spans="27:27" s="837" customFormat="1" x14ac:dyDescent="0.3">
      <c r="AA863" s="871"/>
    </row>
    <row r="864" spans="27:27" s="837" customFormat="1" x14ac:dyDescent="0.3">
      <c r="AA864" s="871"/>
    </row>
    <row r="865" spans="27:27" s="837" customFormat="1" x14ac:dyDescent="0.3">
      <c r="AA865" s="871"/>
    </row>
    <row r="866" spans="27:27" s="837" customFormat="1" x14ac:dyDescent="0.3">
      <c r="AA866" s="871"/>
    </row>
    <row r="867" spans="27:27" s="837" customFormat="1" x14ac:dyDescent="0.3">
      <c r="AA867" s="871"/>
    </row>
    <row r="868" spans="27:27" s="837" customFormat="1" x14ac:dyDescent="0.3">
      <c r="AA868" s="871"/>
    </row>
    <row r="869" spans="27:27" s="837" customFormat="1" x14ac:dyDescent="0.3">
      <c r="AA869" s="871"/>
    </row>
    <row r="870" spans="27:27" s="837" customFormat="1" x14ac:dyDescent="0.3">
      <c r="AA870" s="871"/>
    </row>
    <row r="871" spans="27:27" s="837" customFormat="1" x14ac:dyDescent="0.3">
      <c r="AA871" s="871"/>
    </row>
    <row r="872" spans="27:27" s="837" customFormat="1" x14ac:dyDescent="0.3">
      <c r="AA872" s="871"/>
    </row>
    <row r="873" spans="27:27" s="837" customFormat="1" x14ac:dyDescent="0.3">
      <c r="AA873" s="871"/>
    </row>
    <row r="874" spans="27:27" s="837" customFormat="1" x14ac:dyDescent="0.3">
      <c r="AA874" s="871"/>
    </row>
    <row r="875" spans="27:27" s="837" customFormat="1" x14ac:dyDescent="0.3">
      <c r="AA875" s="871"/>
    </row>
    <row r="876" spans="27:27" s="837" customFormat="1" x14ac:dyDescent="0.3">
      <c r="AA876" s="871"/>
    </row>
    <row r="877" spans="27:27" s="837" customFormat="1" x14ac:dyDescent="0.3">
      <c r="AA877" s="871"/>
    </row>
    <row r="878" spans="27:27" s="837" customFormat="1" x14ac:dyDescent="0.3">
      <c r="AA878" s="871"/>
    </row>
    <row r="879" spans="27:27" s="837" customFormat="1" x14ac:dyDescent="0.3">
      <c r="AA879" s="871"/>
    </row>
    <row r="880" spans="27:27" s="837" customFormat="1" x14ac:dyDescent="0.3">
      <c r="AA880" s="871"/>
    </row>
    <row r="881" spans="27:27" s="837" customFormat="1" x14ac:dyDescent="0.3">
      <c r="AA881" s="871"/>
    </row>
    <row r="882" spans="27:27" s="837" customFormat="1" x14ac:dyDescent="0.3">
      <c r="AA882" s="871"/>
    </row>
    <row r="883" spans="27:27" s="837" customFormat="1" x14ac:dyDescent="0.3">
      <c r="AA883" s="871"/>
    </row>
    <row r="884" spans="27:27" s="837" customFormat="1" x14ac:dyDescent="0.3">
      <c r="AA884" s="871"/>
    </row>
    <row r="885" spans="27:27" s="837" customFormat="1" x14ac:dyDescent="0.3">
      <c r="AA885" s="871"/>
    </row>
    <row r="886" spans="27:27" s="837" customFormat="1" x14ac:dyDescent="0.3">
      <c r="AA886" s="871"/>
    </row>
    <row r="887" spans="27:27" s="837" customFormat="1" x14ac:dyDescent="0.3">
      <c r="AA887" s="871"/>
    </row>
    <row r="888" spans="27:27" s="837" customFormat="1" x14ac:dyDescent="0.3">
      <c r="AA888" s="871"/>
    </row>
    <row r="889" spans="27:27" s="837" customFormat="1" x14ac:dyDescent="0.3">
      <c r="AA889" s="871"/>
    </row>
    <row r="890" spans="27:27" s="837" customFormat="1" x14ac:dyDescent="0.3">
      <c r="AA890" s="871"/>
    </row>
    <row r="891" spans="27:27" s="837" customFormat="1" x14ac:dyDescent="0.3">
      <c r="AA891" s="871"/>
    </row>
    <row r="892" spans="27:27" s="837" customFormat="1" x14ac:dyDescent="0.3">
      <c r="AA892" s="871"/>
    </row>
    <row r="893" spans="27:27" s="837" customFormat="1" x14ac:dyDescent="0.3">
      <c r="AA893" s="871"/>
    </row>
    <row r="894" spans="27:27" s="837" customFormat="1" x14ac:dyDescent="0.3">
      <c r="AA894" s="871"/>
    </row>
    <row r="895" spans="27:27" s="837" customFormat="1" x14ac:dyDescent="0.3">
      <c r="AA895" s="871"/>
    </row>
    <row r="896" spans="27:27" s="837" customFormat="1" x14ac:dyDescent="0.3">
      <c r="AA896" s="871"/>
    </row>
    <row r="897" spans="27:27" s="837" customFormat="1" x14ac:dyDescent="0.3">
      <c r="AA897" s="871"/>
    </row>
    <row r="898" spans="27:27" s="837" customFormat="1" x14ac:dyDescent="0.3">
      <c r="AA898" s="871"/>
    </row>
    <row r="899" spans="27:27" s="837" customFormat="1" x14ac:dyDescent="0.3">
      <c r="AA899" s="871"/>
    </row>
    <row r="900" spans="27:27" s="837" customFormat="1" x14ac:dyDescent="0.3">
      <c r="AA900" s="871"/>
    </row>
    <row r="901" spans="27:27" s="837" customFormat="1" x14ac:dyDescent="0.3">
      <c r="AA901" s="871"/>
    </row>
    <row r="902" spans="27:27" s="837" customFormat="1" x14ac:dyDescent="0.3">
      <c r="AA902" s="871"/>
    </row>
    <row r="903" spans="27:27" s="837" customFormat="1" x14ac:dyDescent="0.3">
      <c r="AA903" s="871"/>
    </row>
    <row r="904" spans="27:27" s="837" customFormat="1" x14ac:dyDescent="0.3">
      <c r="AA904" s="871"/>
    </row>
    <row r="905" spans="27:27" s="837" customFormat="1" x14ac:dyDescent="0.3">
      <c r="AA905" s="871"/>
    </row>
    <row r="906" spans="27:27" s="837" customFormat="1" x14ac:dyDescent="0.3">
      <c r="AA906" s="871"/>
    </row>
    <row r="907" spans="27:27" s="837" customFormat="1" x14ac:dyDescent="0.3">
      <c r="AA907" s="871"/>
    </row>
    <row r="908" spans="27:27" s="837" customFormat="1" x14ac:dyDescent="0.3">
      <c r="AA908" s="871"/>
    </row>
    <row r="909" spans="27:27" s="837" customFormat="1" x14ac:dyDescent="0.3">
      <c r="AA909" s="871"/>
    </row>
    <row r="910" spans="27:27" s="837" customFormat="1" x14ac:dyDescent="0.3">
      <c r="AA910" s="871"/>
    </row>
    <row r="911" spans="27:27" s="837" customFormat="1" x14ac:dyDescent="0.3">
      <c r="AA911" s="871"/>
    </row>
    <row r="912" spans="27:27" s="837" customFormat="1" x14ac:dyDescent="0.3">
      <c r="AA912" s="871"/>
    </row>
    <row r="913" spans="27:27" s="837" customFormat="1" x14ac:dyDescent="0.3">
      <c r="AA913" s="871"/>
    </row>
    <row r="914" spans="27:27" s="837" customFormat="1" x14ac:dyDescent="0.3">
      <c r="AA914" s="871"/>
    </row>
    <row r="915" spans="27:27" s="837" customFormat="1" x14ac:dyDescent="0.3">
      <c r="AA915" s="871"/>
    </row>
    <row r="916" spans="27:27" s="837" customFormat="1" x14ac:dyDescent="0.3">
      <c r="AA916" s="871"/>
    </row>
    <row r="917" spans="27:27" s="837" customFormat="1" x14ac:dyDescent="0.3">
      <c r="AA917" s="871"/>
    </row>
    <row r="918" spans="27:27" s="837" customFormat="1" x14ac:dyDescent="0.3">
      <c r="AA918" s="871"/>
    </row>
    <row r="919" spans="27:27" s="837" customFormat="1" x14ac:dyDescent="0.3">
      <c r="AA919" s="871"/>
    </row>
    <row r="920" spans="27:27" s="837" customFormat="1" x14ac:dyDescent="0.3">
      <c r="AA920" s="871"/>
    </row>
    <row r="921" spans="27:27" s="837" customFormat="1" x14ac:dyDescent="0.3">
      <c r="AA921" s="871"/>
    </row>
    <row r="922" spans="27:27" s="837" customFormat="1" x14ac:dyDescent="0.3">
      <c r="AA922" s="871"/>
    </row>
    <row r="923" spans="27:27" s="837" customFormat="1" x14ac:dyDescent="0.3">
      <c r="AA923" s="871"/>
    </row>
    <row r="924" spans="27:27" s="837" customFormat="1" x14ac:dyDescent="0.3">
      <c r="AA924" s="871"/>
    </row>
    <row r="925" spans="27:27" s="837" customFormat="1" x14ac:dyDescent="0.3">
      <c r="AA925" s="871"/>
    </row>
    <row r="926" spans="27:27" s="837" customFormat="1" x14ac:dyDescent="0.3">
      <c r="AA926" s="871"/>
    </row>
    <row r="927" spans="27:27" s="837" customFormat="1" x14ac:dyDescent="0.3">
      <c r="AA927" s="871"/>
    </row>
    <row r="928" spans="27:27" s="837" customFormat="1" x14ac:dyDescent="0.3">
      <c r="AA928" s="871"/>
    </row>
    <row r="929" spans="27:27" s="837" customFormat="1" x14ac:dyDescent="0.3">
      <c r="AA929" s="871"/>
    </row>
    <row r="930" spans="27:27" s="837" customFormat="1" x14ac:dyDescent="0.3">
      <c r="AA930" s="871"/>
    </row>
    <row r="931" spans="27:27" s="837" customFormat="1" x14ac:dyDescent="0.3">
      <c r="AA931" s="871"/>
    </row>
    <row r="932" spans="27:27" s="837" customFormat="1" x14ac:dyDescent="0.3">
      <c r="AA932" s="871"/>
    </row>
    <row r="933" spans="27:27" s="837" customFormat="1" x14ac:dyDescent="0.3">
      <c r="AA933" s="871"/>
    </row>
    <row r="934" spans="27:27" s="837" customFormat="1" x14ac:dyDescent="0.3">
      <c r="AA934" s="871"/>
    </row>
    <row r="935" spans="27:27" s="837" customFormat="1" x14ac:dyDescent="0.3">
      <c r="AA935" s="871"/>
    </row>
    <row r="936" spans="27:27" s="837" customFormat="1" x14ac:dyDescent="0.3">
      <c r="AA936" s="871"/>
    </row>
    <row r="937" spans="27:27" s="837" customFormat="1" x14ac:dyDescent="0.3">
      <c r="AA937" s="871"/>
    </row>
    <row r="938" spans="27:27" s="837" customFormat="1" x14ac:dyDescent="0.3">
      <c r="AA938" s="871"/>
    </row>
    <row r="939" spans="27:27" s="837" customFormat="1" x14ac:dyDescent="0.3">
      <c r="AA939" s="871"/>
    </row>
    <row r="940" spans="27:27" s="837" customFormat="1" x14ac:dyDescent="0.3">
      <c r="AA940" s="871"/>
    </row>
    <row r="941" spans="27:27" s="837" customFormat="1" x14ac:dyDescent="0.3">
      <c r="AA941" s="871"/>
    </row>
    <row r="942" spans="27:27" s="837" customFormat="1" x14ac:dyDescent="0.3">
      <c r="AA942" s="871"/>
    </row>
    <row r="943" spans="27:27" s="837" customFormat="1" x14ac:dyDescent="0.3">
      <c r="AA943" s="871"/>
    </row>
    <row r="944" spans="27:27" s="837" customFormat="1" x14ac:dyDescent="0.3">
      <c r="AA944" s="871"/>
    </row>
    <row r="945" spans="27:27" s="837" customFormat="1" x14ac:dyDescent="0.3">
      <c r="AA945" s="871"/>
    </row>
    <row r="946" spans="27:27" s="837" customFormat="1" x14ac:dyDescent="0.3">
      <c r="AA946" s="871"/>
    </row>
    <row r="947" spans="27:27" s="837" customFormat="1" x14ac:dyDescent="0.3">
      <c r="AA947" s="871"/>
    </row>
    <row r="948" spans="27:27" s="837" customFormat="1" x14ac:dyDescent="0.3">
      <c r="AA948" s="871"/>
    </row>
    <row r="949" spans="27:27" s="837" customFormat="1" x14ac:dyDescent="0.3">
      <c r="AA949" s="871"/>
    </row>
    <row r="950" spans="27:27" s="837" customFormat="1" x14ac:dyDescent="0.3">
      <c r="AA950" s="871"/>
    </row>
    <row r="951" spans="27:27" s="837" customFormat="1" x14ac:dyDescent="0.3">
      <c r="AA951" s="871"/>
    </row>
    <row r="952" spans="27:27" s="837" customFormat="1" x14ac:dyDescent="0.3">
      <c r="AA952" s="871"/>
    </row>
    <row r="953" spans="27:27" s="837" customFormat="1" x14ac:dyDescent="0.3">
      <c r="AA953" s="871"/>
    </row>
    <row r="954" spans="27:27" s="837" customFormat="1" x14ac:dyDescent="0.3">
      <c r="AA954" s="871"/>
    </row>
    <row r="955" spans="27:27" s="837" customFormat="1" x14ac:dyDescent="0.3">
      <c r="AA955" s="871"/>
    </row>
    <row r="956" spans="27:27" s="837" customFormat="1" x14ac:dyDescent="0.3">
      <c r="AA956" s="871"/>
    </row>
    <row r="957" spans="27:27" s="837" customFormat="1" x14ac:dyDescent="0.3">
      <c r="AA957" s="871"/>
    </row>
    <row r="958" spans="27:27" s="837" customFormat="1" x14ac:dyDescent="0.3">
      <c r="AA958" s="871"/>
    </row>
    <row r="959" spans="27:27" s="837" customFormat="1" x14ac:dyDescent="0.3">
      <c r="AA959" s="871"/>
    </row>
    <row r="960" spans="27:27" s="837" customFormat="1" x14ac:dyDescent="0.3">
      <c r="AA960" s="871"/>
    </row>
    <row r="961" spans="27:27" s="837" customFormat="1" x14ac:dyDescent="0.3">
      <c r="AA961" s="871"/>
    </row>
    <row r="962" spans="27:27" s="837" customFormat="1" x14ac:dyDescent="0.3">
      <c r="AA962" s="871"/>
    </row>
    <row r="963" spans="27:27" s="837" customFormat="1" x14ac:dyDescent="0.3">
      <c r="AA963" s="871"/>
    </row>
    <row r="964" spans="27:27" s="837" customFormat="1" x14ac:dyDescent="0.3">
      <c r="AA964" s="871"/>
    </row>
    <row r="965" spans="27:27" s="837" customFormat="1" x14ac:dyDescent="0.3">
      <c r="AA965" s="871"/>
    </row>
    <row r="966" spans="27:27" s="837" customFormat="1" x14ac:dyDescent="0.3">
      <c r="AA966" s="871"/>
    </row>
    <row r="967" spans="27:27" s="837" customFormat="1" x14ac:dyDescent="0.3">
      <c r="AA967" s="871"/>
    </row>
    <row r="968" spans="27:27" s="837" customFormat="1" x14ac:dyDescent="0.3">
      <c r="AA968" s="871"/>
    </row>
    <row r="969" spans="27:27" s="837" customFormat="1" x14ac:dyDescent="0.3">
      <c r="AA969" s="871"/>
    </row>
    <row r="970" spans="27:27" s="837" customFormat="1" x14ac:dyDescent="0.3">
      <c r="AA970" s="871"/>
    </row>
    <row r="971" spans="27:27" s="837" customFormat="1" x14ac:dyDescent="0.3">
      <c r="AA971" s="871"/>
    </row>
    <row r="972" spans="27:27" s="837" customFormat="1" x14ac:dyDescent="0.3">
      <c r="AA972" s="871"/>
    </row>
    <row r="973" spans="27:27" s="837" customFormat="1" x14ac:dyDescent="0.3">
      <c r="AA973" s="871"/>
    </row>
    <row r="974" spans="27:27" s="837" customFormat="1" x14ac:dyDescent="0.3">
      <c r="AA974" s="871"/>
    </row>
    <row r="975" spans="27:27" s="837" customFormat="1" x14ac:dyDescent="0.3">
      <c r="AA975" s="871"/>
    </row>
    <row r="976" spans="27:27" s="837" customFormat="1" x14ac:dyDescent="0.3">
      <c r="AA976" s="871"/>
    </row>
    <row r="977" spans="27:27" s="837" customFormat="1" x14ac:dyDescent="0.3">
      <c r="AA977" s="871"/>
    </row>
    <row r="978" spans="27:27" s="837" customFormat="1" x14ac:dyDescent="0.3">
      <c r="AA978" s="871"/>
    </row>
    <row r="979" spans="27:27" s="837" customFormat="1" x14ac:dyDescent="0.3">
      <c r="AA979" s="871"/>
    </row>
    <row r="980" spans="27:27" s="837" customFormat="1" x14ac:dyDescent="0.3">
      <c r="AA980" s="871"/>
    </row>
    <row r="981" spans="27:27" s="837" customFormat="1" x14ac:dyDescent="0.3">
      <c r="AA981" s="871"/>
    </row>
    <row r="982" spans="27:27" s="837" customFormat="1" x14ac:dyDescent="0.3">
      <c r="AA982" s="871"/>
    </row>
    <row r="983" spans="27:27" s="837" customFormat="1" x14ac:dyDescent="0.3">
      <c r="AA983" s="871"/>
    </row>
    <row r="984" spans="27:27" s="837" customFormat="1" x14ac:dyDescent="0.3">
      <c r="AA984" s="871"/>
    </row>
    <row r="985" spans="27:27" s="837" customFormat="1" x14ac:dyDescent="0.3">
      <c r="AA985" s="871"/>
    </row>
    <row r="986" spans="27:27" s="837" customFormat="1" x14ac:dyDescent="0.3">
      <c r="AA986" s="871"/>
    </row>
    <row r="987" spans="27:27" s="837" customFormat="1" x14ac:dyDescent="0.3">
      <c r="AA987" s="871"/>
    </row>
    <row r="988" spans="27:27" s="837" customFormat="1" x14ac:dyDescent="0.3">
      <c r="AA988" s="871"/>
    </row>
    <row r="989" spans="27:27" s="837" customFormat="1" x14ac:dyDescent="0.3">
      <c r="AA989" s="871"/>
    </row>
    <row r="990" spans="27:27" s="837" customFormat="1" x14ac:dyDescent="0.3">
      <c r="AA990" s="871"/>
    </row>
    <row r="991" spans="27:27" s="837" customFormat="1" x14ac:dyDescent="0.3">
      <c r="AA991" s="871"/>
    </row>
    <row r="992" spans="27:27" s="837" customFormat="1" x14ac:dyDescent="0.3">
      <c r="AA992" s="871"/>
    </row>
    <row r="993" spans="27:27" s="837" customFormat="1" x14ac:dyDescent="0.3">
      <c r="AA993" s="871"/>
    </row>
    <row r="994" spans="27:27" s="837" customFormat="1" x14ac:dyDescent="0.3">
      <c r="AA994" s="871"/>
    </row>
    <row r="995" spans="27:27" s="837" customFormat="1" x14ac:dyDescent="0.3">
      <c r="AA995" s="871"/>
    </row>
    <row r="996" spans="27:27" s="837" customFormat="1" x14ac:dyDescent="0.3">
      <c r="AA996" s="871"/>
    </row>
    <row r="997" spans="27:27" s="837" customFormat="1" x14ac:dyDescent="0.3">
      <c r="AA997" s="871"/>
    </row>
    <row r="998" spans="27:27" s="837" customFormat="1" x14ac:dyDescent="0.3">
      <c r="AA998" s="871"/>
    </row>
    <row r="999" spans="27:27" s="837" customFormat="1" x14ac:dyDescent="0.3">
      <c r="AA999" s="871"/>
    </row>
    <row r="1000" spans="27:27" s="837" customFormat="1" x14ac:dyDescent="0.3">
      <c r="AA1000" s="871"/>
    </row>
    <row r="1001" spans="27:27" s="837" customFormat="1" x14ac:dyDescent="0.3">
      <c r="AA1001" s="871"/>
    </row>
    <row r="1002" spans="27:27" s="837" customFormat="1" x14ac:dyDescent="0.3">
      <c r="AA1002" s="871"/>
    </row>
    <row r="1003" spans="27:27" s="837" customFormat="1" x14ac:dyDescent="0.3">
      <c r="AA1003" s="871"/>
    </row>
    <row r="1004" spans="27:27" s="837" customFormat="1" x14ac:dyDescent="0.3">
      <c r="AA1004" s="871"/>
    </row>
    <row r="1005" spans="27:27" s="837" customFormat="1" x14ac:dyDescent="0.3">
      <c r="AA1005" s="871"/>
    </row>
    <row r="1006" spans="27:27" s="837" customFormat="1" x14ac:dyDescent="0.3">
      <c r="AA1006" s="871"/>
    </row>
    <row r="1007" spans="27:27" s="837" customFormat="1" x14ac:dyDescent="0.3">
      <c r="AA1007" s="871"/>
    </row>
    <row r="1008" spans="27:27" s="837" customFormat="1" x14ac:dyDescent="0.3">
      <c r="AA1008" s="871"/>
    </row>
    <row r="1009" spans="27:27" s="837" customFormat="1" x14ac:dyDescent="0.3">
      <c r="AA1009" s="871"/>
    </row>
    <row r="1010" spans="27:27" s="837" customFormat="1" x14ac:dyDescent="0.3">
      <c r="AA1010" s="871"/>
    </row>
    <row r="1011" spans="27:27" s="837" customFormat="1" x14ac:dyDescent="0.3">
      <c r="AA1011" s="871"/>
    </row>
    <row r="1012" spans="27:27" s="837" customFormat="1" x14ac:dyDescent="0.3">
      <c r="AA1012" s="871"/>
    </row>
    <row r="1013" spans="27:27" s="837" customFormat="1" x14ac:dyDescent="0.3">
      <c r="AA1013" s="871"/>
    </row>
    <row r="1014" spans="27:27" s="837" customFormat="1" x14ac:dyDescent="0.3">
      <c r="AA1014" s="871"/>
    </row>
    <row r="1015" spans="27:27" s="837" customFormat="1" x14ac:dyDescent="0.3">
      <c r="AA1015" s="871"/>
    </row>
    <row r="1016" spans="27:27" s="837" customFormat="1" x14ac:dyDescent="0.3">
      <c r="AA1016" s="871"/>
    </row>
    <row r="1017" spans="27:27" s="837" customFormat="1" x14ac:dyDescent="0.3">
      <c r="AA1017" s="871"/>
    </row>
    <row r="1018" spans="27:27" s="837" customFormat="1" x14ac:dyDescent="0.3">
      <c r="AA1018" s="871"/>
    </row>
    <row r="1019" spans="27:27" s="837" customFormat="1" x14ac:dyDescent="0.3">
      <c r="AA1019" s="871"/>
    </row>
    <row r="1020" spans="27:27" s="837" customFormat="1" x14ac:dyDescent="0.3">
      <c r="AA1020" s="871"/>
    </row>
    <row r="1021" spans="27:27" s="837" customFormat="1" x14ac:dyDescent="0.3">
      <c r="AA1021" s="871"/>
    </row>
    <row r="1022" spans="27:27" s="837" customFormat="1" x14ac:dyDescent="0.3">
      <c r="AA1022" s="871"/>
    </row>
    <row r="1023" spans="27:27" s="837" customFormat="1" x14ac:dyDescent="0.3">
      <c r="AA1023" s="871"/>
    </row>
    <row r="1024" spans="27:27" s="837" customFormat="1" x14ac:dyDescent="0.3">
      <c r="AA1024" s="871"/>
    </row>
    <row r="1025" spans="27:27" s="837" customFormat="1" x14ac:dyDescent="0.3">
      <c r="AA1025" s="871"/>
    </row>
    <row r="1026" spans="27:27" s="837" customFormat="1" x14ac:dyDescent="0.3">
      <c r="AA1026" s="871"/>
    </row>
    <row r="1027" spans="27:27" s="837" customFormat="1" x14ac:dyDescent="0.3">
      <c r="AA1027" s="871"/>
    </row>
    <row r="1028" spans="27:27" s="837" customFormat="1" x14ac:dyDescent="0.3">
      <c r="AA1028" s="871"/>
    </row>
    <row r="1029" spans="27:27" s="837" customFormat="1" x14ac:dyDescent="0.3">
      <c r="AA1029" s="871"/>
    </row>
    <row r="1030" spans="27:27" s="837" customFormat="1" x14ac:dyDescent="0.3">
      <c r="AA1030" s="871"/>
    </row>
    <row r="1031" spans="27:27" s="837" customFormat="1" x14ac:dyDescent="0.3">
      <c r="AA1031" s="871"/>
    </row>
    <row r="1032" spans="27:27" s="837" customFormat="1" x14ac:dyDescent="0.3">
      <c r="AA1032" s="871"/>
    </row>
    <row r="1033" spans="27:27" s="837" customFormat="1" x14ac:dyDescent="0.3">
      <c r="AA1033" s="871"/>
    </row>
    <row r="1034" spans="27:27" s="837" customFormat="1" x14ac:dyDescent="0.3">
      <c r="AA1034" s="871"/>
    </row>
    <row r="1035" spans="27:27" s="837" customFormat="1" x14ac:dyDescent="0.3">
      <c r="AA1035" s="871"/>
    </row>
    <row r="1036" spans="27:27" s="837" customFormat="1" x14ac:dyDescent="0.3">
      <c r="AA1036" s="871"/>
    </row>
    <row r="1037" spans="27:27" s="837" customFormat="1" x14ac:dyDescent="0.3">
      <c r="AA1037" s="871"/>
    </row>
    <row r="1038" spans="27:27" s="837" customFormat="1" x14ac:dyDescent="0.3">
      <c r="AA1038" s="871"/>
    </row>
    <row r="1039" spans="27:27" s="837" customFormat="1" x14ac:dyDescent="0.3">
      <c r="AA1039" s="871"/>
    </row>
    <row r="1040" spans="27:27" s="837" customFormat="1" x14ac:dyDescent="0.3">
      <c r="AA1040" s="871"/>
    </row>
    <row r="1041" spans="27:27" s="837" customFormat="1" x14ac:dyDescent="0.3">
      <c r="AA1041" s="871"/>
    </row>
    <row r="1042" spans="27:27" s="837" customFormat="1" x14ac:dyDescent="0.3">
      <c r="AA1042" s="871"/>
    </row>
    <row r="1043" spans="27:27" s="837" customFormat="1" x14ac:dyDescent="0.3">
      <c r="AA1043" s="871"/>
    </row>
    <row r="1044" spans="27:27" s="837" customFormat="1" x14ac:dyDescent="0.3">
      <c r="AA1044" s="871"/>
    </row>
    <row r="1045" spans="27:27" s="837" customFormat="1" x14ac:dyDescent="0.3">
      <c r="AA1045" s="871"/>
    </row>
    <row r="1046" spans="27:27" s="837" customFormat="1" x14ac:dyDescent="0.3">
      <c r="AA1046" s="871"/>
    </row>
    <row r="1047" spans="27:27" s="837" customFormat="1" x14ac:dyDescent="0.3">
      <c r="AA1047" s="871"/>
    </row>
    <row r="1048" spans="27:27" s="837" customFormat="1" x14ac:dyDescent="0.3">
      <c r="AA1048" s="871"/>
    </row>
    <row r="1049" spans="27:27" s="837" customFormat="1" x14ac:dyDescent="0.3">
      <c r="AA1049" s="871"/>
    </row>
    <row r="1050" spans="27:27" s="837" customFormat="1" x14ac:dyDescent="0.3">
      <c r="AA1050" s="871"/>
    </row>
    <row r="1051" spans="27:27" s="837" customFormat="1" x14ac:dyDescent="0.3">
      <c r="AA1051" s="871"/>
    </row>
    <row r="1052" spans="27:27" s="837" customFormat="1" x14ac:dyDescent="0.3">
      <c r="AA1052" s="871"/>
    </row>
    <row r="1053" spans="27:27" s="837" customFormat="1" x14ac:dyDescent="0.3">
      <c r="AA1053" s="871"/>
    </row>
    <row r="1054" spans="27:27" s="837" customFormat="1" x14ac:dyDescent="0.3">
      <c r="AA1054" s="871"/>
    </row>
    <row r="1055" spans="27:27" s="837" customFormat="1" x14ac:dyDescent="0.3">
      <c r="AA1055" s="871"/>
    </row>
    <row r="1056" spans="27:27" s="837" customFormat="1" x14ac:dyDescent="0.3">
      <c r="AA1056" s="871"/>
    </row>
    <row r="1057" spans="27:27" s="837" customFormat="1" x14ac:dyDescent="0.3">
      <c r="AA1057" s="871"/>
    </row>
    <row r="1058" spans="27:27" s="837" customFormat="1" x14ac:dyDescent="0.3">
      <c r="AA1058" s="871"/>
    </row>
    <row r="1059" spans="27:27" s="837" customFormat="1" x14ac:dyDescent="0.3">
      <c r="AA1059" s="871"/>
    </row>
    <row r="1060" spans="27:27" s="837" customFormat="1" x14ac:dyDescent="0.3">
      <c r="AA1060" s="871"/>
    </row>
    <row r="1061" spans="27:27" s="837" customFormat="1" x14ac:dyDescent="0.3">
      <c r="AA1061" s="871"/>
    </row>
    <row r="1062" spans="27:27" s="837" customFormat="1" x14ac:dyDescent="0.3">
      <c r="AA1062" s="871"/>
    </row>
    <row r="1063" spans="27:27" s="837" customFormat="1" x14ac:dyDescent="0.3">
      <c r="AA1063" s="871"/>
    </row>
    <row r="1064" spans="27:27" s="837" customFormat="1" x14ac:dyDescent="0.3">
      <c r="AA1064" s="871"/>
    </row>
    <row r="1065" spans="27:27" s="837" customFormat="1" x14ac:dyDescent="0.3">
      <c r="AA1065" s="871"/>
    </row>
    <row r="1066" spans="27:27" s="837" customFormat="1" x14ac:dyDescent="0.3">
      <c r="AA1066" s="871"/>
    </row>
    <row r="1067" spans="27:27" s="837" customFormat="1" x14ac:dyDescent="0.3">
      <c r="AA1067" s="871"/>
    </row>
    <row r="1068" spans="27:27" s="837" customFormat="1" x14ac:dyDescent="0.3">
      <c r="AA1068" s="871"/>
    </row>
    <row r="1069" spans="27:27" s="837" customFormat="1" x14ac:dyDescent="0.3">
      <c r="AA1069" s="871"/>
    </row>
    <row r="1070" spans="27:27" s="837" customFormat="1" x14ac:dyDescent="0.3">
      <c r="AA1070" s="871"/>
    </row>
    <row r="1071" spans="27:27" s="837" customFormat="1" x14ac:dyDescent="0.3">
      <c r="AA1071" s="871"/>
    </row>
    <row r="1072" spans="27:27" s="837" customFormat="1" x14ac:dyDescent="0.3">
      <c r="AA1072" s="871"/>
    </row>
    <row r="1073" spans="27:27" s="837" customFormat="1" x14ac:dyDescent="0.3">
      <c r="AA1073" s="871"/>
    </row>
    <row r="1074" spans="27:27" s="837" customFormat="1" x14ac:dyDescent="0.3">
      <c r="AA1074" s="871"/>
    </row>
    <row r="1075" spans="27:27" s="837" customFormat="1" x14ac:dyDescent="0.3">
      <c r="AA1075" s="871"/>
    </row>
    <row r="1076" spans="27:27" s="837" customFormat="1" x14ac:dyDescent="0.3">
      <c r="AA1076" s="871"/>
    </row>
    <row r="1077" spans="27:27" s="837" customFormat="1" x14ac:dyDescent="0.3">
      <c r="AA1077" s="871"/>
    </row>
    <row r="1078" spans="27:27" s="837" customFormat="1" x14ac:dyDescent="0.3">
      <c r="AA1078" s="871"/>
    </row>
    <row r="1079" spans="27:27" s="837" customFormat="1" x14ac:dyDescent="0.3">
      <c r="AA1079" s="871"/>
    </row>
    <row r="1080" spans="27:27" s="837" customFormat="1" x14ac:dyDescent="0.3">
      <c r="AA1080" s="871"/>
    </row>
    <row r="1081" spans="27:27" s="837" customFormat="1" x14ac:dyDescent="0.3">
      <c r="AA1081" s="871"/>
    </row>
    <row r="1082" spans="27:27" s="837" customFormat="1" x14ac:dyDescent="0.3">
      <c r="AA1082" s="871"/>
    </row>
    <row r="1083" spans="27:27" s="837" customFormat="1" x14ac:dyDescent="0.3">
      <c r="AA1083" s="871"/>
    </row>
    <row r="1084" spans="27:27" s="837" customFormat="1" x14ac:dyDescent="0.3">
      <c r="AA1084" s="871"/>
    </row>
    <row r="1085" spans="27:27" s="837" customFormat="1" x14ac:dyDescent="0.3">
      <c r="AA1085" s="871"/>
    </row>
    <row r="1086" spans="27:27" s="837" customFormat="1" x14ac:dyDescent="0.3">
      <c r="AA1086" s="871"/>
    </row>
    <row r="1087" spans="27:27" s="837" customFormat="1" x14ac:dyDescent="0.3">
      <c r="AA1087" s="871"/>
    </row>
    <row r="1088" spans="27:27" s="837" customFormat="1" x14ac:dyDescent="0.3">
      <c r="AA1088" s="871"/>
    </row>
    <row r="1089" spans="27:27" s="837" customFormat="1" x14ac:dyDescent="0.3">
      <c r="AA1089" s="871"/>
    </row>
    <row r="1090" spans="27:27" s="837" customFormat="1" x14ac:dyDescent="0.3">
      <c r="AA1090" s="871"/>
    </row>
    <row r="1091" spans="27:27" s="837" customFormat="1" x14ac:dyDescent="0.3">
      <c r="AA1091" s="871"/>
    </row>
    <row r="1092" spans="27:27" s="837" customFormat="1" x14ac:dyDescent="0.3">
      <c r="AA1092" s="871"/>
    </row>
    <row r="1093" spans="27:27" s="837" customFormat="1" x14ac:dyDescent="0.3">
      <c r="AA1093" s="871"/>
    </row>
    <row r="1094" spans="27:27" s="837" customFormat="1" x14ac:dyDescent="0.3">
      <c r="AA1094" s="871"/>
    </row>
    <row r="1095" spans="27:27" s="837" customFormat="1" x14ac:dyDescent="0.3">
      <c r="AA1095" s="871"/>
    </row>
    <row r="1096" spans="27:27" s="837" customFormat="1" x14ac:dyDescent="0.3">
      <c r="AA1096" s="871"/>
    </row>
    <row r="1097" spans="27:27" s="837" customFormat="1" x14ac:dyDescent="0.3">
      <c r="AA1097" s="871"/>
    </row>
    <row r="1098" spans="27:27" s="837" customFormat="1" x14ac:dyDescent="0.3">
      <c r="AA1098" s="871"/>
    </row>
    <row r="1099" spans="27:27" s="837" customFormat="1" x14ac:dyDescent="0.3">
      <c r="AA1099" s="871"/>
    </row>
    <row r="1100" spans="27:27" s="837" customFormat="1" x14ac:dyDescent="0.3">
      <c r="AA1100" s="871"/>
    </row>
    <row r="1101" spans="27:27" s="837" customFormat="1" x14ac:dyDescent="0.3">
      <c r="AA1101" s="871"/>
    </row>
    <row r="1102" spans="27:27" s="837" customFormat="1" x14ac:dyDescent="0.3">
      <c r="AA1102" s="871"/>
    </row>
    <row r="1103" spans="27:27" s="837" customFormat="1" x14ac:dyDescent="0.3">
      <c r="AA1103" s="871"/>
    </row>
    <row r="1104" spans="27:27" s="837" customFormat="1" x14ac:dyDescent="0.3">
      <c r="AA1104" s="871"/>
    </row>
    <row r="1105" spans="27:27" s="837" customFormat="1" x14ac:dyDescent="0.3">
      <c r="AA1105" s="871"/>
    </row>
    <row r="1106" spans="27:27" s="837" customFormat="1" x14ac:dyDescent="0.3">
      <c r="AA1106" s="871"/>
    </row>
    <row r="1107" spans="27:27" s="837" customFormat="1" x14ac:dyDescent="0.3">
      <c r="AA1107" s="871"/>
    </row>
    <row r="1108" spans="27:27" s="837" customFormat="1" x14ac:dyDescent="0.3">
      <c r="AA1108" s="871"/>
    </row>
    <row r="1109" spans="27:27" s="837" customFormat="1" x14ac:dyDescent="0.3">
      <c r="AA1109" s="871"/>
    </row>
    <row r="1110" spans="27:27" s="837" customFormat="1" x14ac:dyDescent="0.3">
      <c r="AA1110" s="871"/>
    </row>
    <row r="1111" spans="27:27" s="837" customFormat="1" x14ac:dyDescent="0.3">
      <c r="AA1111" s="871"/>
    </row>
    <row r="1112" spans="27:27" s="837" customFormat="1" x14ac:dyDescent="0.3">
      <c r="AA1112" s="871"/>
    </row>
    <row r="1113" spans="27:27" s="837" customFormat="1" x14ac:dyDescent="0.3">
      <c r="AA1113" s="871"/>
    </row>
    <row r="1114" spans="27:27" s="837" customFormat="1" x14ac:dyDescent="0.3">
      <c r="AA1114" s="871"/>
    </row>
    <row r="1115" spans="27:27" s="837" customFormat="1" x14ac:dyDescent="0.3">
      <c r="AA1115" s="871"/>
    </row>
    <row r="1116" spans="27:27" s="837" customFormat="1" x14ac:dyDescent="0.3">
      <c r="AA1116" s="871"/>
    </row>
    <row r="1117" spans="27:27" s="837" customFormat="1" x14ac:dyDescent="0.3">
      <c r="AA1117" s="871"/>
    </row>
    <row r="1118" spans="27:27" s="837" customFormat="1" x14ac:dyDescent="0.3">
      <c r="AA1118" s="871"/>
    </row>
    <row r="1119" spans="27:27" s="837" customFormat="1" x14ac:dyDescent="0.3">
      <c r="AA1119" s="871"/>
    </row>
    <row r="1120" spans="27:27" s="837" customFormat="1" x14ac:dyDescent="0.3">
      <c r="AA1120" s="871"/>
    </row>
    <row r="1121" spans="27:27" s="837" customFormat="1" x14ac:dyDescent="0.3">
      <c r="AA1121" s="871"/>
    </row>
    <row r="1122" spans="27:27" s="837" customFormat="1" x14ac:dyDescent="0.3">
      <c r="AA1122" s="871"/>
    </row>
    <row r="1123" spans="27:27" s="837" customFormat="1" x14ac:dyDescent="0.3">
      <c r="AA1123" s="871"/>
    </row>
    <row r="1124" spans="27:27" s="837" customFormat="1" x14ac:dyDescent="0.3">
      <c r="AA1124" s="871"/>
    </row>
    <row r="1125" spans="27:27" s="837" customFormat="1" x14ac:dyDescent="0.3">
      <c r="AA1125" s="871"/>
    </row>
    <row r="1126" spans="27:27" s="837" customFormat="1" x14ac:dyDescent="0.3">
      <c r="AA1126" s="871"/>
    </row>
    <row r="1127" spans="27:27" s="837" customFormat="1" x14ac:dyDescent="0.3">
      <c r="AA1127" s="871"/>
    </row>
    <row r="1128" spans="27:27" s="837" customFormat="1" x14ac:dyDescent="0.3">
      <c r="AA1128" s="871"/>
    </row>
    <row r="1129" spans="27:27" s="837" customFormat="1" x14ac:dyDescent="0.3">
      <c r="AA1129" s="871"/>
    </row>
    <row r="1130" spans="27:27" s="837" customFormat="1" x14ac:dyDescent="0.3">
      <c r="AA1130" s="871"/>
    </row>
    <row r="1131" spans="27:27" s="837" customFormat="1" x14ac:dyDescent="0.3">
      <c r="AA1131" s="871"/>
    </row>
    <row r="1132" spans="27:27" s="837" customFormat="1" x14ac:dyDescent="0.3">
      <c r="AA1132" s="871"/>
    </row>
    <row r="1133" spans="27:27" s="837" customFormat="1" x14ac:dyDescent="0.3">
      <c r="AA1133" s="871"/>
    </row>
    <row r="1134" spans="27:27" s="837" customFormat="1" x14ac:dyDescent="0.3">
      <c r="AA1134" s="871"/>
    </row>
    <row r="1135" spans="27:27" s="837" customFormat="1" x14ac:dyDescent="0.3">
      <c r="AA1135" s="871"/>
    </row>
    <row r="1136" spans="27:27" s="837" customFormat="1" x14ac:dyDescent="0.3">
      <c r="AA1136" s="871"/>
    </row>
    <row r="1137" spans="27:27" s="837" customFormat="1" x14ac:dyDescent="0.3">
      <c r="AA1137" s="871"/>
    </row>
    <row r="1138" spans="27:27" s="837" customFormat="1" x14ac:dyDescent="0.3">
      <c r="AA1138" s="871"/>
    </row>
    <row r="1139" spans="27:27" s="837" customFormat="1" x14ac:dyDescent="0.3">
      <c r="AA1139" s="871"/>
    </row>
    <row r="1140" spans="27:27" s="837" customFormat="1" x14ac:dyDescent="0.3">
      <c r="AA1140" s="871"/>
    </row>
    <row r="1141" spans="27:27" s="837" customFormat="1" x14ac:dyDescent="0.3">
      <c r="AA1141" s="871"/>
    </row>
    <row r="1142" spans="27:27" s="837" customFormat="1" x14ac:dyDescent="0.3">
      <c r="AA1142" s="871"/>
    </row>
    <row r="1143" spans="27:27" s="837" customFormat="1" x14ac:dyDescent="0.3">
      <c r="AA1143" s="871"/>
    </row>
    <row r="1144" spans="27:27" s="837" customFormat="1" x14ac:dyDescent="0.3">
      <c r="AA1144" s="871"/>
    </row>
    <row r="1145" spans="27:27" s="837" customFormat="1" x14ac:dyDescent="0.3">
      <c r="AA1145" s="871"/>
    </row>
    <row r="1146" spans="27:27" s="837" customFormat="1" x14ac:dyDescent="0.3">
      <c r="AA1146" s="871"/>
    </row>
    <row r="1147" spans="27:27" s="837" customFormat="1" x14ac:dyDescent="0.3">
      <c r="AA1147" s="871"/>
    </row>
    <row r="1148" spans="27:27" s="837" customFormat="1" x14ac:dyDescent="0.3">
      <c r="AA1148" s="871"/>
    </row>
    <row r="1149" spans="27:27" s="837" customFormat="1" x14ac:dyDescent="0.3">
      <c r="AA1149" s="871"/>
    </row>
    <row r="1150" spans="27:27" s="837" customFormat="1" x14ac:dyDescent="0.3">
      <c r="AA1150" s="871"/>
    </row>
    <row r="1151" spans="27:27" s="837" customFormat="1" x14ac:dyDescent="0.3">
      <c r="AA1151" s="871"/>
    </row>
    <row r="1152" spans="27:27" s="837" customFormat="1" x14ac:dyDescent="0.3">
      <c r="AA1152" s="871"/>
    </row>
    <row r="1153" spans="27:27" s="837" customFormat="1" x14ac:dyDescent="0.3">
      <c r="AA1153" s="871"/>
    </row>
    <row r="1154" spans="27:27" s="837" customFormat="1" x14ac:dyDescent="0.3">
      <c r="AA1154" s="871"/>
    </row>
    <row r="1155" spans="27:27" s="837" customFormat="1" x14ac:dyDescent="0.3">
      <c r="AA1155" s="871"/>
    </row>
    <row r="1156" spans="27:27" s="837" customFormat="1" x14ac:dyDescent="0.3">
      <c r="AA1156" s="871"/>
    </row>
    <row r="1157" spans="27:27" s="837" customFormat="1" x14ac:dyDescent="0.3">
      <c r="AA1157" s="871"/>
    </row>
    <row r="1158" spans="27:27" s="837" customFormat="1" x14ac:dyDescent="0.3">
      <c r="AA1158" s="871"/>
    </row>
    <row r="1159" spans="27:27" s="837" customFormat="1" x14ac:dyDescent="0.3">
      <c r="AA1159" s="871"/>
    </row>
    <row r="1160" spans="27:27" s="837" customFormat="1" x14ac:dyDescent="0.3">
      <c r="AA1160" s="871"/>
    </row>
    <row r="1161" spans="27:27" s="837" customFormat="1" x14ac:dyDescent="0.3">
      <c r="AA1161" s="871"/>
    </row>
    <row r="1162" spans="27:27" s="837" customFormat="1" x14ac:dyDescent="0.3">
      <c r="AA1162" s="871"/>
    </row>
    <row r="1163" spans="27:27" s="837" customFormat="1" x14ac:dyDescent="0.3">
      <c r="AA1163" s="871"/>
    </row>
    <row r="1164" spans="27:27" s="837" customFormat="1" x14ac:dyDescent="0.3">
      <c r="AA1164" s="871"/>
    </row>
    <row r="1165" spans="27:27" s="837" customFormat="1" x14ac:dyDescent="0.3">
      <c r="AA1165" s="871"/>
    </row>
    <row r="1166" spans="27:27" s="837" customFormat="1" x14ac:dyDescent="0.3">
      <c r="AA1166" s="871"/>
    </row>
    <row r="1167" spans="27:27" s="837" customFormat="1" x14ac:dyDescent="0.3">
      <c r="AA1167" s="871"/>
    </row>
    <row r="1168" spans="27:27" s="837" customFormat="1" x14ac:dyDescent="0.3">
      <c r="AA1168" s="871"/>
    </row>
    <row r="1169" spans="27:27" s="837" customFormat="1" x14ac:dyDescent="0.3">
      <c r="AA1169" s="871"/>
    </row>
    <row r="1170" spans="27:27" s="837" customFormat="1" x14ac:dyDescent="0.3">
      <c r="AA1170" s="871"/>
    </row>
    <row r="1171" spans="27:27" s="837" customFormat="1" x14ac:dyDescent="0.3">
      <c r="AA1171" s="871"/>
    </row>
    <row r="1172" spans="27:27" s="837" customFormat="1" x14ac:dyDescent="0.3">
      <c r="AA1172" s="871"/>
    </row>
    <row r="1173" spans="27:27" s="837" customFormat="1" x14ac:dyDescent="0.3">
      <c r="AA1173" s="871"/>
    </row>
    <row r="1174" spans="27:27" s="837" customFormat="1" x14ac:dyDescent="0.3">
      <c r="AA1174" s="871"/>
    </row>
    <row r="1175" spans="27:27" s="837" customFormat="1" x14ac:dyDescent="0.3">
      <c r="AA1175" s="871"/>
    </row>
    <row r="1176" spans="27:27" s="837" customFormat="1" x14ac:dyDescent="0.3">
      <c r="AA1176" s="871"/>
    </row>
    <row r="1177" spans="27:27" s="837" customFormat="1" x14ac:dyDescent="0.3">
      <c r="AA1177" s="871"/>
    </row>
    <row r="1178" spans="27:27" s="837" customFormat="1" x14ac:dyDescent="0.3">
      <c r="AA1178" s="871"/>
    </row>
    <row r="1179" spans="27:27" s="837" customFormat="1" x14ac:dyDescent="0.3">
      <c r="AA1179" s="871"/>
    </row>
    <row r="1180" spans="27:27" s="837" customFormat="1" x14ac:dyDescent="0.3">
      <c r="AA1180" s="871"/>
    </row>
    <row r="1181" spans="27:27" s="837" customFormat="1" x14ac:dyDescent="0.3">
      <c r="AA1181" s="871"/>
    </row>
    <row r="1182" spans="27:27" s="837" customFormat="1" x14ac:dyDescent="0.3">
      <c r="AA1182" s="871"/>
    </row>
    <row r="1183" spans="27:27" s="837" customFormat="1" x14ac:dyDescent="0.3">
      <c r="AA1183" s="871"/>
    </row>
    <row r="1184" spans="27:27" s="837" customFormat="1" x14ac:dyDescent="0.3">
      <c r="AA1184" s="871"/>
    </row>
    <row r="1185" spans="27:27" s="837" customFormat="1" x14ac:dyDescent="0.3">
      <c r="AA1185" s="871"/>
    </row>
    <row r="1186" spans="27:27" s="837" customFormat="1" x14ac:dyDescent="0.3">
      <c r="AA1186" s="871"/>
    </row>
    <row r="1187" spans="27:27" s="837" customFormat="1" x14ac:dyDescent="0.3">
      <c r="AA1187" s="871"/>
    </row>
    <row r="1188" spans="27:27" s="837" customFormat="1" x14ac:dyDescent="0.3">
      <c r="AA1188" s="871"/>
    </row>
    <row r="1189" spans="27:27" s="837" customFormat="1" x14ac:dyDescent="0.3">
      <c r="AA1189" s="871"/>
    </row>
    <row r="1190" spans="27:27" s="837" customFormat="1" x14ac:dyDescent="0.3">
      <c r="AA1190" s="871"/>
    </row>
    <row r="1191" spans="27:27" s="837" customFormat="1" x14ac:dyDescent="0.3">
      <c r="AA1191" s="871"/>
    </row>
    <row r="1192" spans="27:27" s="837" customFormat="1" x14ac:dyDescent="0.3">
      <c r="AA1192" s="871"/>
    </row>
    <row r="1193" spans="27:27" s="837" customFormat="1" x14ac:dyDescent="0.3">
      <c r="AA1193" s="871"/>
    </row>
    <row r="1194" spans="27:27" s="837" customFormat="1" x14ac:dyDescent="0.3">
      <c r="AA1194" s="871"/>
    </row>
    <row r="1195" spans="27:27" s="837" customFormat="1" x14ac:dyDescent="0.3">
      <c r="AA1195" s="871"/>
    </row>
    <row r="1196" spans="27:27" s="837" customFormat="1" x14ac:dyDescent="0.3">
      <c r="AA1196" s="871"/>
    </row>
    <row r="1197" spans="27:27" s="837" customFormat="1" x14ac:dyDescent="0.3">
      <c r="AA1197" s="871"/>
    </row>
    <row r="1198" spans="27:27" s="837" customFormat="1" x14ac:dyDescent="0.3">
      <c r="AA1198" s="871"/>
    </row>
    <row r="1199" spans="27:27" s="837" customFormat="1" x14ac:dyDescent="0.3">
      <c r="AA1199" s="871"/>
    </row>
    <row r="1200" spans="27:27" s="837" customFormat="1" x14ac:dyDescent="0.3">
      <c r="AA1200" s="871"/>
    </row>
    <row r="1201" spans="27:27" s="837" customFormat="1" x14ac:dyDescent="0.3">
      <c r="AA1201" s="871"/>
    </row>
    <row r="1202" spans="27:27" s="837" customFormat="1" x14ac:dyDescent="0.3">
      <c r="AA1202" s="871"/>
    </row>
    <row r="1203" spans="27:27" s="837" customFormat="1" x14ac:dyDescent="0.3">
      <c r="AA1203" s="871"/>
    </row>
    <row r="1204" spans="27:27" s="837" customFormat="1" x14ac:dyDescent="0.3">
      <c r="AA1204" s="871"/>
    </row>
    <row r="1205" spans="27:27" s="837" customFormat="1" x14ac:dyDescent="0.3">
      <c r="AA1205" s="871"/>
    </row>
    <row r="1206" spans="27:27" s="837" customFormat="1" x14ac:dyDescent="0.3">
      <c r="AA1206" s="871"/>
    </row>
    <row r="1207" spans="27:27" s="837" customFormat="1" x14ac:dyDescent="0.3">
      <c r="AA1207" s="871"/>
    </row>
    <row r="1208" spans="27:27" s="837" customFormat="1" x14ac:dyDescent="0.3">
      <c r="AA1208" s="871"/>
    </row>
    <row r="1209" spans="27:27" s="837" customFormat="1" x14ac:dyDescent="0.3">
      <c r="AA1209" s="871"/>
    </row>
    <row r="1210" spans="27:27" s="837" customFormat="1" x14ac:dyDescent="0.3">
      <c r="AA1210" s="871"/>
    </row>
    <row r="1211" spans="27:27" s="837" customFormat="1" x14ac:dyDescent="0.3">
      <c r="AA1211" s="871"/>
    </row>
    <row r="1212" spans="27:27" s="837" customFormat="1" x14ac:dyDescent="0.3">
      <c r="AA1212" s="871"/>
    </row>
    <row r="1213" spans="27:27" s="837" customFormat="1" x14ac:dyDescent="0.3">
      <c r="AA1213" s="871"/>
    </row>
    <row r="1214" spans="27:27" s="837" customFormat="1" x14ac:dyDescent="0.3">
      <c r="AA1214" s="871"/>
    </row>
    <row r="1215" spans="27:27" s="837" customFormat="1" x14ac:dyDescent="0.3">
      <c r="AA1215" s="871"/>
    </row>
    <row r="1216" spans="27:27" s="837" customFormat="1" x14ac:dyDescent="0.3">
      <c r="AA1216" s="871"/>
    </row>
    <row r="1217" spans="27:27" s="837" customFormat="1" x14ac:dyDescent="0.3">
      <c r="AA1217" s="871"/>
    </row>
    <row r="1218" spans="27:27" s="837" customFormat="1" x14ac:dyDescent="0.3">
      <c r="AA1218" s="871"/>
    </row>
    <row r="1219" spans="27:27" s="837" customFormat="1" x14ac:dyDescent="0.3">
      <c r="AA1219" s="871"/>
    </row>
    <row r="1220" spans="27:27" s="837" customFormat="1" x14ac:dyDescent="0.3">
      <c r="AA1220" s="871"/>
    </row>
    <row r="1221" spans="27:27" s="837" customFormat="1" x14ac:dyDescent="0.3">
      <c r="AA1221" s="871"/>
    </row>
    <row r="1222" spans="27:27" s="837" customFormat="1" x14ac:dyDescent="0.3">
      <c r="AA1222" s="871"/>
    </row>
    <row r="1223" spans="27:27" s="837" customFormat="1" x14ac:dyDescent="0.3">
      <c r="AA1223" s="871"/>
    </row>
    <row r="1224" spans="27:27" s="837" customFormat="1" x14ac:dyDescent="0.3">
      <c r="AA1224" s="871"/>
    </row>
    <row r="1225" spans="27:27" s="837" customFormat="1" x14ac:dyDescent="0.3">
      <c r="AA1225" s="871"/>
    </row>
    <row r="1226" spans="27:27" s="837" customFormat="1" x14ac:dyDescent="0.3">
      <c r="AA1226" s="871"/>
    </row>
    <row r="1227" spans="27:27" s="837" customFormat="1" x14ac:dyDescent="0.3">
      <c r="AA1227" s="871"/>
    </row>
    <row r="1228" spans="27:27" s="837" customFormat="1" x14ac:dyDescent="0.3">
      <c r="AA1228" s="871"/>
    </row>
    <row r="1229" spans="27:27" s="837" customFormat="1" x14ac:dyDescent="0.3">
      <c r="AA1229" s="871"/>
    </row>
    <row r="1230" spans="27:27" s="837" customFormat="1" x14ac:dyDescent="0.3">
      <c r="AA1230" s="871"/>
    </row>
    <row r="1231" spans="27:27" s="837" customFormat="1" x14ac:dyDescent="0.3">
      <c r="AA1231" s="871"/>
    </row>
    <row r="1232" spans="27:27" s="837" customFormat="1" x14ac:dyDescent="0.3">
      <c r="AA1232" s="871"/>
    </row>
    <row r="1233" spans="27:27" s="837" customFormat="1" x14ac:dyDescent="0.3">
      <c r="AA1233" s="871"/>
    </row>
    <row r="1234" spans="27:27" s="837" customFormat="1" x14ac:dyDescent="0.3">
      <c r="AA1234" s="871"/>
    </row>
    <row r="1235" spans="27:27" s="837" customFormat="1" x14ac:dyDescent="0.3">
      <c r="AA1235" s="871"/>
    </row>
    <row r="1236" spans="27:27" s="837" customFormat="1" x14ac:dyDescent="0.3">
      <c r="AA1236" s="871"/>
    </row>
    <row r="1237" spans="27:27" s="837" customFormat="1" x14ac:dyDescent="0.3">
      <c r="AA1237" s="871"/>
    </row>
    <row r="1238" spans="27:27" s="837" customFormat="1" x14ac:dyDescent="0.3">
      <c r="AA1238" s="871"/>
    </row>
    <row r="1239" spans="27:27" s="837" customFormat="1" x14ac:dyDescent="0.3">
      <c r="AA1239" s="871"/>
    </row>
    <row r="1240" spans="27:27" s="837" customFormat="1" x14ac:dyDescent="0.3">
      <c r="AA1240" s="871"/>
    </row>
    <row r="1241" spans="27:27" s="837" customFormat="1" x14ac:dyDescent="0.3">
      <c r="AA1241" s="871"/>
    </row>
    <row r="1242" spans="27:27" s="837" customFormat="1" x14ac:dyDescent="0.3">
      <c r="AA1242" s="871"/>
    </row>
    <row r="1243" spans="27:27" s="837" customFormat="1" x14ac:dyDescent="0.3">
      <c r="AA1243" s="871"/>
    </row>
    <row r="1244" spans="27:27" s="837" customFormat="1" x14ac:dyDescent="0.3">
      <c r="AA1244" s="871"/>
    </row>
    <row r="1245" spans="27:27" s="837" customFormat="1" x14ac:dyDescent="0.3">
      <c r="AA1245" s="871"/>
    </row>
    <row r="1246" spans="27:27" s="837" customFormat="1" x14ac:dyDescent="0.3">
      <c r="AA1246" s="871"/>
    </row>
    <row r="1247" spans="27:27" s="837" customFormat="1" x14ac:dyDescent="0.3">
      <c r="AA1247" s="871"/>
    </row>
    <row r="1248" spans="27:27" s="837" customFormat="1" x14ac:dyDescent="0.3">
      <c r="AA1248" s="871"/>
    </row>
    <row r="1249" spans="27:27" s="837" customFormat="1" x14ac:dyDescent="0.3">
      <c r="AA1249" s="871"/>
    </row>
    <row r="1250" spans="27:27" s="837" customFormat="1" x14ac:dyDescent="0.3">
      <c r="AA1250" s="871"/>
    </row>
    <row r="1251" spans="27:27" s="837" customFormat="1" x14ac:dyDescent="0.3">
      <c r="AA1251" s="871"/>
    </row>
    <row r="1252" spans="27:27" s="837" customFormat="1" x14ac:dyDescent="0.3">
      <c r="AA1252" s="871"/>
    </row>
    <row r="1253" spans="27:27" s="837" customFormat="1" x14ac:dyDescent="0.3">
      <c r="AA1253" s="871"/>
    </row>
    <row r="1254" spans="27:27" s="837" customFormat="1" x14ac:dyDescent="0.3">
      <c r="AA1254" s="871"/>
    </row>
    <row r="1255" spans="27:27" s="837" customFormat="1" x14ac:dyDescent="0.3">
      <c r="AA1255" s="871"/>
    </row>
    <row r="1256" spans="27:27" s="837" customFormat="1" x14ac:dyDescent="0.3">
      <c r="AA1256" s="871"/>
    </row>
    <row r="1257" spans="27:27" s="837" customFormat="1" x14ac:dyDescent="0.3">
      <c r="AA1257" s="871"/>
    </row>
    <row r="1258" spans="27:27" s="837" customFormat="1" x14ac:dyDescent="0.3">
      <c r="AA1258" s="871"/>
    </row>
    <row r="1259" spans="27:27" s="837" customFormat="1" x14ac:dyDescent="0.3">
      <c r="AA1259" s="871"/>
    </row>
    <row r="1260" spans="27:27" s="837" customFormat="1" x14ac:dyDescent="0.3">
      <c r="AA1260" s="871"/>
    </row>
    <row r="1261" spans="27:27" s="837" customFormat="1" x14ac:dyDescent="0.3">
      <c r="AA1261" s="871"/>
    </row>
    <row r="1262" spans="27:27" s="837" customFormat="1" x14ac:dyDescent="0.3">
      <c r="AA1262" s="871"/>
    </row>
    <row r="1263" spans="27:27" s="837" customFormat="1" x14ac:dyDescent="0.3">
      <c r="AA1263" s="871"/>
    </row>
    <row r="1264" spans="27:27" s="837" customFormat="1" x14ac:dyDescent="0.3">
      <c r="AA1264" s="871"/>
    </row>
    <row r="1265" spans="27:27" s="837" customFormat="1" x14ac:dyDescent="0.3">
      <c r="AA1265" s="871"/>
    </row>
    <row r="1266" spans="27:27" s="837" customFormat="1" x14ac:dyDescent="0.3">
      <c r="AA1266" s="871"/>
    </row>
    <row r="1267" spans="27:27" s="837" customFormat="1" x14ac:dyDescent="0.3">
      <c r="AA1267" s="871"/>
    </row>
    <row r="1268" spans="27:27" s="837" customFormat="1" x14ac:dyDescent="0.3">
      <c r="AA1268" s="871"/>
    </row>
    <row r="1269" spans="27:27" s="837" customFormat="1" x14ac:dyDescent="0.3">
      <c r="AA1269" s="871"/>
    </row>
    <row r="1270" spans="27:27" s="837" customFormat="1" x14ac:dyDescent="0.3">
      <c r="AA1270" s="871"/>
    </row>
    <row r="1271" spans="27:27" s="837" customFormat="1" x14ac:dyDescent="0.3">
      <c r="AA1271" s="871"/>
    </row>
    <row r="1272" spans="27:27" s="837" customFormat="1" x14ac:dyDescent="0.3">
      <c r="AA1272" s="871"/>
    </row>
    <row r="1273" spans="27:27" s="837" customFormat="1" x14ac:dyDescent="0.3">
      <c r="AA1273" s="871"/>
    </row>
    <row r="1274" spans="27:27" s="837" customFormat="1" x14ac:dyDescent="0.3">
      <c r="AA1274" s="871"/>
    </row>
    <row r="1275" spans="27:27" s="837" customFormat="1" x14ac:dyDescent="0.3">
      <c r="AA1275" s="871"/>
    </row>
    <row r="1276" spans="27:27" s="837" customFormat="1" x14ac:dyDescent="0.3">
      <c r="AA1276" s="871"/>
    </row>
    <row r="1277" spans="27:27" s="837" customFormat="1" x14ac:dyDescent="0.3">
      <c r="AA1277" s="871"/>
    </row>
    <row r="1278" spans="27:27" s="837" customFormat="1" x14ac:dyDescent="0.3">
      <c r="AA1278" s="871"/>
    </row>
    <row r="1279" spans="27:27" s="837" customFormat="1" x14ac:dyDescent="0.3">
      <c r="AA1279" s="871"/>
    </row>
    <row r="1280" spans="27:27" s="837" customFormat="1" x14ac:dyDescent="0.3">
      <c r="AA1280" s="871"/>
    </row>
    <row r="1281" spans="27:27" s="837" customFormat="1" x14ac:dyDescent="0.3">
      <c r="AA1281" s="871"/>
    </row>
    <row r="1282" spans="27:27" s="837" customFormat="1" x14ac:dyDescent="0.3">
      <c r="AA1282" s="871"/>
    </row>
    <row r="1283" spans="27:27" s="837" customFormat="1" x14ac:dyDescent="0.3">
      <c r="AA1283" s="871"/>
    </row>
    <row r="1284" spans="27:27" s="837" customFormat="1" x14ac:dyDescent="0.3">
      <c r="AA1284" s="871"/>
    </row>
    <row r="1285" spans="27:27" s="837" customFormat="1" x14ac:dyDescent="0.3">
      <c r="AA1285" s="871"/>
    </row>
    <row r="1286" spans="27:27" s="837" customFormat="1" x14ac:dyDescent="0.3">
      <c r="AA1286" s="871"/>
    </row>
    <row r="1287" spans="27:27" s="837" customFormat="1" x14ac:dyDescent="0.3">
      <c r="AA1287" s="871"/>
    </row>
    <row r="1288" spans="27:27" s="837" customFormat="1" x14ac:dyDescent="0.3">
      <c r="AA1288" s="871"/>
    </row>
    <row r="1289" spans="27:27" s="837" customFormat="1" x14ac:dyDescent="0.3">
      <c r="AA1289" s="871"/>
    </row>
    <row r="1290" spans="27:27" s="837" customFormat="1" x14ac:dyDescent="0.3">
      <c r="AA1290" s="871"/>
    </row>
    <row r="1291" spans="27:27" s="837" customFormat="1" x14ac:dyDescent="0.3">
      <c r="AA1291" s="871"/>
    </row>
    <row r="1292" spans="27:27" s="837" customFormat="1" x14ac:dyDescent="0.3">
      <c r="AA1292" s="871"/>
    </row>
    <row r="1293" spans="27:27" s="837" customFormat="1" x14ac:dyDescent="0.3">
      <c r="AA1293" s="871"/>
    </row>
    <row r="1294" spans="27:27" s="837" customFormat="1" x14ac:dyDescent="0.3">
      <c r="AA1294" s="871"/>
    </row>
    <row r="1295" spans="27:27" s="837" customFormat="1" x14ac:dyDescent="0.3">
      <c r="AA1295" s="871"/>
    </row>
    <row r="1296" spans="27:27" s="837" customFormat="1" x14ac:dyDescent="0.3">
      <c r="AA1296" s="871"/>
    </row>
    <row r="1297" spans="27:27" s="837" customFormat="1" x14ac:dyDescent="0.3">
      <c r="AA1297" s="871"/>
    </row>
    <row r="1298" spans="27:27" s="837" customFormat="1" x14ac:dyDescent="0.3">
      <c r="AA1298" s="871"/>
    </row>
    <row r="1299" spans="27:27" s="837" customFormat="1" x14ac:dyDescent="0.3">
      <c r="AA1299" s="871"/>
    </row>
    <row r="1300" spans="27:27" s="837" customFormat="1" x14ac:dyDescent="0.3">
      <c r="AA1300" s="871"/>
    </row>
    <row r="1301" spans="27:27" s="837" customFormat="1" x14ac:dyDescent="0.3">
      <c r="AA1301" s="871"/>
    </row>
    <row r="1302" spans="27:27" s="837" customFormat="1" x14ac:dyDescent="0.3">
      <c r="AA1302" s="871"/>
    </row>
    <row r="1303" spans="27:27" s="837" customFormat="1" x14ac:dyDescent="0.3">
      <c r="AA1303" s="871"/>
    </row>
    <row r="1304" spans="27:27" s="837" customFormat="1" x14ac:dyDescent="0.3">
      <c r="AA1304" s="871"/>
    </row>
    <row r="1305" spans="27:27" s="837" customFormat="1" x14ac:dyDescent="0.3">
      <c r="AA1305" s="871"/>
    </row>
    <row r="1306" spans="27:27" s="837" customFormat="1" x14ac:dyDescent="0.3">
      <c r="AA1306" s="871"/>
    </row>
    <row r="1307" spans="27:27" s="837" customFormat="1" x14ac:dyDescent="0.3">
      <c r="AA1307" s="871"/>
    </row>
    <row r="1308" spans="27:27" s="837" customFormat="1" x14ac:dyDescent="0.3">
      <c r="AA1308" s="871"/>
    </row>
    <row r="1309" spans="27:27" s="837" customFormat="1" x14ac:dyDescent="0.3">
      <c r="AA1309" s="871"/>
    </row>
    <row r="1310" spans="27:27" s="837" customFormat="1" x14ac:dyDescent="0.3">
      <c r="AA1310" s="871"/>
    </row>
    <row r="1311" spans="27:27" s="837" customFormat="1" x14ac:dyDescent="0.3">
      <c r="AA1311" s="871"/>
    </row>
    <row r="1312" spans="27:27" s="837" customFormat="1" x14ac:dyDescent="0.3">
      <c r="AA1312" s="871"/>
    </row>
    <row r="1313" spans="27:27" s="837" customFormat="1" x14ac:dyDescent="0.3">
      <c r="AA1313" s="871"/>
    </row>
    <row r="1314" spans="27:27" s="837" customFormat="1" x14ac:dyDescent="0.3">
      <c r="AA1314" s="871"/>
    </row>
    <row r="1315" spans="27:27" s="837" customFormat="1" x14ac:dyDescent="0.3">
      <c r="AA1315" s="871"/>
    </row>
    <row r="1316" spans="27:27" s="837" customFormat="1" x14ac:dyDescent="0.3">
      <c r="AA1316" s="871"/>
    </row>
    <row r="1317" spans="27:27" s="837" customFormat="1" x14ac:dyDescent="0.3">
      <c r="AA1317" s="871"/>
    </row>
    <row r="1318" spans="27:27" s="837" customFormat="1" x14ac:dyDescent="0.3">
      <c r="AA1318" s="871"/>
    </row>
    <row r="1319" spans="27:27" s="837" customFormat="1" x14ac:dyDescent="0.3">
      <c r="AA1319" s="871"/>
    </row>
    <row r="1320" spans="27:27" s="837" customFormat="1" x14ac:dyDescent="0.3">
      <c r="AA1320" s="871"/>
    </row>
    <row r="1321" spans="27:27" s="837" customFormat="1" x14ac:dyDescent="0.3">
      <c r="AA1321" s="871"/>
    </row>
    <row r="1322" spans="27:27" s="837" customFormat="1" x14ac:dyDescent="0.3">
      <c r="AA1322" s="871"/>
    </row>
    <row r="1323" spans="27:27" s="837" customFormat="1" x14ac:dyDescent="0.3">
      <c r="AA1323" s="871"/>
    </row>
    <row r="1324" spans="27:27" s="837" customFormat="1" x14ac:dyDescent="0.3">
      <c r="AA1324" s="871"/>
    </row>
    <row r="1325" spans="27:27" s="837" customFormat="1" x14ac:dyDescent="0.3">
      <c r="AA1325" s="871"/>
    </row>
    <row r="1326" spans="27:27" s="837" customFormat="1" x14ac:dyDescent="0.3">
      <c r="AA1326" s="871"/>
    </row>
    <row r="1327" spans="27:27" s="837" customFormat="1" x14ac:dyDescent="0.3">
      <c r="AA1327" s="871"/>
    </row>
    <row r="1328" spans="27:27" s="837" customFormat="1" x14ac:dyDescent="0.3">
      <c r="AA1328" s="871"/>
    </row>
    <row r="1329" spans="27:27" s="837" customFormat="1" x14ac:dyDescent="0.3">
      <c r="AA1329" s="871"/>
    </row>
    <row r="1330" spans="27:27" s="837" customFormat="1" x14ac:dyDescent="0.3">
      <c r="AA1330" s="871"/>
    </row>
    <row r="1331" spans="27:27" s="837" customFormat="1" x14ac:dyDescent="0.3">
      <c r="AA1331" s="871"/>
    </row>
    <row r="1332" spans="27:27" s="837" customFormat="1" x14ac:dyDescent="0.3">
      <c r="AA1332" s="871"/>
    </row>
    <row r="1333" spans="27:27" s="837" customFormat="1" x14ac:dyDescent="0.3">
      <c r="AA1333" s="871"/>
    </row>
    <row r="1334" spans="27:27" s="837" customFormat="1" x14ac:dyDescent="0.3">
      <c r="AA1334" s="871"/>
    </row>
    <row r="1335" spans="27:27" s="837" customFormat="1" x14ac:dyDescent="0.3">
      <c r="AA1335" s="871"/>
    </row>
    <row r="1336" spans="27:27" s="837" customFormat="1" x14ac:dyDescent="0.3">
      <c r="AA1336" s="871"/>
    </row>
    <row r="1337" spans="27:27" s="837" customFormat="1" x14ac:dyDescent="0.3">
      <c r="AA1337" s="871"/>
    </row>
    <row r="1338" spans="27:27" s="837" customFormat="1" x14ac:dyDescent="0.3">
      <c r="AA1338" s="871"/>
    </row>
    <row r="1339" spans="27:27" s="837" customFormat="1" x14ac:dyDescent="0.3">
      <c r="AA1339" s="871"/>
    </row>
    <row r="1340" spans="27:27" s="837" customFormat="1" x14ac:dyDescent="0.3">
      <c r="AA1340" s="871"/>
    </row>
    <row r="1341" spans="27:27" s="837" customFormat="1" x14ac:dyDescent="0.3">
      <c r="AA1341" s="871"/>
    </row>
    <row r="1342" spans="27:27" s="837" customFormat="1" x14ac:dyDescent="0.3">
      <c r="AA1342" s="871"/>
    </row>
    <row r="1343" spans="27:27" s="837" customFormat="1" x14ac:dyDescent="0.3">
      <c r="AA1343" s="871"/>
    </row>
    <row r="1344" spans="27:27" s="837" customFormat="1" x14ac:dyDescent="0.3">
      <c r="AA1344" s="871"/>
    </row>
    <row r="1345" spans="27:27" s="837" customFormat="1" x14ac:dyDescent="0.3">
      <c r="AA1345" s="871"/>
    </row>
    <row r="1346" spans="27:27" s="837" customFormat="1" x14ac:dyDescent="0.3">
      <c r="AA1346" s="871"/>
    </row>
    <row r="1347" spans="27:27" s="837" customFormat="1" x14ac:dyDescent="0.3">
      <c r="AA1347" s="871"/>
    </row>
    <row r="1348" spans="27:27" s="837" customFormat="1" x14ac:dyDescent="0.3">
      <c r="AA1348" s="871"/>
    </row>
    <row r="1349" spans="27:27" s="837" customFormat="1" x14ac:dyDescent="0.3">
      <c r="AA1349" s="871"/>
    </row>
    <row r="1350" spans="27:27" s="837" customFormat="1" x14ac:dyDescent="0.3">
      <c r="AA1350" s="871"/>
    </row>
    <row r="1351" spans="27:27" s="837" customFormat="1" x14ac:dyDescent="0.3">
      <c r="AA1351" s="871"/>
    </row>
    <row r="1352" spans="27:27" s="837" customFormat="1" x14ac:dyDescent="0.3">
      <c r="AA1352" s="871"/>
    </row>
    <row r="1353" spans="27:27" s="837" customFormat="1" x14ac:dyDescent="0.3">
      <c r="AA1353" s="871"/>
    </row>
    <row r="1354" spans="27:27" s="837" customFormat="1" x14ac:dyDescent="0.3">
      <c r="AA1354" s="871"/>
    </row>
    <row r="1355" spans="27:27" s="837" customFormat="1" x14ac:dyDescent="0.3">
      <c r="AA1355" s="871"/>
    </row>
    <row r="1356" spans="27:27" s="837" customFormat="1" x14ac:dyDescent="0.3">
      <c r="AA1356" s="871"/>
    </row>
    <row r="1357" spans="27:27" s="837" customFormat="1" x14ac:dyDescent="0.3">
      <c r="AA1357" s="871"/>
    </row>
    <row r="1358" spans="27:27" s="837" customFormat="1" x14ac:dyDescent="0.3">
      <c r="AA1358" s="871"/>
    </row>
    <row r="1359" spans="27:27" s="837" customFormat="1" x14ac:dyDescent="0.3">
      <c r="AA1359" s="871"/>
    </row>
    <row r="1360" spans="27:27" s="837" customFormat="1" x14ac:dyDescent="0.3">
      <c r="AA1360" s="871"/>
    </row>
    <row r="1361" spans="27:27" s="837" customFormat="1" x14ac:dyDescent="0.3">
      <c r="AA1361" s="871"/>
    </row>
    <row r="1362" spans="27:27" s="837" customFormat="1" x14ac:dyDescent="0.3">
      <c r="AA1362" s="871"/>
    </row>
    <row r="1363" spans="27:27" s="837" customFormat="1" x14ac:dyDescent="0.3">
      <c r="AA1363" s="871"/>
    </row>
    <row r="1364" spans="27:27" s="837" customFormat="1" x14ac:dyDescent="0.3">
      <c r="AA1364" s="871"/>
    </row>
    <row r="1365" spans="27:27" s="837" customFormat="1" x14ac:dyDescent="0.3">
      <c r="AA1365" s="871"/>
    </row>
    <row r="1366" spans="27:27" s="837" customFormat="1" x14ac:dyDescent="0.3">
      <c r="AA1366" s="871"/>
    </row>
    <row r="1367" spans="27:27" s="837" customFormat="1" x14ac:dyDescent="0.3">
      <c r="AA1367" s="871"/>
    </row>
    <row r="1368" spans="27:27" s="837" customFormat="1" x14ac:dyDescent="0.3">
      <c r="AA1368" s="871"/>
    </row>
    <row r="1369" spans="27:27" s="837" customFormat="1" x14ac:dyDescent="0.3">
      <c r="AA1369" s="871"/>
    </row>
    <row r="1370" spans="27:27" s="837" customFormat="1" x14ac:dyDescent="0.3">
      <c r="AA1370" s="871"/>
    </row>
    <row r="1371" spans="27:27" s="837" customFormat="1" x14ac:dyDescent="0.3">
      <c r="AA1371" s="871"/>
    </row>
    <row r="1372" spans="27:27" s="837" customFormat="1" x14ac:dyDescent="0.3">
      <c r="AA1372" s="871"/>
    </row>
    <row r="1373" spans="27:27" s="837" customFormat="1" x14ac:dyDescent="0.3">
      <c r="AA1373" s="871"/>
    </row>
    <row r="1374" spans="27:27" s="837" customFormat="1" x14ac:dyDescent="0.3">
      <c r="AA1374" s="871"/>
    </row>
    <row r="1375" spans="27:27" s="837" customFormat="1" x14ac:dyDescent="0.3">
      <c r="AA1375" s="871"/>
    </row>
    <row r="1376" spans="27:27" s="837" customFormat="1" x14ac:dyDescent="0.3">
      <c r="AA1376" s="871"/>
    </row>
    <row r="1377" spans="27:27" s="837" customFormat="1" x14ac:dyDescent="0.3">
      <c r="AA1377" s="871"/>
    </row>
    <row r="1378" spans="27:27" s="837" customFormat="1" x14ac:dyDescent="0.3">
      <c r="AA1378" s="871"/>
    </row>
    <row r="1379" spans="27:27" s="837" customFormat="1" x14ac:dyDescent="0.3">
      <c r="AA1379" s="871"/>
    </row>
    <row r="1380" spans="27:27" s="837" customFormat="1" x14ac:dyDescent="0.3">
      <c r="AA1380" s="871"/>
    </row>
    <row r="1381" spans="27:27" s="837" customFormat="1" x14ac:dyDescent="0.3">
      <c r="AA1381" s="871"/>
    </row>
    <row r="1382" spans="27:27" s="837" customFormat="1" x14ac:dyDescent="0.3">
      <c r="AA1382" s="871"/>
    </row>
    <row r="1383" spans="27:27" s="837" customFormat="1" x14ac:dyDescent="0.3">
      <c r="AA1383" s="871"/>
    </row>
    <row r="1384" spans="27:27" s="837" customFormat="1" x14ac:dyDescent="0.3">
      <c r="AA1384" s="871"/>
    </row>
    <row r="1385" spans="27:27" s="837" customFormat="1" x14ac:dyDescent="0.3">
      <c r="AA1385" s="871"/>
    </row>
    <row r="1386" spans="27:27" s="837" customFormat="1" x14ac:dyDescent="0.3">
      <c r="AA1386" s="871"/>
    </row>
    <row r="1387" spans="27:27" s="837" customFormat="1" x14ac:dyDescent="0.3">
      <c r="AA1387" s="871"/>
    </row>
    <row r="1388" spans="27:27" s="837" customFormat="1" x14ac:dyDescent="0.3">
      <c r="AA1388" s="871"/>
    </row>
    <row r="1389" spans="27:27" s="837" customFormat="1" x14ac:dyDescent="0.3">
      <c r="AA1389" s="871"/>
    </row>
    <row r="1390" spans="27:27" s="837" customFormat="1" x14ac:dyDescent="0.3">
      <c r="AA1390" s="871"/>
    </row>
    <row r="1391" spans="27:27" s="837" customFormat="1" x14ac:dyDescent="0.3">
      <c r="AA1391" s="871"/>
    </row>
    <row r="1392" spans="27:27" s="837" customFormat="1" x14ac:dyDescent="0.3">
      <c r="AA1392" s="871"/>
    </row>
    <row r="1393" spans="27:27" s="837" customFormat="1" x14ac:dyDescent="0.3">
      <c r="AA1393" s="871"/>
    </row>
    <row r="1394" spans="27:27" s="837" customFormat="1" x14ac:dyDescent="0.3">
      <c r="AA1394" s="871"/>
    </row>
    <row r="1395" spans="27:27" s="837" customFormat="1" x14ac:dyDescent="0.3">
      <c r="AA1395" s="871"/>
    </row>
    <row r="1396" spans="27:27" s="837" customFormat="1" x14ac:dyDescent="0.3">
      <c r="AA1396" s="871"/>
    </row>
    <row r="1397" spans="27:27" s="837" customFormat="1" x14ac:dyDescent="0.3">
      <c r="AA1397" s="871"/>
    </row>
    <row r="1398" spans="27:27" s="837" customFormat="1" x14ac:dyDescent="0.3">
      <c r="AA1398" s="871"/>
    </row>
    <row r="1399" spans="27:27" s="837" customFormat="1" x14ac:dyDescent="0.3">
      <c r="AA1399" s="871"/>
    </row>
    <row r="1400" spans="27:27" s="837" customFormat="1" x14ac:dyDescent="0.3">
      <c r="AA1400" s="871"/>
    </row>
    <row r="1401" spans="27:27" s="837" customFormat="1" x14ac:dyDescent="0.3">
      <c r="AA1401" s="871"/>
    </row>
    <row r="1402" spans="27:27" s="837" customFormat="1" x14ac:dyDescent="0.3">
      <c r="AA1402" s="871"/>
    </row>
    <row r="1403" spans="27:27" s="837" customFormat="1" x14ac:dyDescent="0.3">
      <c r="AA1403" s="871"/>
    </row>
    <row r="1404" spans="27:27" s="837" customFormat="1" x14ac:dyDescent="0.3">
      <c r="AA1404" s="871"/>
    </row>
    <row r="1405" spans="27:27" s="837" customFormat="1" x14ac:dyDescent="0.3">
      <c r="AA1405" s="871"/>
    </row>
    <row r="1406" spans="27:27" s="837" customFormat="1" x14ac:dyDescent="0.3">
      <c r="AA1406" s="871"/>
    </row>
    <row r="1407" spans="27:27" s="837" customFormat="1" x14ac:dyDescent="0.3">
      <c r="AA1407" s="871"/>
    </row>
    <row r="1408" spans="27:27" s="837" customFormat="1" x14ac:dyDescent="0.3">
      <c r="AA1408" s="871"/>
    </row>
    <row r="1409" spans="27:27" s="837" customFormat="1" x14ac:dyDescent="0.3">
      <c r="AA1409" s="871"/>
    </row>
    <row r="1410" spans="27:27" s="837" customFormat="1" x14ac:dyDescent="0.3">
      <c r="AA1410" s="871"/>
    </row>
    <row r="1411" spans="27:27" s="837" customFormat="1" x14ac:dyDescent="0.3">
      <c r="AA1411" s="871"/>
    </row>
    <row r="1412" spans="27:27" s="837" customFormat="1" x14ac:dyDescent="0.3">
      <c r="AA1412" s="871"/>
    </row>
    <row r="1413" spans="27:27" s="837" customFormat="1" x14ac:dyDescent="0.3">
      <c r="AA1413" s="871"/>
    </row>
    <row r="1414" spans="27:27" s="837" customFormat="1" x14ac:dyDescent="0.3">
      <c r="AA1414" s="871"/>
    </row>
    <row r="1415" spans="27:27" s="837" customFormat="1" x14ac:dyDescent="0.3">
      <c r="AA1415" s="871"/>
    </row>
    <row r="1416" spans="27:27" s="837" customFormat="1" x14ac:dyDescent="0.3">
      <c r="AA1416" s="871"/>
    </row>
    <row r="1417" spans="27:27" s="837" customFormat="1" x14ac:dyDescent="0.3">
      <c r="AA1417" s="871"/>
    </row>
    <row r="1418" spans="27:27" s="837" customFormat="1" x14ac:dyDescent="0.3">
      <c r="AA1418" s="871"/>
    </row>
    <row r="1419" spans="27:27" s="837" customFormat="1" x14ac:dyDescent="0.3">
      <c r="AA1419" s="871"/>
    </row>
    <row r="1420" spans="27:27" s="837" customFormat="1" x14ac:dyDescent="0.3">
      <c r="AA1420" s="871"/>
    </row>
    <row r="1421" spans="27:27" s="837" customFormat="1" x14ac:dyDescent="0.3">
      <c r="AA1421" s="871"/>
    </row>
    <row r="1422" spans="27:27" s="837" customFormat="1" x14ac:dyDescent="0.3">
      <c r="AA1422" s="871"/>
    </row>
    <row r="1423" spans="27:27" s="837" customFormat="1" x14ac:dyDescent="0.3">
      <c r="AA1423" s="871"/>
    </row>
    <row r="1424" spans="27:27" s="837" customFormat="1" x14ac:dyDescent="0.3">
      <c r="AA1424" s="871"/>
    </row>
    <row r="1425" spans="27:27" s="837" customFormat="1" x14ac:dyDescent="0.3">
      <c r="AA1425" s="871"/>
    </row>
    <row r="1426" spans="27:27" s="837" customFormat="1" x14ac:dyDescent="0.3">
      <c r="AA1426" s="871"/>
    </row>
    <row r="1427" spans="27:27" s="837" customFormat="1" x14ac:dyDescent="0.3">
      <c r="AA1427" s="871"/>
    </row>
    <row r="1428" spans="27:27" s="837" customFormat="1" x14ac:dyDescent="0.3">
      <c r="AA1428" s="871"/>
    </row>
    <row r="1429" spans="27:27" s="837" customFormat="1" x14ac:dyDescent="0.3">
      <c r="AA1429" s="871"/>
    </row>
    <row r="1430" spans="27:27" s="837" customFormat="1" x14ac:dyDescent="0.3">
      <c r="AA1430" s="871"/>
    </row>
    <row r="1431" spans="27:27" s="837" customFormat="1" x14ac:dyDescent="0.3">
      <c r="AA1431" s="871"/>
    </row>
    <row r="1432" spans="27:27" s="837" customFormat="1" x14ac:dyDescent="0.3">
      <c r="AA1432" s="871"/>
    </row>
    <row r="1433" spans="27:27" s="837" customFormat="1" x14ac:dyDescent="0.3">
      <c r="AA1433" s="871"/>
    </row>
    <row r="1434" spans="27:27" s="837" customFormat="1" x14ac:dyDescent="0.3">
      <c r="AA1434" s="871"/>
    </row>
    <row r="1435" spans="27:27" s="837" customFormat="1" x14ac:dyDescent="0.3">
      <c r="AA1435" s="871"/>
    </row>
    <row r="1436" spans="27:27" s="837" customFormat="1" x14ac:dyDescent="0.3">
      <c r="AA1436" s="871"/>
    </row>
    <row r="1437" spans="27:27" s="837" customFormat="1" x14ac:dyDescent="0.3">
      <c r="AA1437" s="871"/>
    </row>
    <row r="1438" spans="27:27" s="837" customFormat="1" x14ac:dyDescent="0.3">
      <c r="AA1438" s="871"/>
    </row>
    <row r="1439" spans="27:27" s="837" customFormat="1" x14ac:dyDescent="0.3">
      <c r="AA1439" s="871"/>
    </row>
    <row r="1440" spans="27:27" s="837" customFormat="1" x14ac:dyDescent="0.3">
      <c r="AA1440" s="871"/>
    </row>
    <row r="1441" spans="27:27" s="837" customFormat="1" x14ac:dyDescent="0.3">
      <c r="AA1441" s="871"/>
    </row>
    <row r="1442" spans="27:27" s="837" customFormat="1" x14ac:dyDescent="0.3">
      <c r="AA1442" s="871"/>
    </row>
    <row r="1443" spans="27:27" s="837" customFormat="1" x14ac:dyDescent="0.3">
      <c r="AA1443" s="871"/>
    </row>
    <row r="1444" spans="27:27" s="837" customFormat="1" x14ac:dyDescent="0.3">
      <c r="AA1444" s="871"/>
    </row>
    <row r="1445" spans="27:27" s="837" customFormat="1" x14ac:dyDescent="0.3">
      <c r="AA1445" s="871"/>
    </row>
    <row r="1446" spans="27:27" s="837" customFormat="1" x14ac:dyDescent="0.3">
      <c r="AA1446" s="871"/>
    </row>
    <row r="1447" spans="27:27" s="837" customFormat="1" x14ac:dyDescent="0.3">
      <c r="AA1447" s="871"/>
    </row>
    <row r="1448" spans="27:27" s="837" customFormat="1" x14ac:dyDescent="0.3">
      <c r="AA1448" s="871"/>
    </row>
    <row r="1449" spans="27:27" s="837" customFormat="1" x14ac:dyDescent="0.3">
      <c r="AA1449" s="871"/>
    </row>
    <row r="1450" spans="27:27" s="837" customFormat="1" x14ac:dyDescent="0.3">
      <c r="AA1450" s="871"/>
    </row>
    <row r="1451" spans="27:27" s="837" customFormat="1" x14ac:dyDescent="0.3">
      <c r="AA1451" s="871"/>
    </row>
    <row r="1452" spans="27:27" s="837" customFormat="1" x14ac:dyDescent="0.3">
      <c r="AA1452" s="871"/>
    </row>
    <row r="1453" spans="27:27" s="837" customFormat="1" x14ac:dyDescent="0.3">
      <c r="AA1453" s="871"/>
    </row>
    <row r="1454" spans="27:27" s="837" customFormat="1" x14ac:dyDescent="0.3">
      <c r="AA1454" s="871"/>
    </row>
    <row r="1455" spans="27:27" s="837" customFormat="1" x14ac:dyDescent="0.3">
      <c r="AA1455" s="871"/>
    </row>
    <row r="1456" spans="27:27" s="837" customFormat="1" x14ac:dyDescent="0.3">
      <c r="AA1456" s="871"/>
    </row>
    <row r="1457" spans="27:27" s="837" customFormat="1" x14ac:dyDescent="0.3">
      <c r="AA1457" s="871"/>
    </row>
    <row r="1458" spans="27:27" s="837" customFormat="1" x14ac:dyDescent="0.3">
      <c r="AA1458" s="871"/>
    </row>
    <row r="1459" spans="27:27" s="837" customFormat="1" x14ac:dyDescent="0.3">
      <c r="AA1459" s="871"/>
    </row>
    <row r="1460" spans="27:27" s="837" customFormat="1" x14ac:dyDescent="0.3">
      <c r="AA1460" s="871"/>
    </row>
    <row r="1461" spans="27:27" s="837" customFormat="1" x14ac:dyDescent="0.3">
      <c r="AA1461" s="871"/>
    </row>
    <row r="1462" spans="27:27" s="837" customFormat="1" x14ac:dyDescent="0.3">
      <c r="AA1462" s="871"/>
    </row>
    <row r="1463" spans="27:27" s="837" customFormat="1" x14ac:dyDescent="0.3">
      <c r="AA1463" s="871"/>
    </row>
    <row r="1464" spans="27:27" s="837" customFormat="1" x14ac:dyDescent="0.3">
      <c r="AA1464" s="871"/>
    </row>
    <row r="1465" spans="27:27" s="837" customFormat="1" x14ac:dyDescent="0.3">
      <c r="AA1465" s="871"/>
    </row>
    <row r="1466" spans="27:27" s="837" customFormat="1" x14ac:dyDescent="0.3">
      <c r="AA1466" s="871"/>
    </row>
    <row r="1467" spans="27:27" s="837" customFormat="1" x14ac:dyDescent="0.3">
      <c r="AA1467" s="871"/>
    </row>
    <row r="1468" spans="27:27" s="837" customFormat="1" x14ac:dyDescent="0.3">
      <c r="AA1468" s="871"/>
    </row>
    <row r="1469" spans="27:27" s="837" customFormat="1" x14ac:dyDescent="0.3">
      <c r="AA1469" s="871"/>
    </row>
    <row r="1470" spans="27:27" s="837" customFormat="1" x14ac:dyDescent="0.3">
      <c r="AA1470" s="871"/>
    </row>
    <row r="1471" spans="27:27" s="837" customFormat="1" x14ac:dyDescent="0.3">
      <c r="AA1471" s="871"/>
    </row>
    <row r="1472" spans="27:27" s="837" customFormat="1" x14ac:dyDescent="0.3">
      <c r="AA1472" s="871"/>
    </row>
    <row r="1473" spans="27:27" s="837" customFormat="1" x14ac:dyDescent="0.3">
      <c r="AA1473" s="871"/>
    </row>
    <row r="1474" spans="27:27" s="837" customFormat="1" x14ac:dyDescent="0.3">
      <c r="AA1474" s="871"/>
    </row>
    <row r="1475" spans="27:27" s="837" customFormat="1" x14ac:dyDescent="0.3">
      <c r="AA1475" s="871"/>
    </row>
    <row r="1476" spans="27:27" s="837" customFormat="1" x14ac:dyDescent="0.3">
      <c r="AA1476" s="871"/>
    </row>
    <row r="1477" spans="27:27" s="837" customFormat="1" x14ac:dyDescent="0.3">
      <c r="AA1477" s="871"/>
    </row>
    <row r="1478" spans="27:27" s="837" customFormat="1" x14ac:dyDescent="0.3">
      <c r="AA1478" s="871"/>
    </row>
    <row r="1479" spans="27:27" s="837" customFormat="1" x14ac:dyDescent="0.3">
      <c r="AA1479" s="871"/>
    </row>
    <row r="1480" spans="27:27" s="837" customFormat="1" x14ac:dyDescent="0.3">
      <c r="AA1480" s="871"/>
    </row>
    <row r="1481" spans="27:27" s="837" customFormat="1" x14ac:dyDescent="0.3">
      <c r="AA1481" s="871"/>
    </row>
    <row r="1482" spans="27:27" s="837" customFormat="1" x14ac:dyDescent="0.3">
      <c r="AA1482" s="871"/>
    </row>
    <row r="1483" spans="27:27" s="837" customFormat="1" x14ac:dyDescent="0.3">
      <c r="AA1483" s="871"/>
    </row>
    <row r="1484" spans="27:27" s="837" customFormat="1" x14ac:dyDescent="0.3">
      <c r="AA1484" s="871"/>
    </row>
    <row r="1485" spans="27:27" s="837" customFormat="1" x14ac:dyDescent="0.3">
      <c r="AA1485" s="871"/>
    </row>
    <row r="1486" spans="27:27" s="837" customFormat="1" x14ac:dyDescent="0.3">
      <c r="AA1486" s="871"/>
    </row>
    <row r="1487" spans="27:27" s="837" customFormat="1" x14ac:dyDescent="0.3">
      <c r="AA1487" s="871"/>
    </row>
    <row r="1488" spans="27:27" s="837" customFormat="1" x14ac:dyDescent="0.3">
      <c r="AA1488" s="871"/>
    </row>
    <row r="1489" spans="27:27" s="837" customFormat="1" x14ac:dyDescent="0.3">
      <c r="AA1489" s="871"/>
    </row>
    <row r="1490" spans="27:27" s="837" customFormat="1" x14ac:dyDescent="0.3">
      <c r="AA1490" s="871"/>
    </row>
    <row r="1491" spans="27:27" s="837" customFormat="1" x14ac:dyDescent="0.3">
      <c r="AA1491" s="871"/>
    </row>
    <row r="1492" spans="27:27" s="837" customFormat="1" x14ac:dyDescent="0.3">
      <c r="AA1492" s="871"/>
    </row>
    <row r="1493" spans="27:27" s="837" customFormat="1" x14ac:dyDescent="0.3">
      <c r="AA1493" s="871"/>
    </row>
    <row r="1494" spans="27:27" s="837" customFormat="1" x14ac:dyDescent="0.3">
      <c r="AA1494" s="871"/>
    </row>
    <row r="1495" spans="27:27" s="837" customFormat="1" x14ac:dyDescent="0.3">
      <c r="AA1495" s="871"/>
    </row>
    <row r="1496" spans="27:27" s="837" customFormat="1" x14ac:dyDescent="0.3">
      <c r="AA1496" s="871"/>
    </row>
    <row r="1497" spans="27:27" s="837" customFormat="1" x14ac:dyDescent="0.3">
      <c r="AA1497" s="871"/>
    </row>
    <row r="1498" spans="27:27" s="837" customFormat="1" x14ac:dyDescent="0.3">
      <c r="AA1498" s="871"/>
    </row>
    <row r="1499" spans="27:27" s="837" customFormat="1" x14ac:dyDescent="0.3">
      <c r="AA1499" s="871"/>
    </row>
    <row r="1500" spans="27:27" s="837" customFormat="1" x14ac:dyDescent="0.3">
      <c r="AA1500" s="871"/>
    </row>
    <row r="1501" spans="27:27" s="837" customFormat="1" x14ac:dyDescent="0.3">
      <c r="AA1501" s="871"/>
    </row>
    <row r="1502" spans="27:27" s="837" customFormat="1" x14ac:dyDescent="0.3">
      <c r="AA1502" s="871"/>
    </row>
    <row r="1503" spans="27:27" s="837" customFormat="1" x14ac:dyDescent="0.3">
      <c r="AA1503" s="871"/>
    </row>
    <row r="1504" spans="27:27" s="837" customFormat="1" x14ac:dyDescent="0.3">
      <c r="AA1504" s="871"/>
    </row>
    <row r="1505" spans="27:27" s="837" customFormat="1" x14ac:dyDescent="0.3">
      <c r="AA1505" s="871"/>
    </row>
    <row r="1506" spans="27:27" s="837" customFormat="1" x14ac:dyDescent="0.3">
      <c r="AA1506" s="871"/>
    </row>
    <row r="1507" spans="27:27" s="837" customFormat="1" x14ac:dyDescent="0.3">
      <c r="AA1507" s="871"/>
    </row>
    <row r="1508" spans="27:27" s="837" customFormat="1" x14ac:dyDescent="0.3">
      <c r="AA1508" s="871"/>
    </row>
    <row r="1509" spans="27:27" s="837" customFormat="1" x14ac:dyDescent="0.3">
      <c r="AA1509" s="871"/>
    </row>
    <row r="1510" spans="27:27" s="837" customFormat="1" x14ac:dyDescent="0.3">
      <c r="AA1510" s="871"/>
    </row>
    <row r="1511" spans="27:27" s="837" customFormat="1" x14ac:dyDescent="0.3">
      <c r="AA1511" s="871"/>
    </row>
    <row r="1512" spans="27:27" s="837" customFormat="1" x14ac:dyDescent="0.3">
      <c r="AA1512" s="871"/>
    </row>
    <row r="1513" spans="27:27" s="837" customFormat="1" x14ac:dyDescent="0.3">
      <c r="AA1513" s="871"/>
    </row>
    <row r="1514" spans="27:27" s="837" customFormat="1" x14ac:dyDescent="0.3">
      <c r="AA1514" s="871"/>
    </row>
    <row r="1515" spans="27:27" s="837" customFormat="1" x14ac:dyDescent="0.3">
      <c r="AA1515" s="871"/>
    </row>
    <row r="1516" spans="27:27" s="837" customFormat="1" x14ac:dyDescent="0.3">
      <c r="AA1516" s="871"/>
    </row>
    <row r="1517" spans="27:27" s="837" customFormat="1" x14ac:dyDescent="0.3">
      <c r="AA1517" s="871"/>
    </row>
    <row r="1518" spans="27:27" s="837" customFormat="1" x14ac:dyDescent="0.3">
      <c r="AA1518" s="871"/>
    </row>
    <row r="1519" spans="27:27" s="837" customFormat="1" x14ac:dyDescent="0.3">
      <c r="AA1519" s="871"/>
    </row>
    <row r="1520" spans="27:27" s="837" customFormat="1" x14ac:dyDescent="0.3">
      <c r="AA1520" s="871"/>
    </row>
    <row r="1521" spans="27:27" s="837" customFormat="1" x14ac:dyDescent="0.3">
      <c r="AA1521" s="871"/>
    </row>
    <row r="1522" spans="27:27" s="837" customFormat="1" x14ac:dyDescent="0.3">
      <c r="AA1522" s="871"/>
    </row>
    <row r="1523" spans="27:27" s="837" customFormat="1" x14ac:dyDescent="0.3">
      <c r="AA1523" s="871"/>
    </row>
    <row r="1524" spans="27:27" s="837" customFormat="1" x14ac:dyDescent="0.3">
      <c r="AA1524" s="871"/>
    </row>
    <row r="1525" spans="27:27" s="837" customFormat="1" x14ac:dyDescent="0.3">
      <c r="AA1525" s="871"/>
    </row>
    <row r="1526" spans="27:27" s="837" customFormat="1" x14ac:dyDescent="0.3">
      <c r="AA1526" s="871"/>
    </row>
    <row r="1527" spans="27:27" s="837" customFormat="1" x14ac:dyDescent="0.3">
      <c r="AA1527" s="871"/>
    </row>
    <row r="1528" spans="27:27" s="837" customFormat="1" x14ac:dyDescent="0.3">
      <c r="AA1528" s="871"/>
    </row>
    <row r="1529" spans="27:27" s="837" customFormat="1" x14ac:dyDescent="0.3">
      <c r="AA1529" s="871"/>
    </row>
    <row r="1530" spans="27:27" s="837" customFormat="1" x14ac:dyDescent="0.3">
      <c r="AA1530" s="871"/>
    </row>
    <row r="1531" spans="27:27" s="837" customFormat="1" x14ac:dyDescent="0.3">
      <c r="AA1531" s="871"/>
    </row>
    <row r="1532" spans="27:27" s="837" customFormat="1" x14ac:dyDescent="0.3">
      <c r="AA1532" s="871"/>
    </row>
    <row r="1533" spans="27:27" s="837" customFormat="1" x14ac:dyDescent="0.3">
      <c r="AA1533" s="871"/>
    </row>
    <row r="1534" spans="27:27" s="837" customFormat="1" x14ac:dyDescent="0.3">
      <c r="AA1534" s="871"/>
    </row>
    <row r="1535" spans="27:27" s="837" customFormat="1" x14ac:dyDescent="0.3">
      <c r="AA1535" s="871"/>
    </row>
    <row r="1536" spans="27:27" s="837" customFormat="1" x14ac:dyDescent="0.3">
      <c r="AA1536" s="871"/>
    </row>
    <row r="1537" spans="27:27" s="837" customFormat="1" x14ac:dyDescent="0.3">
      <c r="AA1537" s="871"/>
    </row>
    <row r="1538" spans="27:27" s="837" customFormat="1" x14ac:dyDescent="0.3">
      <c r="AA1538" s="871"/>
    </row>
    <row r="1539" spans="27:27" s="837" customFormat="1" x14ac:dyDescent="0.3">
      <c r="AA1539" s="871"/>
    </row>
    <row r="1540" spans="27:27" s="837" customFormat="1" x14ac:dyDescent="0.3">
      <c r="AA1540" s="871"/>
    </row>
    <row r="1541" spans="27:27" s="837" customFormat="1" x14ac:dyDescent="0.3">
      <c r="AA1541" s="871"/>
    </row>
    <row r="1542" spans="27:27" s="837" customFormat="1" x14ac:dyDescent="0.3">
      <c r="AA1542" s="871"/>
    </row>
    <row r="1543" spans="27:27" s="837" customFormat="1" x14ac:dyDescent="0.3">
      <c r="AA1543" s="871"/>
    </row>
    <row r="1544" spans="27:27" s="837" customFormat="1" x14ac:dyDescent="0.3">
      <c r="AA1544" s="871"/>
    </row>
    <row r="1545" spans="27:27" s="837" customFormat="1" x14ac:dyDescent="0.3">
      <c r="AA1545" s="871"/>
    </row>
    <row r="1546" spans="27:27" s="837" customFormat="1" x14ac:dyDescent="0.3">
      <c r="AA1546" s="871"/>
    </row>
    <row r="1547" spans="27:27" s="837" customFormat="1" x14ac:dyDescent="0.3">
      <c r="AA1547" s="871"/>
    </row>
    <row r="1548" spans="27:27" s="837" customFormat="1" x14ac:dyDescent="0.3">
      <c r="AA1548" s="871"/>
    </row>
    <row r="1549" spans="27:27" s="837" customFormat="1" x14ac:dyDescent="0.3">
      <c r="AA1549" s="871"/>
    </row>
    <row r="1550" spans="27:27" s="837" customFormat="1" x14ac:dyDescent="0.3">
      <c r="AA1550" s="871"/>
    </row>
    <row r="1551" spans="27:27" s="837" customFormat="1" x14ac:dyDescent="0.3">
      <c r="AA1551" s="871"/>
    </row>
    <row r="1552" spans="27:27" s="837" customFormat="1" x14ac:dyDescent="0.3">
      <c r="AA1552" s="871"/>
    </row>
    <row r="1553" spans="27:27" s="837" customFormat="1" x14ac:dyDescent="0.3">
      <c r="AA1553" s="871"/>
    </row>
    <row r="1554" spans="27:27" s="837" customFormat="1" x14ac:dyDescent="0.3">
      <c r="AA1554" s="871"/>
    </row>
    <row r="1555" spans="27:27" s="837" customFormat="1" x14ac:dyDescent="0.3">
      <c r="AA1555" s="871"/>
    </row>
    <row r="1556" spans="27:27" s="837" customFormat="1" x14ac:dyDescent="0.3">
      <c r="AA1556" s="871"/>
    </row>
    <row r="1557" spans="27:27" s="837" customFormat="1" x14ac:dyDescent="0.3">
      <c r="AA1557" s="871"/>
    </row>
    <row r="1558" spans="27:27" s="837" customFormat="1" x14ac:dyDescent="0.3">
      <c r="AA1558" s="871"/>
    </row>
    <row r="1559" spans="27:27" s="837" customFormat="1" x14ac:dyDescent="0.3">
      <c r="AA1559" s="871"/>
    </row>
    <row r="1560" spans="27:27" s="837" customFormat="1" x14ac:dyDescent="0.3">
      <c r="AA1560" s="871"/>
    </row>
    <row r="1561" spans="27:27" s="837" customFormat="1" x14ac:dyDescent="0.3">
      <c r="AA1561" s="871"/>
    </row>
    <row r="1562" spans="27:27" s="837" customFormat="1" x14ac:dyDescent="0.3">
      <c r="AA1562" s="871"/>
    </row>
    <row r="1563" spans="27:27" s="837" customFormat="1" x14ac:dyDescent="0.3">
      <c r="AA1563" s="871"/>
    </row>
    <row r="1564" spans="27:27" s="837" customFormat="1" x14ac:dyDescent="0.3">
      <c r="AA1564" s="871"/>
    </row>
    <row r="1565" spans="27:27" s="837" customFormat="1" x14ac:dyDescent="0.3">
      <c r="AA1565" s="871"/>
    </row>
    <row r="1566" spans="27:27" s="837" customFormat="1" x14ac:dyDescent="0.3">
      <c r="AA1566" s="871"/>
    </row>
    <row r="1567" spans="27:27" s="837" customFormat="1" x14ac:dyDescent="0.3">
      <c r="AA1567" s="871"/>
    </row>
    <row r="1568" spans="27:27" s="837" customFormat="1" x14ac:dyDescent="0.3">
      <c r="AA1568" s="871"/>
    </row>
    <row r="1569" spans="27:27" s="837" customFormat="1" x14ac:dyDescent="0.3">
      <c r="AA1569" s="871"/>
    </row>
    <row r="1570" spans="27:27" s="837" customFormat="1" x14ac:dyDescent="0.3">
      <c r="AA1570" s="871"/>
    </row>
    <row r="1571" spans="27:27" s="837" customFormat="1" x14ac:dyDescent="0.3">
      <c r="AA1571" s="871"/>
    </row>
    <row r="1572" spans="27:27" s="837" customFormat="1" x14ac:dyDescent="0.3">
      <c r="AA1572" s="871"/>
    </row>
    <row r="1573" spans="27:27" s="837" customFormat="1" x14ac:dyDescent="0.3">
      <c r="AA1573" s="871"/>
    </row>
    <row r="1574" spans="27:27" s="837" customFormat="1" x14ac:dyDescent="0.3">
      <c r="AA1574" s="871"/>
    </row>
    <row r="1575" spans="27:27" s="837" customFormat="1" x14ac:dyDescent="0.3">
      <c r="AA1575" s="871"/>
    </row>
    <row r="1576" spans="27:27" s="837" customFormat="1" x14ac:dyDescent="0.3">
      <c r="AA1576" s="871"/>
    </row>
    <row r="1577" spans="27:27" s="837" customFormat="1" x14ac:dyDescent="0.3">
      <c r="AA1577" s="871"/>
    </row>
    <row r="1578" spans="27:27" s="837" customFormat="1" x14ac:dyDescent="0.3">
      <c r="AA1578" s="871"/>
    </row>
    <row r="1579" spans="27:27" s="837" customFormat="1" x14ac:dyDescent="0.3">
      <c r="AA1579" s="871"/>
    </row>
    <row r="1580" spans="27:27" s="837" customFormat="1" x14ac:dyDescent="0.3">
      <c r="AA1580" s="871"/>
    </row>
    <row r="1581" spans="27:27" s="837" customFormat="1" x14ac:dyDescent="0.3">
      <c r="AA1581" s="871"/>
    </row>
    <row r="1582" spans="27:27" s="837" customFormat="1" x14ac:dyDescent="0.3">
      <c r="AA1582" s="871"/>
    </row>
    <row r="1583" spans="27:27" s="837" customFormat="1" x14ac:dyDescent="0.3">
      <c r="AA1583" s="871"/>
    </row>
    <row r="1584" spans="27:27" s="837" customFormat="1" x14ac:dyDescent="0.3">
      <c r="AA1584" s="871"/>
    </row>
    <row r="1585" spans="27:27" s="837" customFormat="1" x14ac:dyDescent="0.3">
      <c r="AA1585" s="871"/>
    </row>
    <row r="1586" spans="27:27" s="837" customFormat="1" x14ac:dyDescent="0.3">
      <c r="AA1586" s="871"/>
    </row>
    <row r="1587" spans="27:27" s="837" customFormat="1" x14ac:dyDescent="0.3">
      <c r="AA1587" s="871"/>
    </row>
    <row r="1588" spans="27:27" s="837" customFormat="1" x14ac:dyDescent="0.3">
      <c r="AA1588" s="871"/>
    </row>
    <row r="1589" spans="27:27" s="837" customFormat="1" x14ac:dyDescent="0.3">
      <c r="AA1589" s="871"/>
    </row>
    <row r="1590" spans="27:27" s="837" customFormat="1" x14ac:dyDescent="0.3">
      <c r="AA1590" s="871"/>
    </row>
    <row r="1591" spans="27:27" s="837" customFormat="1" x14ac:dyDescent="0.3">
      <c r="AA1591" s="871"/>
    </row>
    <row r="1592" spans="27:27" s="837" customFormat="1" x14ac:dyDescent="0.3">
      <c r="AA1592" s="871"/>
    </row>
    <row r="1593" spans="27:27" s="837" customFormat="1" x14ac:dyDescent="0.3">
      <c r="AA1593" s="871"/>
    </row>
    <row r="1594" spans="27:27" s="837" customFormat="1" x14ac:dyDescent="0.3">
      <c r="AA1594" s="871"/>
    </row>
    <row r="1595" spans="27:27" s="837" customFormat="1" x14ac:dyDescent="0.3">
      <c r="AA1595" s="871"/>
    </row>
    <row r="1596" spans="27:27" s="837" customFormat="1" x14ac:dyDescent="0.3">
      <c r="AA1596" s="871"/>
    </row>
    <row r="1597" spans="27:27" s="837" customFormat="1" x14ac:dyDescent="0.3">
      <c r="AA1597" s="871"/>
    </row>
    <row r="1598" spans="27:27" s="837" customFormat="1" x14ac:dyDescent="0.3">
      <c r="AA1598" s="871"/>
    </row>
    <row r="1599" spans="27:27" s="837" customFormat="1" x14ac:dyDescent="0.3">
      <c r="AA1599" s="871"/>
    </row>
    <row r="1600" spans="27:27" s="837" customFormat="1" x14ac:dyDescent="0.3">
      <c r="AA1600" s="871"/>
    </row>
    <row r="1601" spans="27:27" s="837" customFormat="1" x14ac:dyDescent="0.3">
      <c r="AA1601" s="871"/>
    </row>
    <row r="1602" spans="27:27" s="837" customFormat="1" x14ac:dyDescent="0.3">
      <c r="AA1602" s="871"/>
    </row>
    <row r="1603" spans="27:27" s="837" customFormat="1" x14ac:dyDescent="0.3">
      <c r="AA1603" s="871"/>
    </row>
    <row r="1604" spans="27:27" s="837" customFormat="1" x14ac:dyDescent="0.3">
      <c r="AA1604" s="871"/>
    </row>
    <row r="1605" spans="27:27" s="837" customFormat="1" x14ac:dyDescent="0.3">
      <c r="AA1605" s="871"/>
    </row>
    <row r="1606" spans="27:27" s="837" customFormat="1" x14ac:dyDescent="0.3">
      <c r="AA1606" s="871"/>
    </row>
    <row r="1607" spans="27:27" s="837" customFormat="1" x14ac:dyDescent="0.3">
      <c r="AA1607" s="871"/>
    </row>
    <row r="1608" spans="27:27" s="837" customFormat="1" x14ac:dyDescent="0.3">
      <c r="AA1608" s="871"/>
    </row>
    <row r="1609" spans="27:27" s="837" customFormat="1" x14ac:dyDescent="0.3">
      <c r="AA1609" s="871"/>
    </row>
    <row r="1610" spans="27:27" s="837" customFormat="1" x14ac:dyDescent="0.3">
      <c r="AA1610" s="871"/>
    </row>
    <row r="1611" spans="27:27" s="837" customFormat="1" x14ac:dyDescent="0.3">
      <c r="AA1611" s="871"/>
    </row>
    <row r="1612" spans="27:27" s="837" customFormat="1" x14ac:dyDescent="0.3">
      <c r="AA1612" s="871"/>
    </row>
    <row r="1613" spans="27:27" s="837" customFormat="1" x14ac:dyDescent="0.3">
      <c r="AA1613" s="871"/>
    </row>
    <row r="1614" spans="27:27" s="837" customFormat="1" x14ac:dyDescent="0.3">
      <c r="AA1614" s="871"/>
    </row>
    <row r="1615" spans="27:27" s="837" customFormat="1" x14ac:dyDescent="0.3">
      <c r="AA1615" s="871"/>
    </row>
    <row r="1616" spans="27:27" s="837" customFormat="1" x14ac:dyDescent="0.3">
      <c r="AA1616" s="871"/>
    </row>
    <row r="1617" spans="27:27" s="837" customFormat="1" x14ac:dyDescent="0.3">
      <c r="AA1617" s="871"/>
    </row>
    <row r="1618" spans="27:27" s="837" customFormat="1" x14ac:dyDescent="0.3">
      <c r="AA1618" s="871"/>
    </row>
    <row r="1619" spans="27:27" s="837" customFormat="1" x14ac:dyDescent="0.3">
      <c r="AA1619" s="871"/>
    </row>
    <row r="1620" spans="27:27" s="837" customFormat="1" x14ac:dyDescent="0.3">
      <c r="AA1620" s="871"/>
    </row>
    <row r="1621" spans="27:27" s="837" customFormat="1" x14ac:dyDescent="0.3">
      <c r="AA1621" s="871"/>
    </row>
    <row r="1622" spans="27:27" s="837" customFormat="1" x14ac:dyDescent="0.3">
      <c r="AA1622" s="871"/>
    </row>
    <row r="1623" spans="27:27" s="837" customFormat="1" x14ac:dyDescent="0.3">
      <c r="AA1623" s="871"/>
    </row>
    <row r="1624" spans="27:27" s="837" customFormat="1" x14ac:dyDescent="0.3">
      <c r="AA1624" s="871"/>
    </row>
    <row r="1625" spans="27:27" s="837" customFormat="1" x14ac:dyDescent="0.3">
      <c r="AA1625" s="871"/>
    </row>
    <row r="1626" spans="27:27" s="837" customFormat="1" x14ac:dyDescent="0.3">
      <c r="AA1626" s="871"/>
    </row>
    <row r="1627" spans="27:27" s="837" customFormat="1" x14ac:dyDescent="0.3">
      <c r="AA1627" s="871"/>
    </row>
    <row r="1628" spans="27:27" s="837" customFormat="1" x14ac:dyDescent="0.3">
      <c r="AA1628" s="871"/>
    </row>
    <row r="1629" spans="27:27" s="837" customFormat="1" x14ac:dyDescent="0.3">
      <c r="AA1629" s="871"/>
    </row>
    <row r="1630" spans="27:27" s="837" customFormat="1" x14ac:dyDescent="0.3">
      <c r="AA1630" s="871"/>
    </row>
    <row r="1631" spans="27:27" s="837" customFormat="1" x14ac:dyDescent="0.3">
      <c r="AA1631" s="871"/>
    </row>
    <row r="1632" spans="27:27" s="837" customFormat="1" x14ac:dyDescent="0.3">
      <c r="AA1632" s="871"/>
    </row>
    <row r="1633" spans="27:27" s="837" customFormat="1" x14ac:dyDescent="0.3">
      <c r="AA1633" s="871"/>
    </row>
    <row r="1634" spans="27:27" s="837" customFormat="1" x14ac:dyDescent="0.3">
      <c r="AA1634" s="871"/>
    </row>
    <row r="1635" spans="27:27" s="837" customFormat="1" x14ac:dyDescent="0.3">
      <c r="AA1635" s="871"/>
    </row>
    <row r="1636" spans="27:27" s="837" customFormat="1" x14ac:dyDescent="0.3">
      <c r="AA1636" s="871"/>
    </row>
    <row r="1637" spans="27:27" s="837" customFormat="1" x14ac:dyDescent="0.3">
      <c r="AA1637" s="871"/>
    </row>
    <row r="1638" spans="27:27" s="837" customFormat="1" x14ac:dyDescent="0.3">
      <c r="AA1638" s="871"/>
    </row>
    <row r="1639" spans="27:27" s="837" customFormat="1" x14ac:dyDescent="0.3">
      <c r="AA1639" s="871"/>
    </row>
    <row r="1640" spans="27:27" s="837" customFormat="1" x14ac:dyDescent="0.3">
      <c r="AA1640" s="871"/>
    </row>
    <row r="1641" spans="27:27" s="837" customFormat="1" x14ac:dyDescent="0.3">
      <c r="AA1641" s="871"/>
    </row>
    <row r="1642" spans="27:27" s="837" customFormat="1" x14ac:dyDescent="0.3">
      <c r="AA1642" s="871"/>
    </row>
    <row r="1643" spans="27:27" s="837" customFormat="1" x14ac:dyDescent="0.3">
      <c r="AA1643" s="871"/>
    </row>
    <row r="1644" spans="27:27" s="837" customFormat="1" x14ac:dyDescent="0.3">
      <c r="AA1644" s="871"/>
    </row>
    <row r="1645" spans="27:27" s="837" customFormat="1" x14ac:dyDescent="0.3">
      <c r="AA1645" s="871"/>
    </row>
    <row r="1646" spans="27:27" s="837" customFormat="1" x14ac:dyDescent="0.3">
      <c r="AA1646" s="871"/>
    </row>
    <row r="1647" spans="27:27" s="837" customFormat="1" x14ac:dyDescent="0.3">
      <c r="AA1647" s="871"/>
    </row>
    <row r="1648" spans="27:27" s="837" customFormat="1" x14ac:dyDescent="0.3">
      <c r="AA1648" s="871"/>
    </row>
    <row r="1649" spans="27:27" s="837" customFormat="1" x14ac:dyDescent="0.3">
      <c r="AA1649" s="871"/>
    </row>
    <row r="1650" spans="27:27" s="837" customFormat="1" x14ac:dyDescent="0.3">
      <c r="AA1650" s="871"/>
    </row>
    <row r="1651" spans="27:27" s="837" customFormat="1" x14ac:dyDescent="0.3">
      <c r="AA1651" s="871"/>
    </row>
    <row r="1652" spans="27:27" s="837" customFormat="1" x14ac:dyDescent="0.3">
      <c r="AA1652" s="871"/>
    </row>
    <row r="1653" spans="27:27" s="837" customFormat="1" x14ac:dyDescent="0.3">
      <c r="AA1653" s="871"/>
    </row>
    <row r="1654" spans="27:27" s="837" customFormat="1" x14ac:dyDescent="0.3">
      <c r="AA1654" s="871"/>
    </row>
    <row r="1655" spans="27:27" s="837" customFormat="1" x14ac:dyDescent="0.3">
      <c r="AA1655" s="871"/>
    </row>
    <row r="1656" spans="27:27" s="837" customFormat="1" x14ac:dyDescent="0.3">
      <c r="AA1656" s="871"/>
    </row>
    <row r="1657" spans="27:27" s="837" customFormat="1" x14ac:dyDescent="0.3">
      <c r="AA1657" s="871"/>
    </row>
    <row r="1658" spans="27:27" s="837" customFormat="1" x14ac:dyDescent="0.3">
      <c r="AA1658" s="871"/>
    </row>
    <row r="1659" spans="27:27" s="837" customFormat="1" x14ac:dyDescent="0.3">
      <c r="AA1659" s="871"/>
    </row>
    <row r="1660" spans="27:27" s="837" customFormat="1" x14ac:dyDescent="0.3">
      <c r="AA1660" s="871"/>
    </row>
    <row r="1661" spans="27:27" s="837" customFormat="1" x14ac:dyDescent="0.3">
      <c r="AA1661" s="871"/>
    </row>
    <row r="1662" spans="27:27" s="837" customFormat="1" x14ac:dyDescent="0.3">
      <c r="AA1662" s="871"/>
    </row>
    <row r="1663" spans="27:27" s="837" customFormat="1" x14ac:dyDescent="0.3">
      <c r="AA1663" s="871"/>
    </row>
    <row r="1664" spans="27:27" s="837" customFormat="1" x14ac:dyDescent="0.3">
      <c r="AA1664" s="871"/>
    </row>
    <row r="1665" spans="27:27" s="837" customFormat="1" x14ac:dyDescent="0.3">
      <c r="AA1665" s="871"/>
    </row>
    <row r="1666" spans="27:27" s="837" customFormat="1" x14ac:dyDescent="0.3">
      <c r="AA1666" s="871"/>
    </row>
    <row r="1667" spans="27:27" s="837" customFormat="1" x14ac:dyDescent="0.3">
      <c r="AA1667" s="871"/>
    </row>
    <row r="1668" spans="27:27" s="837" customFormat="1" x14ac:dyDescent="0.3">
      <c r="AA1668" s="871"/>
    </row>
    <row r="1669" spans="27:27" s="837" customFormat="1" x14ac:dyDescent="0.3">
      <c r="AA1669" s="871"/>
    </row>
    <row r="1670" spans="27:27" s="837" customFormat="1" x14ac:dyDescent="0.3">
      <c r="AA1670" s="871"/>
    </row>
    <row r="1671" spans="27:27" s="837" customFormat="1" x14ac:dyDescent="0.3">
      <c r="AA1671" s="871"/>
    </row>
    <row r="1672" spans="27:27" s="837" customFormat="1" x14ac:dyDescent="0.3">
      <c r="AA1672" s="871"/>
    </row>
    <row r="1673" spans="27:27" s="837" customFormat="1" x14ac:dyDescent="0.3">
      <c r="AA1673" s="871"/>
    </row>
    <row r="1674" spans="27:27" s="837" customFormat="1" x14ac:dyDescent="0.3">
      <c r="AA1674" s="871"/>
    </row>
    <row r="1675" spans="27:27" s="837" customFormat="1" x14ac:dyDescent="0.3">
      <c r="AA1675" s="871"/>
    </row>
    <row r="1676" spans="27:27" s="837" customFormat="1" x14ac:dyDescent="0.3">
      <c r="AA1676" s="871"/>
    </row>
    <row r="1677" spans="27:27" s="837" customFormat="1" x14ac:dyDescent="0.3">
      <c r="AA1677" s="871"/>
    </row>
    <row r="1678" spans="27:27" s="837" customFormat="1" x14ac:dyDescent="0.3">
      <c r="AA1678" s="871"/>
    </row>
    <row r="1679" spans="27:27" s="837" customFormat="1" x14ac:dyDescent="0.3">
      <c r="AA1679" s="871"/>
    </row>
    <row r="1680" spans="27:27" s="837" customFormat="1" x14ac:dyDescent="0.3">
      <c r="AA1680" s="871"/>
    </row>
    <row r="1681" spans="27:27" s="837" customFormat="1" x14ac:dyDescent="0.3">
      <c r="AA1681" s="871"/>
    </row>
    <row r="1682" spans="27:27" s="837" customFormat="1" x14ac:dyDescent="0.3">
      <c r="AA1682" s="871"/>
    </row>
    <row r="1683" spans="27:27" s="837" customFormat="1" x14ac:dyDescent="0.3">
      <c r="AA1683" s="871"/>
    </row>
    <row r="1684" spans="27:27" s="837" customFormat="1" x14ac:dyDescent="0.3">
      <c r="AA1684" s="871"/>
    </row>
    <row r="1685" spans="27:27" s="837" customFormat="1" x14ac:dyDescent="0.3">
      <c r="AA1685" s="871"/>
    </row>
    <row r="1686" spans="27:27" s="837" customFormat="1" x14ac:dyDescent="0.3">
      <c r="AA1686" s="871"/>
    </row>
    <row r="1687" spans="27:27" s="837" customFormat="1" x14ac:dyDescent="0.3">
      <c r="AA1687" s="871"/>
    </row>
    <row r="1688" spans="27:27" s="837" customFormat="1" x14ac:dyDescent="0.3">
      <c r="AA1688" s="871"/>
    </row>
    <row r="1689" spans="27:27" s="837" customFormat="1" x14ac:dyDescent="0.3">
      <c r="AA1689" s="871"/>
    </row>
    <row r="1690" spans="27:27" s="837" customFormat="1" x14ac:dyDescent="0.3">
      <c r="AA1690" s="871"/>
    </row>
    <row r="1691" spans="27:27" s="837" customFormat="1" x14ac:dyDescent="0.3">
      <c r="AA1691" s="871"/>
    </row>
    <row r="1692" spans="27:27" s="837" customFormat="1" x14ac:dyDescent="0.3">
      <c r="AA1692" s="871"/>
    </row>
    <row r="1693" spans="27:27" s="837" customFormat="1" x14ac:dyDescent="0.3">
      <c r="AA1693" s="871"/>
    </row>
    <row r="1694" spans="27:27" s="837" customFormat="1" x14ac:dyDescent="0.3">
      <c r="AA1694" s="871"/>
    </row>
    <row r="1695" spans="27:27" s="837" customFormat="1" x14ac:dyDescent="0.3">
      <c r="AA1695" s="871"/>
    </row>
    <row r="1696" spans="27:27" s="837" customFormat="1" x14ac:dyDescent="0.3">
      <c r="AA1696" s="871"/>
    </row>
    <row r="1697" spans="27:27" s="837" customFormat="1" x14ac:dyDescent="0.3">
      <c r="AA1697" s="871"/>
    </row>
    <row r="1698" spans="27:27" s="837" customFormat="1" x14ac:dyDescent="0.3">
      <c r="AA1698" s="871"/>
    </row>
    <row r="1699" spans="27:27" s="837" customFormat="1" x14ac:dyDescent="0.3">
      <c r="AA1699" s="871"/>
    </row>
    <row r="1700" spans="27:27" s="837" customFormat="1" x14ac:dyDescent="0.3">
      <c r="AA1700" s="871"/>
    </row>
    <row r="1701" spans="27:27" s="837" customFormat="1" x14ac:dyDescent="0.3">
      <c r="AA1701" s="871"/>
    </row>
    <row r="1702" spans="27:27" s="837" customFormat="1" x14ac:dyDescent="0.3">
      <c r="AA1702" s="871"/>
    </row>
    <row r="1703" spans="27:27" s="837" customFormat="1" x14ac:dyDescent="0.3">
      <c r="AA1703" s="871"/>
    </row>
    <row r="1704" spans="27:27" s="837" customFormat="1" x14ac:dyDescent="0.3">
      <c r="AA1704" s="871"/>
    </row>
    <row r="1705" spans="27:27" s="837" customFormat="1" x14ac:dyDescent="0.3">
      <c r="AA1705" s="871"/>
    </row>
    <row r="1706" spans="27:27" s="837" customFormat="1" x14ac:dyDescent="0.3">
      <c r="AA1706" s="871"/>
    </row>
    <row r="1707" spans="27:27" s="837" customFormat="1" x14ac:dyDescent="0.3">
      <c r="AA1707" s="871"/>
    </row>
    <row r="1708" spans="27:27" s="837" customFormat="1" x14ac:dyDescent="0.3">
      <c r="AA1708" s="871"/>
    </row>
    <row r="1709" spans="27:27" s="837" customFormat="1" x14ac:dyDescent="0.3">
      <c r="AA1709" s="871"/>
    </row>
    <row r="1710" spans="27:27" s="837" customFormat="1" x14ac:dyDescent="0.3">
      <c r="AA1710" s="871"/>
    </row>
    <row r="1711" spans="27:27" s="837" customFormat="1" x14ac:dyDescent="0.3">
      <c r="AA1711" s="871"/>
    </row>
    <row r="1712" spans="27:27" s="837" customFormat="1" x14ac:dyDescent="0.3">
      <c r="AA1712" s="871"/>
    </row>
    <row r="1713" spans="27:27" s="837" customFormat="1" x14ac:dyDescent="0.3">
      <c r="AA1713" s="871"/>
    </row>
    <row r="1714" spans="27:27" s="837" customFormat="1" x14ac:dyDescent="0.3">
      <c r="AA1714" s="871"/>
    </row>
    <row r="1715" spans="27:27" s="837" customFormat="1" x14ac:dyDescent="0.3">
      <c r="AA1715" s="871"/>
    </row>
    <row r="1716" spans="27:27" s="837" customFormat="1" x14ac:dyDescent="0.3">
      <c r="AA1716" s="871"/>
    </row>
    <row r="1717" spans="27:27" s="837" customFormat="1" x14ac:dyDescent="0.3">
      <c r="AA1717" s="871"/>
    </row>
    <row r="1718" spans="27:27" s="837" customFormat="1" x14ac:dyDescent="0.3">
      <c r="AA1718" s="871"/>
    </row>
    <row r="1719" spans="27:27" s="837" customFormat="1" x14ac:dyDescent="0.3">
      <c r="AA1719" s="871"/>
    </row>
    <row r="1720" spans="27:27" s="837" customFormat="1" x14ac:dyDescent="0.3">
      <c r="AA1720" s="871"/>
    </row>
    <row r="1721" spans="27:27" s="837" customFormat="1" x14ac:dyDescent="0.3">
      <c r="AA1721" s="871"/>
    </row>
    <row r="1722" spans="27:27" s="837" customFormat="1" x14ac:dyDescent="0.3">
      <c r="AA1722" s="871"/>
    </row>
    <row r="1723" spans="27:27" s="837" customFormat="1" x14ac:dyDescent="0.3">
      <c r="AA1723" s="871"/>
    </row>
    <row r="1724" spans="27:27" s="837" customFormat="1" x14ac:dyDescent="0.3">
      <c r="AA1724" s="871"/>
    </row>
    <row r="1725" spans="27:27" s="837" customFormat="1" x14ac:dyDescent="0.3">
      <c r="AA1725" s="871"/>
    </row>
    <row r="1726" spans="27:27" s="837" customFormat="1" x14ac:dyDescent="0.3">
      <c r="AA1726" s="871"/>
    </row>
    <row r="1727" spans="27:27" s="837" customFormat="1" x14ac:dyDescent="0.3">
      <c r="AA1727" s="871"/>
    </row>
    <row r="1728" spans="27:27" s="837" customFormat="1" x14ac:dyDescent="0.3">
      <c r="AA1728" s="871"/>
    </row>
    <row r="1729" spans="27:27" s="837" customFormat="1" x14ac:dyDescent="0.3">
      <c r="AA1729" s="871"/>
    </row>
    <row r="1730" spans="27:27" s="837" customFormat="1" x14ac:dyDescent="0.3">
      <c r="AA1730" s="871"/>
    </row>
    <row r="1731" spans="27:27" s="837" customFormat="1" x14ac:dyDescent="0.3">
      <c r="AA1731" s="871"/>
    </row>
    <row r="1732" spans="27:27" s="837" customFormat="1" x14ac:dyDescent="0.3">
      <c r="AA1732" s="871"/>
    </row>
    <row r="1733" spans="27:27" s="837" customFormat="1" x14ac:dyDescent="0.3">
      <c r="AA1733" s="871"/>
    </row>
    <row r="1734" spans="27:27" s="837" customFormat="1" x14ac:dyDescent="0.3">
      <c r="AA1734" s="871"/>
    </row>
    <row r="1735" spans="27:27" s="837" customFormat="1" x14ac:dyDescent="0.3">
      <c r="AA1735" s="871"/>
    </row>
    <row r="1736" spans="27:27" s="837" customFormat="1" x14ac:dyDescent="0.3">
      <c r="AA1736" s="871"/>
    </row>
    <row r="1737" spans="27:27" s="837" customFormat="1" x14ac:dyDescent="0.3">
      <c r="AA1737" s="871"/>
    </row>
    <row r="1738" spans="27:27" s="837" customFormat="1" x14ac:dyDescent="0.3">
      <c r="AA1738" s="871"/>
    </row>
    <row r="1739" spans="27:27" s="837" customFormat="1" x14ac:dyDescent="0.3">
      <c r="AA1739" s="871"/>
    </row>
    <row r="1740" spans="27:27" s="837" customFormat="1" x14ac:dyDescent="0.3">
      <c r="AA1740" s="871"/>
    </row>
    <row r="1741" spans="27:27" s="837" customFormat="1" x14ac:dyDescent="0.3">
      <c r="AA1741" s="871"/>
    </row>
    <row r="1742" spans="27:27" s="837" customFormat="1" x14ac:dyDescent="0.3">
      <c r="AA1742" s="871"/>
    </row>
    <row r="1743" spans="27:27" s="837" customFormat="1" x14ac:dyDescent="0.3">
      <c r="AA1743" s="871"/>
    </row>
    <row r="1744" spans="27:27" s="837" customFormat="1" x14ac:dyDescent="0.3">
      <c r="AA1744" s="871"/>
    </row>
    <row r="1745" spans="27:27" s="837" customFormat="1" x14ac:dyDescent="0.3">
      <c r="AA1745" s="871"/>
    </row>
    <row r="1746" spans="27:27" s="837" customFormat="1" x14ac:dyDescent="0.3">
      <c r="AA1746" s="871"/>
    </row>
    <row r="1747" spans="27:27" s="837" customFormat="1" x14ac:dyDescent="0.3">
      <c r="AA1747" s="871"/>
    </row>
    <row r="1748" spans="27:27" s="837" customFormat="1" x14ac:dyDescent="0.3">
      <c r="AA1748" s="871"/>
    </row>
    <row r="1749" spans="27:27" s="837" customFormat="1" x14ac:dyDescent="0.3">
      <c r="AA1749" s="871"/>
    </row>
    <row r="1750" spans="27:27" s="837" customFormat="1" x14ac:dyDescent="0.3">
      <c r="AA1750" s="871"/>
    </row>
    <row r="1751" spans="27:27" s="837" customFormat="1" x14ac:dyDescent="0.3">
      <c r="AA1751" s="871"/>
    </row>
    <row r="1752" spans="27:27" s="837" customFormat="1" x14ac:dyDescent="0.3">
      <c r="AA1752" s="871"/>
    </row>
    <row r="1753" spans="27:27" s="837" customFormat="1" x14ac:dyDescent="0.3">
      <c r="AA1753" s="871"/>
    </row>
    <row r="1754" spans="27:27" s="837" customFormat="1" x14ac:dyDescent="0.3">
      <c r="AA1754" s="871"/>
    </row>
    <row r="1755" spans="27:27" s="837" customFormat="1" x14ac:dyDescent="0.3">
      <c r="AA1755" s="871"/>
    </row>
    <row r="1756" spans="27:27" s="837" customFormat="1" x14ac:dyDescent="0.3">
      <c r="AA1756" s="871"/>
    </row>
    <row r="1757" spans="27:27" s="837" customFormat="1" x14ac:dyDescent="0.3">
      <c r="AA1757" s="871"/>
    </row>
    <row r="1758" spans="27:27" s="837" customFormat="1" x14ac:dyDescent="0.3">
      <c r="AA1758" s="871"/>
    </row>
    <row r="1759" spans="27:27" s="837" customFormat="1" x14ac:dyDescent="0.3">
      <c r="AA1759" s="871"/>
    </row>
    <row r="1760" spans="27:27" s="837" customFormat="1" x14ac:dyDescent="0.3">
      <c r="AA1760" s="871"/>
    </row>
    <row r="1761" spans="27:27" s="837" customFormat="1" x14ac:dyDescent="0.3">
      <c r="AA1761" s="871"/>
    </row>
    <row r="1762" spans="27:27" s="837" customFormat="1" x14ac:dyDescent="0.3">
      <c r="AA1762" s="871"/>
    </row>
    <row r="1763" spans="27:27" s="837" customFormat="1" x14ac:dyDescent="0.3">
      <c r="AA1763" s="871"/>
    </row>
    <row r="1764" spans="27:27" s="837" customFormat="1" x14ac:dyDescent="0.3">
      <c r="AA1764" s="871"/>
    </row>
    <row r="1765" spans="27:27" s="837" customFormat="1" x14ac:dyDescent="0.3">
      <c r="AA1765" s="871"/>
    </row>
    <row r="1766" spans="27:27" s="837" customFormat="1" x14ac:dyDescent="0.3">
      <c r="AA1766" s="871"/>
    </row>
    <row r="1767" spans="27:27" s="837" customFormat="1" x14ac:dyDescent="0.3">
      <c r="AA1767" s="871"/>
    </row>
    <row r="1768" spans="27:27" s="837" customFormat="1" x14ac:dyDescent="0.3">
      <c r="AA1768" s="871"/>
    </row>
    <row r="1769" spans="27:27" s="837" customFormat="1" x14ac:dyDescent="0.3">
      <c r="AA1769" s="871"/>
    </row>
    <row r="1770" spans="27:27" s="837" customFormat="1" x14ac:dyDescent="0.3">
      <c r="AA1770" s="871"/>
    </row>
    <row r="1771" spans="27:27" s="837" customFormat="1" x14ac:dyDescent="0.3">
      <c r="AA1771" s="871"/>
    </row>
    <row r="1772" spans="27:27" s="837" customFormat="1" x14ac:dyDescent="0.3">
      <c r="AA1772" s="871"/>
    </row>
    <row r="1773" spans="27:27" s="837" customFormat="1" x14ac:dyDescent="0.3">
      <c r="AA1773" s="871"/>
    </row>
    <row r="1774" spans="27:27" s="837" customFormat="1" x14ac:dyDescent="0.3">
      <c r="AA1774" s="871"/>
    </row>
    <row r="1775" spans="27:27" s="837" customFormat="1" x14ac:dyDescent="0.3">
      <c r="AA1775" s="871"/>
    </row>
    <row r="1776" spans="27:27" s="837" customFormat="1" x14ac:dyDescent="0.3">
      <c r="AA1776" s="871"/>
    </row>
    <row r="1777" spans="27:27" s="837" customFormat="1" x14ac:dyDescent="0.3">
      <c r="AA1777" s="871"/>
    </row>
    <row r="1778" spans="27:27" s="837" customFormat="1" x14ac:dyDescent="0.3">
      <c r="AA1778" s="871"/>
    </row>
    <row r="1779" spans="27:27" s="837" customFormat="1" x14ac:dyDescent="0.3">
      <c r="AA1779" s="871"/>
    </row>
    <row r="1780" spans="27:27" s="837" customFormat="1" x14ac:dyDescent="0.3">
      <c r="AA1780" s="871"/>
    </row>
    <row r="1781" spans="27:27" s="837" customFormat="1" x14ac:dyDescent="0.3">
      <c r="AA1781" s="871"/>
    </row>
    <row r="1782" spans="27:27" s="837" customFormat="1" x14ac:dyDescent="0.3">
      <c r="AA1782" s="871"/>
    </row>
    <row r="1783" spans="27:27" s="837" customFormat="1" x14ac:dyDescent="0.3">
      <c r="AA1783" s="871"/>
    </row>
    <row r="1784" spans="27:27" s="837" customFormat="1" x14ac:dyDescent="0.3">
      <c r="AA1784" s="871"/>
    </row>
    <row r="1785" spans="27:27" s="837" customFormat="1" x14ac:dyDescent="0.3">
      <c r="AA1785" s="871"/>
    </row>
    <row r="1786" spans="27:27" s="837" customFormat="1" x14ac:dyDescent="0.3">
      <c r="AA1786" s="871"/>
    </row>
    <row r="1787" spans="27:27" s="837" customFormat="1" x14ac:dyDescent="0.3">
      <c r="AA1787" s="871"/>
    </row>
    <row r="1788" spans="27:27" s="837" customFormat="1" x14ac:dyDescent="0.3">
      <c r="AA1788" s="871"/>
    </row>
    <row r="1789" spans="27:27" s="837" customFormat="1" x14ac:dyDescent="0.3">
      <c r="AA1789" s="871"/>
    </row>
    <row r="1790" spans="27:27" s="837" customFormat="1" x14ac:dyDescent="0.3">
      <c r="AA1790" s="871"/>
    </row>
    <row r="1791" spans="27:27" s="837" customFormat="1" x14ac:dyDescent="0.3">
      <c r="AA1791" s="871"/>
    </row>
    <row r="1792" spans="27:27" s="837" customFormat="1" x14ac:dyDescent="0.3">
      <c r="AA1792" s="871"/>
    </row>
    <row r="1793" spans="27:27" s="837" customFormat="1" x14ac:dyDescent="0.3">
      <c r="AA1793" s="871"/>
    </row>
    <row r="1794" spans="27:27" s="837" customFormat="1" x14ac:dyDescent="0.3">
      <c r="AA1794" s="871"/>
    </row>
    <row r="1795" spans="27:27" s="837" customFormat="1" x14ac:dyDescent="0.3">
      <c r="AA1795" s="871"/>
    </row>
    <row r="1796" spans="27:27" s="837" customFormat="1" x14ac:dyDescent="0.3">
      <c r="AA1796" s="871"/>
    </row>
    <row r="1797" spans="27:27" s="837" customFormat="1" x14ac:dyDescent="0.3">
      <c r="AA1797" s="871"/>
    </row>
    <row r="1798" spans="27:27" s="837" customFormat="1" x14ac:dyDescent="0.3">
      <c r="AA1798" s="871"/>
    </row>
    <row r="1799" spans="27:27" s="837" customFormat="1" x14ac:dyDescent="0.3">
      <c r="AA1799" s="871"/>
    </row>
    <row r="1800" spans="27:27" s="837" customFormat="1" x14ac:dyDescent="0.3">
      <c r="AA1800" s="871"/>
    </row>
    <row r="1801" spans="27:27" s="837" customFormat="1" x14ac:dyDescent="0.3">
      <c r="AA1801" s="871"/>
    </row>
    <row r="1802" spans="27:27" s="837" customFormat="1" x14ac:dyDescent="0.3">
      <c r="AA1802" s="871"/>
    </row>
    <row r="1803" spans="27:27" s="837" customFormat="1" x14ac:dyDescent="0.3">
      <c r="AA1803" s="871"/>
    </row>
    <row r="1804" spans="27:27" s="837" customFormat="1" x14ac:dyDescent="0.3">
      <c r="AA1804" s="871"/>
    </row>
    <row r="1805" spans="27:27" s="837" customFormat="1" x14ac:dyDescent="0.3">
      <c r="AA1805" s="871"/>
    </row>
    <row r="1806" spans="27:27" s="837" customFormat="1" x14ac:dyDescent="0.3">
      <c r="AA1806" s="871"/>
    </row>
    <row r="1807" spans="27:27" s="837" customFormat="1" x14ac:dyDescent="0.3">
      <c r="AA1807" s="871"/>
    </row>
    <row r="1808" spans="27:27" s="837" customFormat="1" x14ac:dyDescent="0.3">
      <c r="AA1808" s="871"/>
    </row>
    <row r="1809" spans="27:27" s="837" customFormat="1" x14ac:dyDescent="0.3">
      <c r="AA1809" s="871"/>
    </row>
    <row r="1810" spans="27:27" s="837" customFormat="1" x14ac:dyDescent="0.3">
      <c r="AA1810" s="871"/>
    </row>
    <row r="1811" spans="27:27" s="837" customFormat="1" x14ac:dyDescent="0.3">
      <c r="AA1811" s="871"/>
    </row>
    <row r="1812" spans="27:27" s="837" customFormat="1" x14ac:dyDescent="0.3">
      <c r="AA1812" s="871"/>
    </row>
    <row r="1813" spans="27:27" s="837" customFormat="1" x14ac:dyDescent="0.3">
      <c r="AA1813" s="871"/>
    </row>
    <row r="1814" spans="27:27" s="837" customFormat="1" x14ac:dyDescent="0.3">
      <c r="AA1814" s="871"/>
    </row>
    <row r="1815" spans="27:27" s="837" customFormat="1" x14ac:dyDescent="0.3">
      <c r="AA1815" s="871"/>
    </row>
    <row r="1816" spans="27:27" s="837" customFormat="1" x14ac:dyDescent="0.3">
      <c r="AA1816" s="871"/>
    </row>
    <row r="1817" spans="27:27" s="837" customFormat="1" x14ac:dyDescent="0.3">
      <c r="AA1817" s="871"/>
    </row>
    <row r="1818" spans="27:27" s="837" customFormat="1" x14ac:dyDescent="0.3">
      <c r="AA1818" s="871"/>
    </row>
    <row r="1819" spans="27:27" s="837" customFormat="1" x14ac:dyDescent="0.3">
      <c r="AA1819" s="871"/>
    </row>
    <row r="1820" spans="27:27" s="837" customFormat="1" x14ac:dyDescent="0.3">
      <c r="AA1820" s="871"/>
    </row>
    <row r="1821" spans="27:27" s="837" customFormat="1" x14ac:dyDescent="0.3">
      <c r="AA1821" s="871"/>
    </row>
    <row r="1822" spans="27:27" s="837" customFormat="1" x14ac:dyDescent="0.3">
      <c r="AA1822" s="871"/>
    </row>
    <row r="1823" spans="27:27" s="837" customFormat="1" x14ac:dyDescent="0.3">
      <c r="AA1823" s="871"/>
    </row>
    <row r="1824" spans="27:27" s="837" customFormat="1" x14ac:dyDescent="0.3">
      <c r="AA1824" s="871"/>
    </row>
    <row r="1825" spans="27:27" s="837" customFormat="1" x14ac:dyDescent="0.3">
      <c r="AA1825" s="871"/>
    </row>
    <row r="1826" spans="27:27" s="837" customFormat="1" x14ac:dyDescent="0.3">
      <c r="AA1826" s="871"/>
    </row>
    <row r="1827" spans="27:27" s="837" customFormat="1" x14ac:dyDescent="0.3">
      <c r="AA1827" s="871"/>
    </row>
    <row r="1828" spans="27:27" s="837" customFormat="1" x14ac:dyDescent="0.3">
      <c r="AA1828" s="871"/>
    </row>
    <row r="1829" spans="27:27" s="837" customFormat="1" x14ac:dyDescent="0.3">
      <c r="AA1829" s="871"/>
    </row>
    <row r="1830" spans="27:27" s="837" customFormat="1" x14ac:dyDescent="0.3">
      <c r="AA1830" s="871"/>
    </row>
    <row r="1831" spans="27:27" s="837" customFormat="1" x14ac:dyDescent="0.3">
      <c r="AA1831" s="871"/>
    </row>
    <row r="1832" spans="27:27" s="837" customFormat="1" x14ac:dyDescent="0.3">
      <c r="AA1832" s="871"/>
    </row>
    <row r="1833" spans="27:27" s="837" customFormat="1" x14ac:dyDescent="0.3">
      <c r="AA1833" s="871"/>
    </row>
    <row r="1834" spans="27:27" s="837" customFormat="1" x14ac:dyDescent="0.3">
      <c r="AA1834" s="871"/>
    </row>
    <row r="1835" spans="27:27" s="837" customFormat="1" x14ac:dyDescent="0.3">
      <c r="AA1835" s="871"/>
    </row>
    <row r="1836" spans="27:27" s="837" customFormat="1" x14ac:dyDescent="0.3">
      <c r="AA1836" s="871"/>
    </row>
    <row r="1837" spans="27:27" s="837" customFormat="1" x14ac:dyDescent="0.3">
      <c r="AA1837" s="871"/>
    </row>
    <row r="1838" spans="27:27" s="837" customFormat="1" x14ac:dyDescent="0.3">
      <c r="AA1838" s="871"/>
    </row>
    <row r="1839" spans="27:27" s="837" customFormat="1" x14ac:dyDescent="0.3">
      <c r="AA1839" s="871"/>
    </row>
    <row r="1840" spans="27:27" s="837" customFormat="1" x14ac:dyDescent="0.3">
      <c r="AA1840" s="871"/>
    </row>
    <row r="1841" spans="27:27" s="837" customFormat="1" x14ac:dyDescent="0.3">
      <c r="AA1841" s="871"/>
    </row>
    <row r="1842" spans="27:27" s="837" customFormat="1" x14ac:dyDescent="0.3">
      <c r="AA1842" s="871"/>
    </row>
    <row r="1843" spans="27:27" s="837" customFormat="1" x14ac:dyDescent="0.3">
      <c r="AA1843" s="871"/>
    </row>
    <row r="1844" spans="27:27" s="837" customFormat="1" x14ac:dyDescent="0.3">
      <c r="AA1844" s="871"/>
    </row>
    <row r="1845" spans="27:27" s="837" customFormat="1" x14ac:dyDescent="0.3">
      <c r="AA1845" s="871"/>
    </row>
    <row r="1846" spans="27:27" s="837" customFormat="1" x14ac:dyDescent="0.3">
      <c r="AA1846" s="871"/>
    </row>
    <row r="1847" spans="27:27" s="837" customFormat="1" x14ac:dyDescent="0.3">
      <c r="AA1847" s="871"/>
    </row>
    <row r="1848" spans="27:27" s="837" customFormat="1" x14ac:dyDescent="0.3">
      <c r="AA1848" s="871"/>
    </row>
    <row r="1849" spans="27:27" s="837" customFormat="1" x14ac:dyDescent="0.3">
      <c r="AA1849" s="871"/>
    </row>
    <row r="1850" spans="27:27" s="837" customFormat="1" x14ac:dyDescent="0.3">
      <c r="AA1850" s="871"/>
    </row>
    <row r="1851" spans="27:27" s="837" customFormat="1" x14ac:dyDescent="0.3">
      <c r="AA1851" s="871"/>
    </row>
    <row r="1852" spans="27:27" s="837" customFormat="1" x14ac:dyDescent="0.3">
      <c r="AA1852" s="871"/>
    </row>
    <row r="1853" spans="27:27" s="837" customFormat="1" x14ac:dyDescent="0.3">
      <c r="AA1853" s="871"/>
    </row>
    <row r="1854" spans="27:27" s="837" customFormat="1" x14ac:dyDescent="0.3">
      <c r="AA1854" s="871"/>
    </row>
    <row r="1855" spans="27:27" s="837" customFormat="1" x14ac:dyDescent="0.3">
      <c r="AA1855" s="871"/>
    </row>
    <row r="1856" spans="27:27" s="837" customFormat="1" x14ac:dyDescent="0.3">
      <c r="AA1856" s="871"/>
    </row>
    <row r="1857" spans="27:27" s="837" customFormat="1" x14ac:dyDescent="0.3">
      <c r="AA1857" s="871"/>
    </row>
    <row r="1858" spans="27:27" s="837" customFormat="1" x14ac:dyDescent="0.3">
      <c r="AA1858" s="871"/>
    </row>
    <row r="1859" spans="27:27" s="837" customFormat="1" x14ac:dyDescent="0.3">
      <c r="AA1859" s="871"/>
    </row>
    <row r="1860" spans="27:27" s="837" customFormat="1" x14ac:dyDescent="0.3">
      <c r="AA1860" s="871"/>
    </row>
    <row r="1861" spans="27:27" s="837" customFormat="1" x14ac:dyDescent="0.3">
      <c r="AA1861" s="871"/>
    </row>
    <row r="1862" spans="27:27" s="837" customFormat="1" x14ac:dyDescent="0.3">
      <c r="AA1862" s="871"/>
    </row>
    <row r="1863" spans="27:27" s="837" customFormat="1" x14ac:dyDescent="0.3">
      <c r="AA1863" s="871"/>
    </row>
    <row r="1864" spans="27:27" s="837" customFormat="1" x14ac:dyDescent="0.3">
      <c r="AA1864" s="871"/>
    </row>
    <row r="1865" spans="27:27" s="837" customFormat="1" x14ac:dyDescent="0.3">
      <c r="AA1865" s="871"/>
    </row>
    <row r="1866" spans="27:27" s="837" customFormat="1" x14ac:dyDescent="0.3">
      <c r="AA1866" s="871"/>
    </row>
    <row r="1867" spans="27:27" s="837" customFormat="1" x14ac:dyDescent="0.3">
      <c r="AA1867" s="871"/>
    </row>
    <row r="1868" spans="27:27" s="837" customFormat="1" x14ac:dyDescent="0.3">
      <c r="AA1868" s="871"/>
    </row>
    <row r="1869" spans="27:27" s="837" customFormat="1" x14ac:dyDescent="0.3">
      <c r="AA1869" s="871"/>
    </row>
    <row r="1870" spans="27:27" s="837" customFormat="1" x14ac:dyDescent="0.3">
      <c r="AA1870" s="871"/>
    </row>
    <row r="1871" spans="27:27" s="837" customFormat="1" x14ac:dyDescent="0.3">
      <c r="AA1871" s="871"/>
    </row>
    <row r="1872" spans="27:27" s="837" customFormat="1" x14ac:dyDescent="0.3">
      <c r="AA1872" s="871"/>
    </row>
    <row r="1873" spans="27:27" s="837" customFormat="1" x14ac:dyDescent="0.3">
      <c r="AA1873" s="871"/>
    </row>
    <row r="1874" spans="27:27" s="837" customFormat="1" x14ac:dyDescent="0.3">
      <c r="AA1874" s="871"/>
    </row>
    <row r="1875" spans="27:27" s="837" customFormat="1" x14ac:dyDescent="0.3">
      <c r="AA1875" s="871"/>
    </row>
    <row r="1876" spans="27:27" s="837" customFormat="1" x14ac:dyDescent="0.3">
      <c r="AA1876" s="871"/>
    </row>
    <row r="1877" spans="27:27" s="837" customFormat="1" x14ac:dyDescent="0.3">
      <c r="AA1877" s="871"/>
    </row>
    <row r="1878" spans="27:27" s="837" customFormat="1" x14ac:dyDescent="0.3">
      <c r="AA1878" s="871"/>
    </row>
    <row r="1879" spans="27:27" s="837" customFormat="1" x14ac:dyDescent="0.3">
      <c r="AA1879" s="871"/>
    </row>
    <row r="1880" spans="27:27" s="837" customFormat="1" x14ac:dyDescent="0.3">
      <c r="AA1880" s="871"/>
    </row>
    <row r="1881" spans="27:27" s="837" customFormat="1" x14ac:dyDescent="0.3">
      <c r="AA1881" s="871"/>
    </row>
    <row r="1882" spans="27:27" s="837" customFormat="1" x14ac:dyDescent="0.3">
      <c r="AA1882" s="871"/>
    </row>
    <row r="1883" spans="27:27" s="837" customFormat="1" x14ac:dyDescent="0.3">
      <c r="AA1883" s="871"/>
    </row>
    <row r="1884" spans="27:27" s="837" customFormat="1" x14ac:dyDescent="0.3">
      <c r="AA1884" s="871"/>
    </row>
    <row r="1885" spans="27:27" s="837" customFormat="1" x14ac:dyDescent="0.3">
      <c r="AA1885" s="871"/>
    </row>
    <row r="1886" spans="27:27" s="837" customFormat="1" x14ac:dyDescent="0.3">
      <c r="AA1886" s="871"/>
    </row>
    <row r="1887" spans="27:27" s="837" customFormat="1" x14ac:dyDescent="0.3">
      <c r="AA1887" s="871"/>
    </row>
    <row r="1888" spans="27:27" s="837" customFormat="1" x14ac:dyDescent="0.3">
      <c r="AA1888" s="871"/>
    </row>
    <row r="1889" spans="27:27" s="837" customFormat="1" x14ac:dyDescent="0.3">
      <c r="AA1889" s="871"/>
    </row>
    <row r="1890" spans="27:27" s="837" customFormat="1" x14ac:dyDescent="0.3">
      <c r="AA1890" s="871"/>
    </row>
    <row r="1891" spans="27:27" s="837" customFormat="1" x14ac:dyDescent="0.3">
      <c r="AA1891" s="871"/>
    </row>
    <row r="1892" spans="27:27" s="837" customFormat="1" x14ac:dyDescent="0.3">
      <c r="AA1892" s="871"/>
    </row>
    <row r="1893" spans="27:27" s="837" customFormat="1" x14ac:dyDescent="0.3">
      <c r="AA1893" s="871"/>
    </row>
    <row r="1894" spans="27:27" s="837" customFormat="1" x14ac:dyDescent="0.3">
      <c r="AA1894" s="871"/>
    </row>
    <row r="1895" spans="27:27" s="837" customFormat="1" x14ac:dyDescent="0.3">
      <c r="AA1895" s="871"/>
    </row>
    <row r="1896" spans="27:27" s="837" customFormat="1" x14ac:dyDescent="0.3">
      <c r="AA1896" s="871"/>
    </row>
    <row r="1897" spans="27:27" s="837" customFormat="1" x14ac:dyDescent="0.3">
      <c r="AA1897" s="871"/>
    </row>
    <row r="1898" spans="27:27" s="837" customFormat="1" x14ac:dyDescent="0.3">
      <c r="AA1898" s="871"/>
    </row>
    <row r="1899" spans="27:27" s="837" customFormat="1" x14ac:dyDescent="0.3">
      <c r="AA1899" s="871"/>
    </row>
    <row r="1900" spans="27:27" s="837" customFormat="1" x14ac:dyDescent="0.3">
      <c r="AA1900" s="871"/>
    </row>
    <row r="1901" spans="27:27" s="837" customFormat="1" x14ac:dyDescent="0.3">
      <c r="AA1901" s="871"/>
    </row>
    <row r="1902" spans="27:27" s="837" customFormat="1" x14ac:dyDescent="0.3">
      <c r="AA1902" s="871"/>
    </row>
    <row r="1903" spans="27:27" s="837" customFormat="1" x14ac:dyDescent="0.3">
      <c r="AA1903" s="871"/>
    </row>
    <row r="1904" spans="27:27" s="837" customFormat="1" x14ac:dyDescent="0.3">
      <c r="AA1904" s="871"/>
    </row>
    <row r="1905" spans="27:27" s="837" customFormat="1" x14ac:dyDescent="0.3">
      <c r="AA1905" s="871"/>
    </row>
    <row r="1906" spans="27:27" s="837" customFormat="1" x14ac:dyDescent="0.3">
      <c r="AA1906" s="871"/>
    </row>
    <row r="1907" spans="27:27" s="837" customFormat="1" x14ac:dyDescent="0.3">
      <c r="AA1907" s="871"/>
    </row>
    <row r="1908" spans="27:27" s="837" customFormat="1" x14ac:dyDescent="0.3">
      <c r="AA1908" s="871"/>
    </row>
    <row r="1909" spans="27:27" s="837" customFormat="1" x14ac:dyDescent="0.3">
      <c r="AA1909" s="871"/>
    </row>
    <row r="1910" spans="27:27" s="837" customFormat="1" x14ac:dyDescent="0.3">
      <c r="AA1910" s="871"/>
    </row>
    <row r="1911" spans="27:27" s="837" customFormat="1" x14ac:dyDescent="0.3">
      <c r="AA1911" s="871"/>
    </row>
    <row r="1912" spans="27:27" s="837" customFormat="1" x14ac:dyDescent="0.3">
      <c r="AA1912" s="871"/>
    </row>
    <row r="1913" spans="27:27" s="837" customFormat="1" x14ac:dyDescent="0.3">
      <c r="AA1913" s="871"/>
    </row>
    <row r="1914" spans="27:27" s="837" customFormat="1" x14ac:dyDescent="0.3">
      <c r="AA1914" s="871"/>
    </row>
    <row r="1915" spans="27:27" s="837" customFormat="1" x14ac:dyDescent="0.3">
      <c r="AA1915" s="871"/>
    </row>
    <row r="1916" spans="27:27" s="837" customFormat="1" x14ac:dyDescent="0.3">
      <c r="AA1916" s="871"/>
    </row>
    <row r="1917" spans="27:27" s="837" customFormat="1" x14ac:dyDescent="0.3">
      <c r="AA1917" s="871"/>
    </row>
    <row r="1918" spans="27:27" s="837" customFormat="1" x14ac:dyDescent="0.3">
      <c r="AA1918" s="871"/>
    </row>
    <row r="1919" spans="27:27" s="837" customFormat="1" x14ac:dyDescent="0.3">
      <c r="AA1919" s="871"/>
    </row>
    <row r="1920" spans="27:27" s="837" customFormat="1" x14ac:dyDescent="0.3">
      <c r="AA1920" s="871"/>
    </row>
    <row r="1921" spans="27:27" s="837" customFormat="1" x14ac:dyDescent="0.3">
      <c r="AA1921" s="871"/>
    </row>
    <row r="1922" spans="27:27" s="837" customFormat="1" x14ac:dyDescent="0.3">
      <c r="AA1922" s="871"/>
    </row>
    <row r="1923" spans="27:27" s="837" customFormat="1" x14ac:dyDescent="0.3">
      <c r="AA1923" s="871"/>
    </row>
    <row r="1924" spans="27:27" s="837" customFormat="1" x14ac:dyDescent="0.3">
      <c r="AA1924" s="871"/>
    </row>
    <row r="1925" spans="27:27" s="837" customFormat="1" x14ac:dyDescent="0.3">
      <c r="AA1925" s="871"/>
    </row>
    <row r="1926" spans="27:27" s="837" customFormat="1" x14ac:dyDescent="0.3">
      <c r="AA1926" s="871"/>
    </row>
    <row r="1927" spans="27:27" s="837" customFormat="1" x14ac:dyDescent="0.3">
      <c r="AA1927" s="871"/>
    </row>
    <row r="1928" spans="27:27" s="837" customFormat="1" x14ac:dyDescent="0.3">
      <c r="AA1928" s="871"/>
    </row>
    <row r="1929" spans="27:27" s="837" customFormat="1" x14ac:dyDescent="0.3">
      <c r="AA1929" s="871"/>
    </row>
    <row r="1930" spans="27:27" s="837" customFormat="1" x14ac:dyDescent="0.3">
      <c r="AA1930" s="871"/>
    </row>
    <row r="1931" spans="27:27" s="837" customFormat="1" x14ac:dyDescent="0.3">
      <c r="AA1931" s="871"/>
    </row>
    <row r="1932" spans="27:27" s="837" customFormat="1" x14ac:dyDescent="0.3">
      <c r="AA1932" s="871"/>
    </row>
    <row r="1933" spans="27:27" s="837" customFormat="1" x14ac:dyDescent="0.3">
      <c r="AA1933" s="871"/>
    </row>
    <row r="1934" spans="27:27" s="837" customFormat="1" x14ac:dyDescent="0.3">
      <c r="AA1934" s="871"/>
    </row>
    <row r="1935" spans="27:27" s="837" customFormat="1" x14ac:dyDescent="0.3">
      <c r="AA1935" s="871"/>
    </row>
    <row r="1936" spans="27:27" s="837" customFormat="1" x14ac:dyDescent="0.3">
      <c r="AA1936" s="871"/>
    </row>
    <row r="1937" spans="27:27" s="837" customFormat="1" x14ac:dyDescent="0.3">
      <c r="AA1937" s="871"/>
    </row>
    <row r="1938" spans="27:27" s="837" customFormat="1" x14ac:dyDescent="0.3">
      <c r="AA1938" s="871"/>
    </row>
    <row r="1939" spans="27:27" s="837" customFormat="1" x14ac:dyDescent="0.3">
      <c r="AA1939" s="871"/>
    </row>
    <row r="1940" spans="27:27" s="837" customFormat="1" x14ac:dyDescent="0.3">
      <c r="AA1940" s="871"/>
    </row>
    <row r="1941" spans="27:27" s="837" customFormat="1" x14ac:dyDescent="0.3">
      <c r="AA1941" s="871"/>
    </row>
    <row r="1942" spans="27:27" s="837" customFormat="1" x14ac:dyDescent="0.3">
      <c r="AA1942" s="871"/>
    </row>
    <row r="1943" spans="27:27" s="837" customFormat="1" x14ac:dyDescent="0.3">
      <c r="AA1943" s="871"/>
    </row>
    <row r="1944" spans="27:27" s="837" customFormat="1" x14ac:dyDescent="0.3">
      <c r="AA1944" s="871"/>
    </row>
    <row r="1945" spans="27:27" s="837" customFormat="1" x14ac:dyDescent="0.3">
      <c r="AA1945" s="871"/>
    </row>
    <row r="1946" spans="27:27" s="837" customFormat="1" x14ac:dyDescent="0.3">
      <c r="AA1946" s="871"/>
    </row>
    <row r="1947" spans="27:27" s="837" customFormat="1" x14ac:dyDescent="0.3">
      <c r="AA1947" s="871"/>
    </row>
    <row r="1948" spans="27:27" s="837" customFormat="1" x14ac:dyDescent="0.3">
      <c r="AA1948" s="871"/>
    </row>
    <row r="1949" spans="27:27" s="837" customFormat="1" x14ac:dyDescent="0.3">
      <c r="AA1949" s="871"/>
    </row>
    <row r="1950" spans="27:27" s="837" customFormat="1" x14ac:dyDescent="0.3">
      <c r="AA1950" s="871"/>
    </row>
    <row r="1951" spans="27:27" s="837" customFormat="1" x14ac:dyDescent="0.3">
      <c r="AA1951" s="871"/>
    </row>
    <row r="1952" spans="27:27" s="837" customFormat="1" x14ac:dyDescent="0.3">
      <c r="AA1952" s="871"/>
    </row>
    <row r="1953" spans="27:27" s="837" customFormat="1" x14ac:dyDescent="0.3">
      <c r="AA1953" s="871"/>
    </row>
    <row r="1954" spans="27:27" s="837" customFormat="1" x14ac:dyDescent="0.3">
      <c r="AA1954" s="871"/>
    </row>
    <row r="1955" spans="27:27" s="837" customFormat="1" x14ac:dyDescent="0.3">
      <c r="AA1955" s="871"/>
    </row>
    <row r="1956" spans="27:27" s="837" customFormat="1" x14ac:dyDescent="0.3">
      <c r="AA1956" s="871"/>
    </row>
    <row r="1957" spans="27:27" s="837" customFormat="1" x14ac:dyDescent="0.3">
      <c r="AA1957" s="871"/>
    </row>
    <row r="1958" spans="27:27" s="837" customFormat="1" x14ac:dyDescent="0.3">
      <c r="AA1958" s="871"/>
    </row>
    <row r="1959" spans="27:27" s="837" customFormat="1" x14ac:dyDescent="0.3">
      <c r="AA1959" s="871"/>
    </row>
    <row r="1960" spans="27:27" s="837" customFormat="1" x14ac:dyDescent="0.3">
      <c r="AA1960" s="871"/>
    </row>
    <row r="1961" spans="27:27" s="837" customFormat="1" x14ac:dyDescent="0.3">
      <c r="AA1961" s="871"/>
    </row>
    <row r="1962" spans="27:27" s="837" customFormat="1" x14ac:dyDescent="0.3">
      <c r="AA1962" s="871"/>
    </row>
    <row r="1963" spans="27:27" s="837" customFormat="1" x14ac:dyDescent="0.3">
      <c r="AA1963" s="871"/>
    </row>
    <row r="1964" spans="27:27" s="837" customFormat="1" x14ac:dyDescent="0.3">
      <c r="AA1964" s="871"/>
    </row>
    <row r="1965" spans="27:27" s="837" customFormat="1" x14ac:dyDescent="0.3">
      <c r="AA1965" s="871"/>
    </row>
    <row r="1966" spans="27:27" s="837" customFormat="1" x14ac:dyDescent="0.3">
      <c r="AA1966" s="871"/>
    </row>
    <row r="1967" spans="27:27" s="837" customFormat="1" x14ac:dyDescent="0.3">
      <c r="AA1967" s="871"/>
    </row>
    <row r="1968" spans="27:27" s="837" customFormat="1" x14ac:dyDescent="0.3">
      <c r="AA1968" s="871"/>
    </row>
    <row r="1969" spans="27:27" s="837" customFormat="1" x14ac:dyDescent="0.3">
      <c r="AA1969" s="871"/>
    </row>
    <row r="1970" spans="27:27" s="837" customFormat="1" x14ac:dyDescent="0.3">
      <c r="AA1970" s="871"/>
    </row>
    <row r="1971" spans="27:27" s="837" customFormat="1" x14ac:dyDescent="0.3">
      <c r="AA1971" s="871"/>
    </row>
    <row r="1972" spans="27:27" s="837" customFormat="1" x14ac:dyDescent="0.3">
      <c r="AA1972" s="871"/>
    </row>
    <row r="1973" spans="27:27" s="837" customFormat="1" x14ac:dyDescent="0.3">
      <c r="AA1973" s="871"/>
    </row>
    <row r="1974" spans="27:27" s="837" customFormat="1" x14ac:dyDescent="0.3">
      <c r="AA1974" s="871"/>
    </row>
    <row r="1975" spans="27:27" s="837" customFormat="1" x14ac:dyDescent="0.3">
      <c r="AA1975" s="871"/>
    </row>
    <row r="1976" spans="27:27" s="837" customFormat="1" x14ac:dyDescent="0.3">
      <c r="AA1976" s="871"/>
    </row>
    <row r="1977" spans="27:27" s="837" customFormat="1" x14ac:dyDescent="0.3">
      <c r="AA1977" s="871"/>
    </row>
    <row r="1978" spans="27:27" s="837" customFormat="1" x14ac:dyDescent="0.3">
      <c r="AA1978" s="871"/>
    </row>
    <row r="1979" spans="27:27" s="837" customFormat="1" x14ac:dyDescent="0.3">
      <c r="AA1979" s="871"/>
    </row>
    <row r="1980" spans="27:27" s="837" customFormat="1" x14ac:dyDescent="0.3">
      <c r="AA1980" s="871"/>
    </row>
    <row r="1981" spans="27:27" s="837" customFormat="1" x14ac:dyDescent="0.3">
      <c r="AA1981" s="871"/>
    </row>
    <row r="1982" spans="27:27" s="837" customFormat="1" x14ac:dyDescent="0.3">
      <c r="AA1982" s="871"/>
    </row>
    <row r="1983" spans="27:27" s="837" customFormat="1" x14ac:dyDescent="0.3">
      <c r="AA1983" s="871"/>
    </row>
    <row r="1984" spans="27:27" s="837" customFormat="1" x14ac:dyDescent="0.3">
      <c r="AA1984" s="871"/>
    </row>
    <row r="1985" spans="27:27" s="837" customFormat="1" x14ac:dyDescent="0.3">
      <c r="AA1985" s="871"/>
    </row>
    <row r="1986" spans="27:27" s="837" customFormat="1" x14ac:dyDescent="0.3">
      <c r="AA1986" s="871"/>
    </row>
    <row r="1987" spans="27:27" s="837" customFormat="1" x14ac:dyDescent="0.3">
      <c r="AA1987" s="871"/>
    </row>
    <row r="1988" spans="27:27" s="837" customFormat="1" x14ac:dyDescent="0.3">
      <c r="AA1988" s="871"/>
    </row>
    <row r="1989" spans="27:27" s="837" customFormat="1" x14ac:dyDescent="0.3">
      <c r="AA1989" s="871"/>
    </row>
    <row r="1990" spans="27:27" s="837" customFormat="1" x14ac:dyDescent="0.3">
      <c r="AA1990" s="871"/>
    </row>
    <row r="1991" spans="27:27" s="837" customFormat="1" x14ac:dyDescent="0.3">
      <c r="AA1991" s="871"/>
    </row>
    <row r="1992" spans="27:27" s="837" customFormat="1" x14ac:dyDescent="0.3">
      <c r="AA1992" s="871"/>
    </row>
    <row r="1993" spans="27:27" s="837" customFormat="1" x14ac:dyDescent="0.3">
      <c r="AA1993" s="871"/>
    </row>
    <row r="1994" spans="27:27" s="837" customFormat="1" x14ac:dyDescent="0.3">
      <c r="AA1994" s="871"/>
    </row>
    <row r="1995" spans="27:27" s="837" customFormat="1" x14ac:dyDescent="0.3">
      <c r="AA1995" s="871"/>
    </row>
    <row r="1996" spans="27:27" s="837" customFormat="1" x14ac:dyDescent="0.3">
      <c r="AA1996" s="871"/>
    </row>
    <row r="1997" spans="27:27" s="837" customFormat="1" x14ac:dyDescent="0.3">
      <c r="AA1997" s="871"/>
    </row>
    <row r="1998" spans="27:27" s="837" customFormat="1" x14ac:dyDescent="0.3">
      <c r="AA1998" s="871"/>
    </row>
    <row r="1999" spans="27:27" s="837" customFormat="1" x14ac:dyDescent="0.3">
      <c r="AA1999" s="871"/>
    </row>
    <row r="2000" spans="27:27" s="837" customFormat="1" x14ac:dyDescent="0.3">
      <c r="AA2000" s="871"/>
    </row>
    <row r="2001" spans="27:27" s="837" customFormat="1" x14ac:dyDescent="0.3">
      <c r="AA2001" s="871"/>
    </row>
    <row r="2002" spans="27:27" s="837" customFormat="1" x14ac:dyDescent="0.3">
      <c r="AA2002" s="871"/>
    </row>
    <row r="2003" spans="27:27" s="837" customFormat="1" x14ac:dyDescent="0.3">
      <c r="AA2003" s="871"/>
    </row>
    <row r="2004" spans="27:27" s="837" customFormat="1" x14ac:dyDescent="0.3">
      <c r="AA2004" s="871"/>
    </row>
    <row r="2005" spans="27:27" s="837" customFormat="1" x14ac:dyDescent="0.3">
      <c r="AA2005" s="871"/>
    </row>
    <row r="2006" spans="27:27" s="837" customFormat="1" x14ac:dyDescent="0.3">
      <c r="AA2006" s="871"/>
    </row>
    <row r="2007" spans="27:27" s="837" customFormat="1" x14ac:dyDescent="0.3">
      <c r="AA2007" s="871"/>
    </row>
    <row r="2008" spans="27:27" s="837" customFormat="1" x14ac:dyDescent="0.3">
      <c r="AA2008" s="871"/>
    </row>
    <row r="2009" spans="27:27" s="837" customFormat="1" x14ac:dyDescent="0.3">
      <c r="AA2009" s="871"/>
    </row>
    <row r="2010" spans="27:27" s="837" customFormat="1" x14ac:dyDescent="0.3">
      <c r="AA2010" s="871"/>
    </row>
    <row r="2011" spans="27:27" s="837" customFormat="1" x14ac:dyDescent="0.3">
      <c r="AA2011" s="871"/>
    </row>
    <row r="2012" spans="27:27" s="837" customFormat="1" x14ac:dyDescent="0.3">
      <c r="AA2012" s="871"/>
    </row>
    <row r="2013" spans="27:27" s="837" customFormat="1" x14ac:dyDescent="0.3">
      <c r="AA2013" s="871"/>
    </row>
    <row r="2014" spans="27:27" s="837" customFormat="1" x14ac:dyDescent="0.3">
      <c r="AA2014" s="871"/>
    </row>
    <row r="2015" spans="27:27" s="837" customFormat="1" x14ac:dyDescent="0.3">
      <c r="AA2015" s="871"/>
    </row>
    <row r="2016" spans="27:27" s="837" customFormat="1" x14ac:dyDescent="0.3">
      <c r="AA2016" s="871"/>
    </row>
    <row r="2017" spans="27:27" s="837" customFormat="1" x14ac:dyDescent="0.3">
      <c r="AA2017" s="871"/>
    </row>
    <row r="2018" spans="27:27" s="837" customFormat="1" x14ac:dyDescent="0.3">
      <c r="AA2018" s="871"/>
    </row>
    <row r="2019" spans="27:27" s="837" customFormat="1" x14ac:dyDescent="0.3">
      <c r="AA2019" s="871"/>
    </row>
    <row r="2020" spans="27:27" s="837" customFormat="1" x14ac:dyDescent="0.3">
      <c r="AA2020" s="871"/>
    </row>
    <row r="2021" spans="27:27" s="837" customFormat="1" x14ac:dyDescent="0.3">
      <c r="AA2021" s="871"/>
    </row>
    <row r="2022" spans="27:27" s="837" customFormat="1" x14ac:dyDescent="0.3">
      <c r="AA2022" s="871"/>
    </row>
    <row r="2023" spans="27:27" s="837" customFormat="1" x14ac:dyDescent="0.3">
      <c r="AA2023" s="871"/>
    </row>
    <row r="2024" spans="27:27" s="837" customFormat="1" x14ac:dyDescent="0.3">
      <c r="AA2024" s="871"/>
    </row>
    <row r="2025" spans="27:27" s="837" customFormat="1" x14ac:dyDescent="0.3">
      <c r="AA2025" s="871"/>
    </row>
    <row r="2026" spans="27:27" s="837" customFormat="1" x14ac:dyDescent="0.3">
      <c r="AA2026" s="871"/>
    </row>
    <row r="2027" spans="27:27" s="837" customFormat="1" x14ac:dyDescent="0.3">
      <c r="AA2027" s="871"/>
    </row>
    <row r="2028" spans="27:27" s="837" customFormat="1" x14ac:dyDescent="0.3">
      <c r="AA2028" s="871"/>
    </row>
    <row r="2029" spans="27:27" s="837" customFormat="1" x14ac:dyDescent="0.3">
      <c r="AA2029" s="871"/>
    </row>
    <row r="2030" spans="27:27" s="837" customFormat="1" x14ac:dyDescent="0.3">
      <c r="AA2030" s="871"/>
    </row>
    <row r="2031" spans="27:27" s="837" customFormat="1" x14ac:dyDescent="0.3">
      <c r="AA2031" s="871"/>
    </row>
    <row r="2032" spans="27:27" s="837" customFormat="1" x14ac:dyDescent="0.3">
      <c r="AA2032" s="871"/>
    </row>
    <row r="2033" spans="27:27" s="837" customFormat="1" x14ac:dyDescent="0.3">
      <c r="AA2033" s="871"/>
    </row>
    <row r="2034" spans="27:27" s="837" customFormat="1" x14ac:dyDescent="0.3">
      <c r="AA2034" s="871"/>
    </row>
    <row r="2035" spans="27:27" s="837" customFormat="1" x14ac:dyDescent="0.3">
      <c r="AA2035" s="871"/>
    </row>
    <row r="2036" spans="27:27" s="837" customFormat="1" x14ac:dyDescent="0.3">
      <c r="AA2036" s="871"/>
    </row>
    <row r="2037" spans="27:27" s="837" customFormat="1" x14ac:dyDescent="0.3">
      <c r="AA2037" s="871"/>
    </row>
    <row r="2038" spans="27:27" s="837" customFormat="1" x14ac:dyDescent="0.3">
      <c r="AA2038" s="871"/>
    </row>
    <row r="2039" spans="27:27" s="837" customFormat="1" x14ac:dyDescent="0.3">
      <c r="AA2039" s="871"/>
    </row>
    <row r="2040" spans="27:27" s="837" customFormat="1" x14ac:dyDescent="0.3">
      <c r="AA2040" s="871"/>
    </row>
    <row r="2041" spans="27:27" s="837" customFormat="1" x14ac:dyDescent="0.3">
      <c r="AA2041" s="871"/>
    </row>
    <row r="2042" spans="27:27" s="837" customFormat="1" x14ac:dyDescent="0.3">
      <c r="AA2042" s="871"/>
    </row>
    <row r="2043" spans="27:27" s="837" customFormat="1" x14ac:dyDescent="0.3">
      <c r="AA2043" s="871"/>
    </row>
    <row r="2044" spans="27:27" s="837" customFormat="1" x14ac:dyDescent="0.3">
      <c r="AA2044" s="871"/>
    </row>
    <row r="2045" spans="27:27" s="837" customFormat="1" x14ac:dyDescent="0.3">
      <c r="AA2045" s="871"/>
    </row>
    <row r="2046" spans="27:27" s="837" customFormat="1" x14ac:dyDescent="0.3">
      <c r="AA2046" s="871"/>
    </row>
    <row r="2047" spans="27:27" s="837" customFormat="1" x14ac:dyDescent="0.3">
      <c r="AA2047" s="871"/>
    </row>
    <row r="2048" spans="27:27" s="837" customFormat="1" x14ac:dyDescent="0.3">
      <c r="AA2048" s="871"/>
    </row>
    <row r="2049" spans="27:27" s="837" customFormat="1" x14ac:dyDescent="0.3">
      <c r="AA2049" s="871"/>
    </row>
    <row r="2050" spans="27:27" s="837" customFormat="1" x14ac:dyDescent="0.3">
      <c r="AA2050" s="871"/>
    </row>
    <row r="2051" spans="27:27" s="837" customFormat="1" x14ac:dyDescent="0.3">
      <c r="AA2051" s="871"/>
    </row>
    <row r="2052" spans="27:27" s="837" customFormat="1" x14ac:dyDescent="0.3">
      <c r="AA2052" s="871"/>
    </row>
    <row r="2053" spans="27:27" s="837" customFormat="1" x14ac:dyDescent="0.3">
      <c r="AA2053" s="871"/>
    </row>
    <row r="2054" spans="27:27" s="837" customFormat="1" x14ac:dyDescent="0.3">
      <c r="AA2054" s="871"/>
    </row>
    <row r="2055" spans="27:27" s="837" customFormat="1" x14ac:dyDescent="0.3">
      <c r="AA2055" s="871"/>
    </row>
    <row r="2056" spans="27:27" s="837" customFormat="1" x14ac:dyDescent="0.3">
      <c r="AA2056" s="871"/>
    </row>
    <row r="2057" spans="27:27" s="837" customFormat="1" x14ac:dyDescent="0.3">
      <c r="AA2057" s="871"/>
    </row>
    <row r="2058" spans="27:27" s="837" customFormat="1" x14ac:dyDescent="0.3">
      <c r="AA2058" s="871"/>
    </row>
    <row r="2059" spans="27:27" s="837" customFormat="1" x14ac:dyDescent="0.3">
      <c r="AA2059" s="871"/>
    </row>
    <row r="2060" spans="27:27" s="837" customFormat="1" x14ac:dyDescent="0.3">
      <c r="AA2060" s="871"/>
    </row>
    <row r="2061" spans="27:27" s="837" customFormat="1" x14ac:dyDescent="0.3">
      <c r="AA2061" s="871"/>
    </row>
    <row r="2062" spans="27:27" s="837" customFormat="1" x14ac:dyDescent="0.3">
      <c r="AA2062" s="871"/>
    </row>
    <row r="2063" spans="27:27" s="837" customFormat="1" x14ac:dyDescent="0.3">
      <c r="AA2063" s="871"/>
    </row>
    <row r="2064" spans="27:27" s="837" customFormat="1" x14ac:dyDescent="0.3">
      <c r="AA2064" s="871"/>
    </row>
    <row r="2065" spans="27:27" s="837" customFormat="1" x14ac:dyDescent="0.3">
      <c r="AA2065" s="871"/>
    </row>
    <row r="2066" spans="27:27" s="837" customFormat="1" x14ac:dyDescent="0.3">
      <c r="AA2066" s="871"/>
    </row>
    <row r="2067" spans="27:27" s="837" customFormat="1" x14ac:dyDescent="0.3">
      <c r="AA2067" s="871"/>
    </row>
    <row r="2068" spans="27:27" s="837" customFormat="1" x14ac:dyDescent="0.3">
      <c r="AA2068" s="871"/>
    </row>
    <row r="2069" spans="27:27" s="837" customFormat="1" x14ac:dyDescent="0.3">
      <c r="AA2069" s="871"/>
    </row>
    <row r="2070" spans="27:27" s="837" customFormat="1" x14ac:dyDescent="0.3">
      <c r="AA2070" s="871"/>
    </row>
  </sheetData>
  <sheetProtection algorithmName="SHA-512" hashValue="M98ofNCfre7WipJtTZmRdA7T1QJ6kiJkhxAk+uaMMR5iyP9zWu2BJNEbJrOqySIqzP3Tp5AmX4ZVO/xBN1ghNA==" saltValue="Ft2bJ0zuOumbselgrmw4Xg==" spinCount="100000" sheet="1" objects="1" scenarios="1" formatCells="0" formatColumns="0" formatRows="0" insertColumns="0" insertRows="0" insertHyperlinks="0" deleteColumns="0" deleteRows="0" sort="0" autoFilter="0" pivotTables="0"/>
  <mergeCells count="34">
    <mergeCell ref="E2:T2"/>
    <mergeCell ref="B2:D2"/>
    <mergeCell ref="B42:D42"/>
    <mergeCell ref="B3:D3"/>
    <mergeCell ref="B44:D44"/>
    <mergeCell ref="B5:D5"/>
    <mergeCell ref="B22:D22"/>
    <mergeCell ref="B38:D38"/>
    <mergeCell ref="B40:D40"/>
    <mergeCell ref="B41:D41"/>
    <mergeCell ref="B36:D36"/>
    <mergeCell ref="B37:D37"/>
    <mergeCell ref="B16:D16"/>
    <mergeCell ref="B18:D18"/>
    <mergeCell ref="B23:D23"/>
    <mergeCell ref="B17:D17"/>
    <mergeCell ref="B24:C24"/>
    <mergeCell ref="B32:C32"/>
    <mergeCell ref="B47:D47"/>
    <mergeCell ref="B7:B13"/>
    <mergeCell ref="B6:D6"/>
    <mergeCell ref="B43:D43"/>
    <mergeCell ref="B33:D33"/>
    <mergeCell ref="B34:D34"/>
    <mergeCell ref="B35:D35"/>
    <mergeCell ref="B45:D45"/>
    <mergeCell ref="B25:B31"/>
    <mergeCell ref="B39:D39"/>
    <mergeCell ref="B4:D4"/>
    <mergeCell ref="B21:D21"/>
    <mergeCell ref="B15:D15"/>
    <mergeCell ref="B19:D19"/>
    <mergeCell ref="B20:D20"/>
    <mergeCell ref="B14:C14"/>
  </mergeCells>
  <conditionalFormatting sqref="E47:V47">
    <cfRule type="cellIs" dxfId="524" priority="33" operator="lessThan">
      <formula>0</formula>
    </cfRule>
  </conditionalFormatting>
  <conditionalFormatting sqref="D32">
    <cfRule type="cellIs" dxfId="523" priority="18" operator="lessThan">
      <formula>1</formula>
    </cfRule>
    <cfRule type="cellIs" dxfId="522" priority="19" operator="greaterThan">
      <formula>1</formula>
    </cfRule>
    <cfRule type="cellIs" dxfId="521" priority="30" operator="equal">
      <formula>0</formula>
    </cfRule>
  </conditionalFormatting>
  <conditionalFormatting sqref="D7:D12 D14">
    <cfRule type="cellIs" dxfId="520" priority="29" operator="equal">
      <formula>0</formula>
    </cfRule>
  </conditionalFormatting>
  <conditionalFormatting sqref="E7:V13">
    <cfRule type="cellIs" dxfId="519" priority="28" operator="equal">
      <formula>0</formula>
    </cfRule>
  </conditionalFormatting>
  <conditionalFormatting sqref="E21:V21">
    <cfRule type="cellIs" dxfId="518" priority="27" operator="equal">
      <formula>0</formula>
    </cfRule>
  </conditionalFormatting>
  <conditionalFormatting sqref="E6:V6">
    <cfRule type="cellIs" dxfId="517" priority="26" operator="equal">
      <formula>0</formula>
    </cfRule>
  </conditionalFormatting>
  <conditionalFormatting sqref="E24:V24">
    <cfRule type="cellIs" dxfId="516" priority="25" operator="equal">
      <formula>0</formula>
    </cfRule>
  </conditionalFormatting>
  <conditionalFormatting sqref="E45:V45">
    <cfRule type="cellIs" dxfId="515" priority="24" operator="equal">
      <formula>0</formula>
    </cfRule>
  </conditionalFormatting>
  <conditionalFormatting sqref="E14:V14">
    <cfRule type="cellIs" dxfId="514" priority="22" operator="equal">
      <formula>0</formula>
    </cfRule>
  </conditionalFormatting>
  <conditionalFormatting sqref="X6">
    <cfRule type="cellIs" dxfId="513" priority="21" operator="equal">
      <formula>0</formula>
    </cfRule>
  </conditionalFormatting>
  <conditionalFormatting sqref="AA14">
    <cfRule type="cellIs" dxfId="512" priority="20" operator="equal">
      <formula>0</formula>
    </cfRule>
  </conditionalFormatting>
  <conditionalFormatting sqref="D14">
    <cfRule type="cellIs" dxfId="511" priority="16" operator="lessThan">
      <formula>1</formula>
    </cfRule>
    <cfRule type="cellIs" dxfId="510" priority="17" operator="greaterThan">
      <formula>1</formula>
    </cfRule>
  </conditionalFormatting>
  <conditionalFormatting sqref="AC14">
    <cfRule type="cellIs" dxfId="509" priority="14" operator="notEqual">
      <formula>0</formula>
    </cfRule>
    <cfRule type="cellIs" dxfId="508" priority="15" operator="equal">
      <formula>0</formula>
    </cfRule>
  </conditionalFormatting>
  <conditionalFormatting sqref="E4:T4">
    <cfRule type="cellIs" dxfId="507" priority="11" operator="lessThan">
      <formula>0</formula>
    </cfRule>
  </conditionalFormatting>
  <conditionalFormatting sqref="X24">
    <cfRule type="cellIs" dxfId="506" priority="9" operator="equal">
      <formula>0</formula>
    </cfRule>
  </conditionalFormatting>
  <conditionalFormatting sqref="AA32">
    <cfRule type="cellIs" dxfId="505" priority="5" operator="equal">
      <formula>0</formula>
    </cfRule>
  </conditionalFormatting>
  <conditionalFormatting sqref="AC32">
    <cfRule type="cellIs" dxfId="504" priority="3" operator="notEqual">
      <formula>0</formula>
    </cfRule>
    <cfRule type="cellIs" dxfId="503" priority="4" operator="equal">
      <formula>0</formula>
    </cfRule>
  </conditionalFormatting>
  <conditionalFormatting sqref="E23:V23">
    <cfRule type="cellIs" dxfId="502" priority="2" operator="equal">
      <formula>0</formula>
    </cfRule>
  </conditionalFormatting>
  <conditionalFormatting sqref="D25:V31">
    <cfRule type="cellIs" dxfId="501" priority="1" operator="equal">
      <formula>0</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499984740745262"/>
    <pageSetUpPr fitToPage="1"/>
  </sheetPr>
  <dimension ref="A1:V89"/>
  <sheetViews>
    <sheetView showGridLines="0" showRowColHeaders="0" zoomScaleNormal="100" workbookViewId="0">
      <selection activeCell="C64" sqref="C64:D64"/>
    </sheetView>
  </sheetViews>
  <sheetFormatPr baseColWidth="10" defaultColWidth="10.77734375" defaultRowHeight="13.8" x14ac:dyDescent="0.3"/>
  <cols>
    <col min="1" max="1" width="1.77734375" style="14" customWidth="1"/>
    <col min="2" max="2" width="38.109375" style="14" customWidth="1"/>
    <col min="3" max="3" width="6.77734375" style="14" customWidth="1"/>
    <col min="4" max="4" width="7.77734375" style="14" customWidth="1"/>
    <col min="5" max="5" width="1" style="14" customWidth="1"/>
    <col min="6" max="6" width="18.33203125" style="328" customWidth="1"/>
    <col min="7" max="7" width="1" style="328" customWidth="1"/>
    <col min="8" max="8" width="18.33203125" style="328" customWidth="1"/>
    <col min="9" max="9" width="1" style="328" customWidth="1"/>
    <col min="10" max="10" width="18.33203125" style="328" customWidth="1"/>
    <col min="11" max="11" width="1" style="14" customWidth="1"/>
    <col min="12" max="14" width="13.77734375" style="14" customWidth="1"/>
    <col min="15" max="15" width="11.44140625" style="287" customWidth="1"/>
    <col min="16" max="16" width="1.77734375" style="14" customWidth="1"/>
    <col min="17" max="20" width="12.77734375" style="14" customWidth="1"/>
    <col min="21" max="16384" width="10.77734375" style="14"/>
  </cols>
  <sheetData>
    <row r="1" spans="1:22" ht="10.199999999999999" customHeight="1" x14ac:dyDescent="0.3">
      <c r="A1" s="2012"/>
      <c r="B1" s="2013"/>
      <c r="C1" s="2013"/>
      <c r="D1" s="2013"/>
      <c r="E1" s="2013"/>
      <c r="F1" s="2014"/>
      <c r="G1" s="2014"/>
      <c r="H1" s="2014"/>
      <c r="I1" s="2014"/>
      <c r="J1" s="2014"/>
      <c r="K1" s="2013"/>
      <c r="L1" s="2013"/>
      <c r="M1" s="2013"/>
      <c r="N1" s="2013"/>
      <c r="O1" s="2027"/>
      <c r="P1" s="2028"/>
    </row>
    <row r="2" spans="1:22" ht="21.9" customHeight="1" x14ac:dyDescent="0.3">
      <c r="A2" s="2015"/>
      <c r="B2" s="3229" t="str">
        <f>IF(ISBLANK(dossier)," ",dossier)</f>
        <v xml:space="preserve"> </v>
      </c>
      <c r="C2" s="2693"/>
      <c r="D2" s="2693"/>
      <c r="E2" s="3254" t="s">
        <v>882</v>
      </c>
      <c r="F2" s="3255"/>
      <c r="G2" s="3255"/>
      <c r="H2" s="3255"/>
      <c r="I2" s="3255"/>
      <c r="J2" s="3255"/>
      <c r="K2" s="3256"/>
      <c r="L2" s="3256"/>
      <c r="M2" s="3256"/>
      <c r="N2" s="3256"/>
      <c r="O2" s="3257"/>
      <c r="P2" s="2016"/>
      <c r="Q2" s="2064" t="s">
        <v>49</v>
      </c>
      <c r="R2" s="2064" t="s">
        <v>50</v>
      </c>
      <c r="S2" s="2064" t="s">
        <v>51</v>
      </c>
    </row>
    <row r="3" spans="1:22" ht="15" customHeight="1" x14ac:dyDescent="0.3">
      <c r="A3" s="2015"/>
      <c r="P3" s="2016"/>
      <c r="Q3" s="620">
        <f>F16/1000</f>
        <v>0</v>
      </c>
      <c r="R3" s="620">
        <f>H16/1000</f>
        <v>0</v>
      </c>
      <c r="S3" s="620">
        <f>J16/1000</f>
        <v>0</v>
      </c>
    </row>
    <row r="4" spans="1:22" ht="20.100000000000001" customHeight="1" x14ac:dyDescent="0.3">
      <c r="A4" s="2015"/>
      <c r="B4" s="3225" t="s">
        <v>640</v>
      </c>
      <c r="C4" s="3221" t="s">
        <v>629</v>
      </c>
      <c r="D4" s="3222"/>
      <c r="F4" s="1585" t="s">
        <v>635</v>
      </c>
      <c r="G4" s="563"/>
      <c r="H4" s="1585" t="s">
        <v>1037</v>
      </c>
      <c r="I4" s="563"/>
      <c r="J4" s="1585" t="s">
        <v>1038</v>
      </c>
      <c r="L4" s="3258" t="s">
        <v>999</v>
      </c>
      <c r="M4" s="3259"/>
      <c r="N4" s="3259"/>
      <c r="O4" s="3260"/>
      <c r="P4" s="2016"/>
      <c r="Q4" s="620">
        <f>IF(ca_1=0,0,F9/1000)</f>
        <v>0</v>
      </c>
      <c r="R4" s="620">
        <f>IF(ca_2=0,0,H9/1000)</f>
        <v>0</v>
      </c>
      <c r="S4" s="620">
        <f>IF(ca_3=0,0,J9/1000)</f>
        <v>0</v>
      </c>
    </row>
    <row r="5" spans="1:22" ht="20.100000000000001" customHeight="1" x14ac:dyDescent="0.3">
      <c r="A5" s="2015"/>
      <c r="B5" s="3226"/>
      <c r="C5" s="3223"/>
      <c r="D5" s="3224"/>
      <c r="F5" s="1586" t="str">
        <f>IF(durée_1=0," ",durée_1)</f>
        <v xml:space="preserve"> </v>
      </c>
      <c r="G5" s="670"/>
      <c r="H5" s="1586" t="str">
        <f>IF(durée_2=0," ",durée_2)</f>
        <v xml:space="preserve"> </v>
      </c>
      <c r="I5" s="670"/>
      <c r="J5" s="1586" t="str">
        <f>IF(durée_3=0," ",durée_3)</f>
        <v xml:space="preserve"> </v>
      </c>
      <c r="L5" s="3261"/>
      <c r="M5" s="3262"/>
      <c r="N5" s="3262"/>
      <c r="O5" s="3263"/>
      <c r="P5" s="2016"/>
      <c r="Q5" s="620">
        <f>point_mort_1/1000</f>
        <v>0</v>
      </c>
      <c r="R5" s="620">
        <f>point_mort_2/1000</f>
        <v>0</v>
      </c>
      <c r="S5" s="620">
        <f>point_mort_3/1000</f>
        <v>0</v>
      </c>
    </row>
    <row r="6" spans="1:22" ht="6" customHeight="1" x14ac:dyDescent="0.3">
      <c r="A6" s="2015"/>
      <c r="P6" s="2016"/>
      <c r="R6" s="620">
        <f>IF(ca_2=0,0,H11/1000)</f>
        <v>0</v>
      </c>
    </row>
    <row r="7" spans="1:22" ht="25.2" customHeight="1" x14ac:dyDescent="0.3">
      <c r="A7" s="2015"/>
      <c r="B7" s="591" t="s">
        <v>682</v>
      </c>
      <c r="F7" s="3242"/>
      <c r="G7" s="3242"/>
      <c r="H7" s="3242"/>
      <c r="I7" s="3242"/>
      <c r="J7" s="3242"/>
      <c r="O7" s="14"/>
      <c r="P7" s="2016"/>
    </row>
    <row r="8" spans="1:22" s="584" customFormat="1" ht="24.9" customHeight="1" x14ac:dyDescent="0.25">
      <c r="A8" s="2017"/>
      <c r="B8" s="1283" t="s">
        <v>632</v>
      </c>
      <c r="C8" s="3245" t="s">
        <v>85</v>
      </c>
      <c r="D8" s="3246"/>
      <c r="E8" s="264"/>
      <c r="F8" s="1285" t="str">
        <f>IF(ISERROR(IF(ca_1=0," ",point_mort_1))," ",IF(ca_1=0," ",point_mort_1))</f>
        <v xml:space="preserve"> </v>
      </c>
      <c r="G8" s="567"/>
      <c r="H8" s="1285" t="str">
        <f>IF(ISERROR(IF(ca_2=0," ",point_mort_2))," ",IF(ca_2=0," ",point_mort_2))</f>
        <v xml:space="preserve"> </v>
      </c>
      <c r="I8" s="582"/>
      <c r="J8" s="1285" t="str">
        <f>IF(ISERROR(IF(ca_3=0," ",point_mort_3))," ",IF(ca_3=0," ",point_mort_3))</f>
        <v xml:space="preserve"> </v>
      </c>
      <c r="K8" s="586"/>
      <c r="L8" s="586"/>
      <c r="M8" s="586"/>
      <c r="N8" s="586"/>
      <c r="O8" s="585"/>
      <c r="P8" s="2029"/>
      <c r="Q8" s="586"/>
      <c r="R8" s="586"/>
      <c r="S8" s="586"/>
      <c r="T8" s="586"/>
      <c r="U8" s="586"/>
      <c r="V8" s="586"/>
    </row>
    <row r="9" spans="1:22" ht="24.9" customHeight="1" x14ac:dyDescent="0.3">
      <c r="A9" s="2015"/>
      <c r="B9" s="1284" t="s">
        <v>507</v>
      </c>
      <c r="C9" s="3227" t="s">
        <v>85</v>
      </c>
      <c r="D9" s="3228"/>
      <c r="F9" s="1286" t="str">
        <f>IF(ca_1=0," ",ca_1)</f>
        <v xml:space="preserve"> </v>
      </c>
      <c r="H9" s="1286" t="str">
        <f>IF(ca_2=0," ",ca_2)</f>
        <v xml:space="preserve"> </v>
      </c>
      <c r="J9" s="1286" t="str">
        <f>IF(ca_3=0," ",ca_3)</f>
        <v xml:space="preserve"> </v>
      </c>
      <c r="O9" s="590"/>
      <c r="P9" s="2016"/>
    </row>
    <row r="10" spans="1:22" ht="3" customHeight="1" x14ac:dyDescent="0.3">
      <c r="A10" s="2015"/>
      <c r="P10" s="2016"/>
    </row>
    <row r="11" spans="1:22" ht="20.100000000000001" customHeight="1" x14ac:dyDescent="0.3">
      <c r="A11" s="2015"/>
      <c r="B11" s="202"/>
      <c r="C11" s="3234" t="s">
        <v>1031</v>
      </c>
      <c r="D11" s="3235"/>
      <c r="E11" s="202"/>
      <c r="F11" s="1764"/>
      <c r="G11" s="564"/>
      <c r="H11" s="2038" t="str">
        <f>IF(ISERROR((ca_2*12/durée_2)/(ca_1*12/durée_1)-1)," ",(ca_2*12/durée_2)/(ca_1*12/durée_1)-1)</f>
        <v xml:space="preserve"> </v>
      </c>
      <c r="I11" s="565"/>
      <c r="J11" s="2038" t="str">
        <f>IF(ISERROR((ca_3*12/durée_3)/(ca_2*12/durée_2)-1)," ",(ca_3*12/durée_3)/(ca_2*12/durée_2)-1)</f>
        <v xml:space="preserve"> </v>
      </c>
      <c r="O11" s="592"/>
      <c r="P11" s="2016"/>
    </row>
    <row r="12" spans="1:22" ht="3" customHeight="1" x14ac:dyDescent="0.3">
      <c r="A12" s="2015"/>
      <c r="P12" s="2016"/>
    </row>
    <row r="13" spans="1:22" ht="16.95" customHeight="1" x14ac:dyDescent="0.3">
      <c r="A13" s="2015"/>
      <c r="D13" s="862">
        <f>IF(OR(F9&lt;F8,H9&lt;H8,J9&lt;J8),1,0)</f>
        <v>0</v>
      </c>
      <c r="F13" s="618" t="str">
        <f>IF(ca_1=0," ",IF(F9&gt;F8,"J",IF(F9&lt;F8,"L","K")))</f>
        <v xml:space="preserve"> </v>
      </c>
      <c r="H13" s="618" t="str">
        <f>IF(ca_2=0," ",IF(H9&gt;H8,"J",IF(H9&lt;H8,"L","K")))</f>
        <v xml:space="preserve"> </v>
      </c>
      <c r="J13" s="618" t="str">
        <f>IF(ca_3=0," ",IF(J9&gt;J8,"J",IF(J9&lt;J8,"L","K")))</f>
        <v xml:space="preserve"> </v>
      </c>
      <c r="K13" s="202"/>
      <c r="P13" s="2016"/>
    </row>
    <row r="14" spans="1:22" ht="15" customHeight="1" x14ac:dyDescent="0.3">
      <c r="A14" s="2018"/>
      <c r="F14" s="3264" t="str">
        <f>IF(ca_1=0," ",IF(F9&gt;F8,"Point mort atteint dès le 1er exercice",IF(H9&gt;H8,"Point mort atteint au cours du 2ème exercicce",IF(J9&gt;J8,"Point mort atteint au cours du 3ème exerccice","Point mort non atteint au cours de la période !"))))</f>
        <v xml:space="preserve"> </v>
      </c>
      <c r="G14" s="3264"/>
      <c r="H14" s="3264"/>
      <c r="I14" s="3264"/>
      <c r="J14" s="3264"/>
      <c r="K14" s="202"/>
      <c r="P14" s="2016"/>
    </row>
    <row r="15" spans="1:22" s="202" customFormat="1" ht="10.199999999999999" customHeight="1" x14ac:dyDescent="0.25">
      <c r="A15" s="2018"/>
      <c r="B15" s="377"/>
      <c r="C15" s="377"/>
      <c r="D15" s="377"/>
      <c r="E15" s="377"/>
      <c r="F15" s="2009">
        <f>D17</f>
        <v>0</v>
      </c>
      <c r="G15" s="2006"/>
      <c r="H15" s="2009">
        <f>D17</f>
        <v>0</v>
      </c>
      <c r="I15" s="2007"/>
      <c r="J15" s="2009">
        <f>D17</f>
        <v>0</v>
      </c>
      <c r="K15" s="2003"/>
      <c r="O15" s="588"/>
      <c r="P15" s="2030"/>
    </row>
    <row r="16" spans="1:22" s="202" customFormat="1" ht="1.95" customHeight="1" x14ac:dyDescent="0.3">
      <c r="A16" s="2019"/>
      <c r="B16" s="1979" t="s">
        <v>633</v>
      </c>
      <c r="C16" s="1980"/>
      <c r="D16" s="1980"/>
      <c r="E16" s="1981"/>
      <c r="F16" s="1982">
        <f>IF(ISERROR(marge_brute_1)," ",marge_brute_1)</f>
        <v>0</v>
      </c>
      <c r="G16" s="1983"/>
      <c r="H16" s="1982">
        <f>IF(ISERROR(marge_brute_2)," ",marge_brute_2)</f>
        <v>0</v>
      </c>
      <c r="I16" s="1983"/>
      <c r="J16" s="1982">
        <f>IF(ISERROR(marge_brute_3)," ",marge_brute_3)</f>
        <v>0</v>
      </c>
      <c r="K16" s="14"/>
      <c r="O16" s="588"/>
      <c r="P16" s="2030"/>
    </row>
    <row r="17" spans="1:17" s="377" customFormat="1" ht="22.2" customHeight="1" x14ac:dyDescent="0.3">
      <c r="A17" s="2015"/>
      <c r="B17" s="1287" t="str">
        <f>IF(activité="Négoce","Taux de marge commerciale","Taux de marge brute")</f>
        <v>Taux de marge brute</v>
      </c>
      <c r="C17" s="1288" t="s">
        <v>1003</v>
      </c>
      <c r="D17" s="1289"/>
      <c r="E17" s="573"/>
      <c r="F17" s="1290" t="str">
        <f>IF(ISERROR(IF(ca_1=0," ",tx_marge_brute_1))," ",IF(ca_1=0," ",tx_marge_brute_1))</f>
        <v xml:space="preserve"> </v>
      </c>
      <c r="G17" s="574"/>
      <c r="H17" s="1290" t="str">
        <f>IF(ISERROR(IF(ca_2=0," ",tx_marge_brute_2))," ",IF(ca_2=0," ",tx_marge_brute_2))</f>
        <v xml:space="preserve"> </v>
      </c>
      <c r="I17" s="575"/>
      <c r="J17" s="1290" t="str">
        <f>IF(ISERROR(IF(ca_3=0," ",tx_marge_brute_3))," ",IF(ca_3=0," ",tx_marge_brute_3))</f>
        <v xml:space="preserve"> </v>
      </c>
      <c r="O17" s="569"/>
      <c r="P17" s="2031"/>
    </row>
    <row r="18" spans="1:17" ht="3" customHeight="1" x14ac:dyDescent="0.3">
      <c r="A18" s="2019"/>
      <c r="B18" s="377"/>
      <c r="C18" s="377"/>
      <c r="D18" s="377"/>
      <c r="E18" s="377"/>
      <c r="F18" s="566"/>
      <c r="G18" s="567"/>
      <c r="H18" s="566"/>
      <c r="I18" s="568"/>
      <c r="J18" s="566"/>
      <c r="K18" s="377"/>
      <c r="O18" s="590"/>
      <c r="P18" s="2016"/>
    </row>
    <row r="19" spans="1:17" s="377" customFormat="1" ht="16.95" customHeight="1" x14ac:dyDescent="0.25">
      <c r="A19" s="2019"/>
      <c r="F19" s="619" t="str">
        <f>IF(OR(ISBLANK($D$17),F17=" ")," ",IF(F17&lt;$D$17,"&lt; au secteur",IF(F17&gt;($D$17+5%),"marge justifiée ?","ok")))</f>
        <v xml:space="preserve"> </v>
      </c>
      <c r="G19" s="2036" t="b">
        <f>IF(AND(ISBLANK(F20),F19="marge justifiée ?"),1)</f>
        <v>0</v>
      </c>
      <c r="H19" s="619" t="str">
        <f>IF(OR(ISBLANK($D$17),H17=" ")," ",IF(H17&lt;$D$17,"&lt; au secteur",IF(H17&gt;($D$17+5%),"marge justifiée ?","ok")))</f>
        <v xml:space="preserve"> </v>
      </c>
      <c r="I19" s="2036" t="b">
        <f>IF(AND(ISBLANK(H20),H19="marge justifiée ?"),1)</f>
        <v>0</v>
      </c>
      <c r="J19" s="619" t="str">
        <f>IF(OR(ISBLANK($D$17),J17=" ")," ",IF(J17&lt;$D$17,"&lt; au secteur",IF(J17&gt;($D$17+5%),"marge justifiée ?","ok")))</f>
        <v xml:space="preserve"> </v>
      </c>
      <c r="K19" s="2036" t="b">
        <f>IF(AND(ISBLANK(J20),J19="marge justifiée ?"),1)</f>
        <v>0</v>
      </c>
      <c r="O19" s="593"/>
      <c r="P19" s="2031"/>
      <c r="Q19" s="626"/>
    </row>
    <row r="20" spans="1:17" s="377" customFormat="1" ht="15" customHeight="1" x14ac:dyDescent="0.25">
      <c r="A20" s="2019"/>
      <c r="F20" s="2002"/>
      <c r="G20" s="2037" t="str">
        <f>IF(G19=1,"?"," ")</f>
        <v xml:space="preserve"> </v>
      </c>
      <c r="H20" s="2002"/>
      <c r="I20" s="2037" t="str">
        <f>IF(I19=1,"?"," ")</f>
        <v xml:space="preserve"> </v>
      </c>
      <c r="J20" s="2002"/>
      <c r="K20" s="2037" t="str">
        <f>IF(K19=1,"?"," ")</f>
        <v xml:space="preserve"> </v>
      </c>
      <c r="O20" s="593"/>
      <c r="P20" s="2031"/>
      <c r="Q20" s="626"/>
    </row>
    <row r="21" spans="1:17" s="377" customFormat="1" ht="3" customHeight="1" x14ac:dyDescent="0.3">
      <c r="A21" s="2019"/>
      <c r="B21" s="14"/>
      <c r="C21" s="14"/>
      <c r="D21" s="14"/>
      <c r="E21" s="14"/>
      <c r="F21" s="328"/>
      <c r="G21" s="328"/>
      <c r="H21" s="328"/>
      <c r="I21" s="328"/>
      <c r="J21" s="328"/>
      <c r="K21" s="14"/>
      <c r="O21" s="566"/>
      <c r="P21" s="2031"/>
    </row>
    <row r="22" spans="1:17" s="377" customFormat="1" ht="16.95" customHeight="1" x14ac:dyDescent="0.3">
      <c r="A22" s="2015"/>
      <c r="B22" s="202"/>
      <c r="C22" s="202"/>
      <c r="D22" s="202"/>
      <c r="E22" s="202"/>
      <c r="F22" s="618" t="str">
        <f>IF(ISBLANK($D$17)," ",IF(F17=" "," ",IF(F17&gt;$D$17,"J",IF(F17&lt;$D$17,"L","K"))))</f>
        <v xml:space="preserve"> </v>
      </c>
      <c r="G22" s="576"/>
      <c r="H22" s="618" t="str">
        <f>IF(ISBLANK($D$17)," ",IF(H17=" "," ",IF(H17&gt;$D$17,"J",IF(H17&lt;$D$17,"L","K"))))</f>
        <v xml:space="preserve"> </v>
      </c>
      <c r="I22" s="577"/>
      <c r="J22" s="618" t="str">
        <f>IF(ISBLANK($D$17)," ",IF(J17=" "," ",IF(J17&gt;$D$17,"J",IF(J17&lt;$D$17,"L","K"))))</f>
        <v xml:space="preserve"> </v>
      </c>
      <c r="K22" s="202"/>
      <c r="O22" s="594"/>
      <c r="P22" s="2031"/>
    </row>
    <row r="23" spans="1:17" ht="12" customHeight="1" x14ac:dyDescent="0.3">
      <c r="A23" s="2018"/>
      <c r="B23" s="377"/>
      <c r="C23" s="3207" t="s">
        <v>495</v>
      </c>
      <c r="D23" s="3208"/>
      <c r="E23" s="377"/>
      <c r="F23" s="2008">
        <f>D24</f>
        <v>0.8</v>
      </c>
      <c r="G23" s="567"/>
      <c r="H23" s="2008">
        <f>D24</f>
        <v>0.8</v>
      </c>
      <c r="I23" s="568"/>
      <c r="J23" s="2008">
        <f>D24</f>
        <v>0.8</v>
      </c>
      <c r="K23" s="377"/>
      <c r="P23" s="2016"/>
    </row>
    <row r="24" spans="1:17" ht="22.2" customHeight="1" x14ac:dyDescent="0.3">
      <c r="A24" s="2020"/>
      <c r="B24" s="2043" t="s">
        <v>630</v>
      </c>
      <c r="C24" s="2044" t="s">
        <v>631</v>
      </c>
      <c r="D24" s="2045">
        <f>IF(activité="Production de biens",75%,80%)</f>
        <v>0.8</v>
      </c>
      <c r="F24" s="2046">
        <f>IF(ISERROR(personnel_1/va_1),0,personnel_1/va_1)</f>
        <v>0</v>
      </c>
      <c r="H24" s="2046">
        <f>IF(ISERROR(personnel_2/va_2),0,personnel_2/va_2)</f>
        <v>0</v>
      </c>
      <c r="J24" s="2046">
        <f>IF(ISERROR(personnel_3/va_3),0,personnel_3/va_3)</f>
        <v>0</v>
      </c>
      <c r="O24" s="590"/>
      <c r="P24" s="2016"/>
    </row>
    <row r="25" spans="1:17" s="264" customFormat="1" ht="3" customHeight="1" x14ac:dyDescent="0.3">
      <c r="A25" s="2015"/>
      <c r="B25" s="14"/>
      <c r="C25" s="14"/>
      <c r="D25" s="14"/>
      <c r="E25" s="14"/>
      <c r="F25" s="578">
        <f>F24</f>
        <v>0</v>
      </c>
      <c r="G25" s="579"/>
      <c r="H25" s="578">
        <f>H24</f>
        <v>0</v>
      </c>
      <c r="I25" s="579"/>
      <c r="J25" s="578">
        <f>J24</f>
        <v>0</v>
      </c>
      <c r="K25" s="14"/>
      <c r="O25" s="589"/>
      <c r="P25" s="2023"/>
    </row>
    <row r="26" spans="1:17" s="264" customFormat="1" ht="19.95" customHeight="1" x14ac:dyDescent="0.3">
      <c r="A26" s="2015"/>
      <c r="B26" s="14"/>
      <c r="C26" s="14"/>
      <c r="D26" s="14"/>
      <c r="E26" s="14"/>
      <c r="F26" s="580" t="str">
        <f>IF(F24=0," ",IF(F24&lt;=75%,"Ok ",IF(F24&lt;=80%,"Mauvais","Très mauvais")))</f>
        <v xml:space="preserve"> </v>
      </c>
      <c r="G26" s="579"/>
      <c r="H26" s="580" t="str">
        <f>IF(H24=0," ",IF(H24&lt;=75%,"Ok ",IF(H24&lt;=80%,"Mauvais","Très mauvais")))</f>
        <v xml:space="preserve"> </v>
      </c>
      <c r="I26" s="579"/>
      <c r="J26" s="580" t="str">
        <f>IF(J24=0," ",IF(J24&lt;=75%,"ok ",IF(J24&lt;=80%,"Mauvais","Très mauvais")))</f>
        <v xml:space="preserve"> </v>
      </c>
      <c r="K26" s="14"/>
      <c r="O26" s="589"/>
      <c r="P26" s="2023"/>
    </row>
    <row r="27" spans="1:17" s="264" customFormat="1" ht="3" customHeight="1" x14ac:dyDescent="0.3">
      <c r="A27" s="2015"/>
      <c r="B27" s="14"/>
      <c r="C27" s="14"/>
      <c r="D27" s="14"/>
      <c r="E27" s="14"/>
      <c r="F27" s="578"/>
      <c r="G27" s="579"/>
      <c r="H27" s="578"/>
      <c r="I27" s="579"/>
      <c r="J27" s="578"/>
      <c r="K27" s="14"/>
      <c r="O27" s="589"/>
      <c r="P27" s="2023"/>
    </row>
    <row r="28" spans="1:17" ht="16.95" customHeight="1" x14ac:dyDescent="0.3">
      <c r="A28" s="2015"/>
      <c r="B28" s="202"/>
      <c r="C28" s="202"/>
      <c r="D28" s="202"/>
      <c r="E28" s="202"/>
      <c r="F28" s="618" t="str">
        <f>IF(ISBLANK($D$24)," ",IF(F24=0," ",IF(F24&lt;$D$24,"J",IF(F24&gt;$D$24,"L","K"))))</f>
        <v xml:space="preserve"> </v>
      </c>
      <c r="G28" s="576"/>
      <c r="H28" s="618" t="str">
        <f>IF(ISBLANK($D$24)," ",IF(H24=0," ",IF(H24&lt;$D$24,"J",IF(H24&gt;$D$24,"L","K"))))</f>
        <v xml:space="preserve"> </v>
      </c>
      <c r="I28" s="577"/>
      <c r="J28" s="618" t="str">
        <f>IF(ISBLANK($D$24)," ",IF(J24=0," ",IF(J24&lt;$D$24,"J",IF(J24&gt;$D$24,"L","K"))))</f>
        <v xml:space="preserve"> </v>
      </c>
      <c r="K28" s="202"/>
      <c r="O28" s="595"/>
      <c r="P28" s="2016"/>
    </row>
    <row r="29" spans="1:17" s="202" customFormat="1" ht="12" customHeight="1" x14ac:dyDescent="0.3">
      <c r="A29" s="2021"/>
      <c r="B29" s="14"/>
      <c r="C29" s="14"/>
      <c r="D29" s="14"/>
      <c r="E29" s="14"/>
      <c r="F29" s="328"/>
      <c r="G29" s="328"/>
      <c r="H29" s="328"/>
      <c r="I29" s="328"/>
      <c r="J29" s="287"/>
      <c r="K29" s="14"/>
      <c r="O29" s="572"/>
      <c r="P29" s="2030"/>
    </row>
    <row r="30" spans="1:17" s="37" customFormat="1" ht="18" customHeight="1" x14ac:dyDescent="0.3">
      <c r="A30" s="2015"/>
      <c r="B30" s="3232" t="s">
        <v>67</v>
      </c>
      <c r="C30" s="3230" t="s">
        <v>85</v>
      </c>
      <c r="D30" s="3231"/>
      <c r="E30" s="14"/>
      <c r="F30" s="1986" t="str">
        <f>IF(ISERROR(IF(ca_1=0," ",ebe_1))," ",IF(ca_1=0," ",ebe_1))</f>
        <v xml:space="preserve"> </v>
      </c>
      <c r="G30" s="328"/>
      <c r="H30" s="1986" t="str">
        <f>IF(ISERROR(IF(ca_2=0," ",ebe_2))," ",IF(ca_2=0," ",ebe_2))</f>
        <v xml:space="preserve"> </v>
      </c>
      <c r="I30" s="328"/>
      <c r="J30" s="1986" t="str">
        <f>IF(ISERROR(IF(ca_3=0," ",ebe_3))," ",IF(ca_3=0," ",ebe_3))</f>
        <v xml:space="preserve"> </v>
      </c>
      <c r="K30" s="14"/>
      <c r="O30" s="581"/>
      <c r="P30" s="2032"/>
    </row>
    <row r="31" spans="1:17" ht="18" customHeight="1" x14ac:dyDescent="0.3">
      <c r="A31" s="2015"/>
      <c r="B31" s="3233"/>
      <c r="C31" s="3247" t="str">
        <f>IF(activité ="Négoce","% du CA HT","% de la Prod")</f>
        <v>% de la Prod</v>
      </c>
      <c r="D31" s="3248"/>
      <c r="F31" s="1993" t="str">
        <f>IF(ca_1=0," ",F30/p_1)</f>
        <v xml:space="preserve"> </v>
      </c>
      <c r="G31" s="1988"/>
      <c r="H31" s="1993" t="str">
        <f>IF(ca_2=0," ",H30/p_2)</f>
        <v xml:space="preserve"> </v>
      </c>
      <c r="I31" s="1989"/>
      <c r="J31" s="1993" t="str">
        <f>IF(ca_3=0," ",J30/p_3)</f>
        <v xml:space="preserve"> </v>
      </c>
      <c r="P31" s="2016"/>
    </row>
    <row r="32" spans="1:17" s="37" customFormat="1" ht="18" customHeight="1" x14ac:dyDescent="0.3">
      <c r="A32" s="2021"/>
      <c r="B32" s="3243" t="s">
        <v>508</v>
      </c>
      <c r="C32" s="3238" t="s">
        <v>85</v>
      </c>
      <c r="D32" s="3239"/>
      <c r="E32" s="14"/>
      <c r="F32" s="1987" t="str">
        <f>IF(ISERROR(IF(ca_1=0," ",re_1))," ",IF(ca_1=0," ",re_1))</f>
        <v xml:space="preserve"> </v>
      </c>
      <c r="G32" s="328"/>
      <c r="H32" s="1987" t="str">
        <f>IF(ISERROR(IF(ca_2=0," ",re_2))," ",IF(ca_2=0," ",re_2))</f>
        <v xml:space="preserve"> </v>
      </c>
      <c r="I32" s="328"/>
      <c r="J32" s="1987" t="str">
        <f>IF(ISERROR(IF(ca_3=0," ",re_3))," ",IF(ca_3=0," ",re_3))</f>
        <v xml:space="preserve"> </v>
      </c>
      <c r="K32" s="14"/>
      <c r="O32" s="568"/>
      <c r="P32" s="2032"/>
    </row>
    <row r="33" spans="1:16" s="37" customFormat="1" ht="18" customHeight="1" x14ac:dyDescent="0.3">
      <c r="A33" s="2015"/>
      <c r="B33" s="3244"/>
      <c r="C33" s="3249" t="str">
        <f>IF(activité ="Négoce","% du CA HT","% de la Prod")</f>
        <v>% de la Prod</v>
      </c>
      <c r="D33" s="3250"/>
      <c r="E33" s="15"/>
      <c r="F33" s="1994" t="str">
        <f>IF(ca_1=0," ",F32/p_1)</f>
        <v xml:space="preserve"> </v>
      </c>
      <c r="G33" s="1990"/>
      <c r="H33" s="1994" t="str">
        <f>IF(ca_2=0," ",H32/p_2)</f>
        <v xml:space="preserve"> </v>
      </c>
      <c r="I33" s="1991"/>
      <c r="J33" s="1994" t="str">
        <f>IF(ca_3=0," ",J32/p_3)</f>
        <v xml:space="preserve"> </v>
      </c>
      <c r="K33" s="15"/>
      <c r="O33" s="568"/>
      <c r="P33" s="2032"/>
    </row>
    <row r="34" spans="1:16" ht="18" customHeight="1" x14ac:dyDescent="0.3">
      <c r="A34" s="2022"/>
      <c r="B34" s="3236" t="s">
        <v>514</v>
      </c>
      <c r="C34" s="3238" t="s">
        <v>85</v>
      </c>
      <c r="D34" s="3239"/>
      <c r="F34" s="1992" t="str">
        <f>IF(ISERROR(IF(ca_1=0," ",rc_1))," ",IF(ca_1=0," ",rc_1))</f>
        <v xml:space="preserve"> </v>
      </c>
      <c r="H34" s="1992" t="str">
        <f>IF(ISERROR(IF(ca_2=0," ",rc_2))," ",IF(ca_2=0," ",rc_2))</f>
        <v xml:space="preserve"> </v>
      </c>
      <c r="J34" s="1992" t="str">
        <f>IF(ISERROR(IF(ca_3=0," ",rc_3))," ",IF(ca_3=0," ",rc_3))</f>
        <v xml:space="preserve"> </v>
      </c>
      <c r="O34" s="590"/>
      <c r="P34" s="2016"/>
    </row>
    <row r="35" spans="1:16" s="15" customFormat="1" ht="18" customHeight="1" x14ac:dyDescent="0.3">
      <c r="A35" s="2015"/>
      <c r="B35" s="3237"/>
      <c r="C35" s="3249" t="str">
        <f>IF(activité ="Négoce","% du CA HT","% de la Prod")</f>
        <v>% de la Prod</v>
      </c>
      <c r="D35" s="3250"/>
      <c r="E35" s="14"/>
      <c r="F35" s="1993" t="str">
        <f>IF(ca_1=0," ",F34/p_1)</f>
        <v xml:space="preserve"> </v>
      </c>
      <c r="G35" s="1990"/>
      <c r="H35" s="1993" t="str">
        <f>IF(ca_2=0," ",H34/p_2)</f>
        <v xml:space="preserve"> </v>
      </c>
      <c r="I35" s="1991"/>
      <c r="J35" s="1993" t="str">
        <f>IF(ca_3=0," ",J34/p_3)</f>
        <v xml:space="preserve"> </v>
      </c>
      <c r="K35" s="14"/>
      <c r="O35" s="142"/>
      <c r="P35" s="2033"/>
    </row>
    <row r="36" spans="1:16" ht="18" customHeight="1" x14ac:dyDescent="0.3">
      <c r="A36" s="2015"/>
      <c r="B36" s="3240" t="s">
        <v>509</v>
      </c>
      <c r="C36" s="3238" t="s">
        <v>85</v>
      </c>
      <c r="D36" s="3239"/>
      <c r="F36" s="1987" t="str">
        <f>IF(ISERROR(IF(ca_1=0," ",rn_1))," ",IF(ca_1=0," ",rn_1))</f>
        <v xml:space="preserve"> </v>
      </c>
      <c r="H36" s="1987" t="str">
        <f>IF(ISERROR(IF(ca_2=0," ",rn_2))," ",IF(ca_2=0," ",rn_2))</f>
        <v xml:space="preserve"> </v>
      </c>
      <c r="J36" s="1987" t="str">
        <f>IF(ISERROR(IF(ca_3=0," ",rn_3))," ",IF(ca_3=0," ",rn_3))</f>
        <v xml:space="preserve"> </v>
      </c>
      <c r="O36" s="590"/>
      <c r="P36" s="2016"/>
    </row>
    <row r="37" spans="1:16" ht="18" customHeight="1" x14ac:dyDescent="0.3">
      <c r="A37" s="2015"/>
      <c r="B37" s="3241"/>
      <c r="C37" s="3249" t="str">
        <f>IF(activité ="Négoce","% du CA HT","% de la Prod")</f>
        <v>% de la Prod</v>
      </c>
      <c r="D37" s="3250"/>
      <c r="E37" s="264"/>
      <c r="F37" s="1995" t="str">
        <f>IF(ca_1=0," ",F36/p_1)</f>
        <v xml:space="preserve"> </v>
      </c>
      <c r="G37" s="1990"/>
      <c r="H37" s="1995" t="str">
        <f>IF(ca_2=0," ",H36/p_2)</f>
        <v xml:space="preserve"> </v>
      </c>
      <c r="I37" s="1991"/>
      <c r="J37" s="1995" t="str">
        <f>IF(ca_3=0," ",J36/p_3)</f>
        <v xml:space="preserve"> </v>
      </c>
      <c r="K37" s="264"/>
      <c r="O37" s="142"/>
      <c r="P37" s="2016"/>
    </row>
    <row r="38" spans="1:16" ht="6" hidden="1" customHeight="1" x14ac:dyDescent="0.3">
      <c r="A38" s="2020"/>
      <c r="B38" s="622"/>
      <c r="C38" s="622"/>
      <c r="D38" s="622"/>
      <c r="E38" s="622"/>
      <c r="F38" s="624">
        <v>0</v>
      </c>
      <c r="H38" s="624">
        <f>IF(ISERROR(BFR_2-BFR_1)," ",BFR_2-BFR_1)</f>
        <v>0</v>
      </c>
      <c r="J38" s="624">
        <f>IF(ISERROR(BFR_3-BFR_2)," ",BFR_3-BFR_2)</f>
        <v>0</v>
      </c>
      <c r="K38" s="264"/>
      <c r="O38" s="590"/>
      <c r="P38" s="2016"/>
    </row>
    <row r="39" spans="1:16" s="264" customFormat="1" ht="6" hidden="1" customHeight="1" x14ac:dyDescent="0.3">
      <c r="A39" s="2020"/>
      <c r="B39" s="14"/>
      <c r="C39" s="14"/>
      <c r="D39" s="14"/>
      <c r="E39" s="14"/>
      <c r="F39" s="624">
        <f>amort_1</f>
        <v>0</v>
      </c>
      <c r="G39" s="328"/>
      <c r="H39" s="624">
        <f>amort_2</f>
        <v>0</v>
      </c>
      <c r="I39" s="328"/>
      <c r="J39" s="624">
        <f>amort_3</f>
        <v>0</v>
      </c>
      <c r="K39" s="14"/>
      <c r="O39" s="142"/>
      <c r="P39" s="2023"/>
    </row>
    <row r="40" spans="1:16" s="264" customFormat="1" ht="18" customHeight="1" x14ac:dyDescent="0.3">
      <c r="A40" s="2015"/>
      <c r="B40" s="3200" t="s">
        <v>634</v>
      </c>
      <c r="C40" s="3217" t="s">
        <v>85</v>
      </c>
      <c r="D40" s="3218"/>
      <c r="E40" s="15"/>
      <c r="F40" s="2000" t="str">
        <f>IF(ISERROR(IF(ca_1=0," ",caf_1))," ",IF(ca_1=0," ",caf_1))</f>
        <v xml:space="preserve"> </v>
      </c>
      <c r="G40" s="328"/>
      <c r="H40" s="2000" t="str">
        <f>IF(ISERROR(IF(ca_2=0," ",caf_2))," ",IF(ca_2=0," ",caf_2))</f>
        <v xml:space="preserve"> </v>
      </c>
      <c r="I40" s="328"/>
      <c r="J40" s="2000" t="str">
        <f>IF(ISERROR(IF(ca_3=0," ",caf_3))," ",IF(ca_3=0," ",caf_3))</f>
        <v xml:space="preserve"> </v>
      </c>
      <c r="K40" s="14"/>
      <c r="O40" s="142"/>
      <c r="P40" s="2023"/>
    </row>
    <row r="41" spans="1:16" ht="18" customHeight="1" x14ac:dyDescent="0.3">
      <c r="A41" s="2022"/>
      <c r="B41" s="3201"/>
      <c r="C41" s="3219" t="str">
        <f>IF(activité ="Négoce","% du CA HT","% de la Prod")</f>
        <v>% de la Prod</v>
      </c>
      <c r="D41" s="3220"/>
      <c r="E41" s="264"/>
      <c r="F41" s="2001" t="str">
        <f>IF(ca_1=0," ",F40/p_1)</f>
        <v xml:space="preserve"> </v>
      </c>
      <c r="G41" s="570"/>
      <c r="H41" s="2001" t="str">
        <f>IF(ca_2=0," ",H40/p_2)</f>
        <v xml:space="preserve"> </v>
      </c>
      <c r="I41" s="571"/>
      <c r="J41" s="2001" t="str">
        <f>IF(ca_3=0," ",J40/p_3)</f>
        <v xml:space="preserve"> </v>
      </c>
      <c r="K41" s="264"/>
      <c r="P41" s="2016"/>
    </row>
    <row r="42" spans="1:16" ht="3" customHeight="1" x14ac:dyDescent="0.3">
      <c r="A42" s="2020"/>
      <c r="B42" s="264"/>
      <c r="C42" s="264"/>
      <c r="D42" s="264"/>
      <c r="E42" s="264"/>
      <c r="F42" s="264"/>
      <c r="G42" s="264"/>
      <c r="H42" s="264"/>
      <c r="I42" s="264"/>
      <c r="J42" s="264"/>
      <c r="K42" s="264"/>
      <c r="O42" s="596"/>
      <c r="P42" s="2016"/>
    </row>
    <row r="43" spans="1:16" s="264" customFormat="1" ht="30" customHeight="1" x14ac:dyDescent="0.25">
      <c r="A43" s="2020"/>
      <c r="B43" s="202"/>
      <c r="C43" s="202"/>
      <c r="D43" s="202"/>
      <c r="E43" s="202"/>
      <c r="F43" s="1999" t="str">
        <f>IF(ca_1=0," ",IF(F40&lt;0,"Autofinancement capacité nulle !",IF(F40&lt;F39,"Autofinancement insuffisant"," ")))</f>
        <v xml:space="preserve"> </v>
      </c>
      <c r="G43" s="583"/>
      <c r="H43" s="1999" t="str">
        <f>IF(ca_2=0," ",IF(H40&lt;0,"Autofinancement capacité nulle !",IF(H40&lt;H39,"Autofinancement insuffisant"," ")))</f>
        <v xml:space="preserve"> </v>
      </c>
      <c r="I43" s="582"/>
      <c r="J43" s="1999" t="str">
        <f>IF(ca_3=0," ",IF(J40&lt;0,"Autofinancement capacité nulle !",IF(J40&lt;J39,"Autofinancement insuffisant"," ")))</f>
        <v xml:space="preserve"> </v>
      </c>
      <c r="O43" s="597"/>
      <c r="P43" s="2023"/>
    </row>
    <row r="44" spans="1:16" s="264" customFormat="1" ht="3" customHeight="1" x14ac:dyDescent="0.3">
      <c r="A44" s="2020"/>
      <c r="B44" s="14"/>
      <c r="C44" s="14"/>
      <c r="D44" s="14"/>
      <c r="E44" s="14"/>
      <c r="F44" s="328"/>
      <c r="G44" s="328"/>
      <c r="H44" s="328"/>
      <c r="I44" s="328"/>
      <c r="J44" s="328"/>
      <c r="K44" s="14"/>
      <c r="O44" s="598"/>
      <c r="P44" s="2023"/>
    </row>
    <row r="45" spans="1:16" s="264" customFormat="1" ht="16.95" customHeight="1" x14ac:dyDescent="0.3">
      <c r="A45" s="2015"/>
      <c r="F45" s="572" t="str">
        <f>IF(F41=" "," ",IF(OR(F40&lt;F39,F40&lt;F38,F40&lt;0),"L"," "))</f>
        <v xml:space="preserve"> </v>
      </c>
      <c r="G45" s="576"/>
      <c r="H45" s="572" t="str">
        <f>IF(H41=" "," ",IF(OR(H40&lt;H39,H40&lt;H38,H40&lt;0),"L"," "))</f>
        <v xml:space="preserve"> </v>
      </c>
      <c r="I45" s="577"/>
      <c r="J45" s="572" t="str">
        <f>IF(J41=" "," ",IF(OR(J40&lt;J39,J40&lt;J38,J40&lt;0),"L"," "))</f>
        <v xml:space="preserve"> </v>
      </c>
      <c r="N45" s="590"/>
      <c r="P45" s="2023"/>
    </row>
    <row r="46" spans="1:16" ht="25.2" customHeight="1" x14ac:dyDescent="0.3">
      <c r="A46" s="2020"/>
      <c r="B46" s="591" t="s">
        <v>683</v>
      </c>
      <c r="C46" s="264"/>
      <c r="D46" s="264"/>
      <c r="E46" s="264"/>
      <c r="F46" s="2010">
        <f>D47</f>
        <v>0.33333333333333331</v>
      </c>
      <c r="G46" s="583"/>
      <c r="H46" s="2010">
        <f>D47</f>
        <v>0.33333333333333331</v>
      </c>
      <c r="I46" s="582"/>
      <c r="J46" s="2010">
        <f>D47</f>
        <v>0.33333333333333331</v>
      </c>
      <c r="K46" s="264"/>
      <c r="P46" s="2016"/>
    </row>
    <row r="47" spans="1:16" s="264" customFormat="1" ht="19.95" customHeight="1" x14ac:dyDescent="0.3">
      <c r="A47" s="2020"/>
      <c r="B47" s="1291" t="s">
        <v>641</v>
      </c>
      <c r="C47" s="1292" t="s">
        <v>631</v>
      </c>
      <c r="D47" s="1293">
        <v>0.33333333333333331</v>
      </c>
      <c r="E47" s="563"/>
      <c r="F47" s="1294">
        <f>IF(OR(ca_1=0,i_1&lt;0),0,IF(ebe_1&lt;0,"EBE négatif",IF(ebe_1=0,"EBE nul",i_1/ebe_1)))</f>
        <v>0</v>
      </c>
      <c r="G47" s="600"/>
      <c r="H47" s="1294">
        <f>IF(OR(ca_2=0,i_2&lt;0),0,IF(ebe_2&lt;0,"EBE négatif",IF(ebe_2=0,"EBE nul",i_2/ebe_2)))</f>
        <v>0</v>
      </c>
      <c r="I47" s="600">
        <f>IF(H47&lt;50%,1,0)</f>
        <v>1</v>
      </c>
      <c r="J47" s="1294">
        <f>IF(OR(ca_3=0,i_3&lt;0),0,IF(ebe_3&lt;0,"EBE négatif",IF(ebe_3=0,"EBE nul",i_3/ebe_3)))</f>
        <v>0</v>
      </c>
      <c r="O47" s="598"/>
      <c r="P47" s="2023"/>
    </row>
    <row r="48" spans="1:16" s="264" customFormat="1" ht="3" customHeight="1" x14ac:dyDescent="0.3">
      <c r="A48" s="2020"/>
      <c r="B48" s="563"/>
      <c r="C48" s="1984"/>
      <c r="D48" s="1985"/>
      <c r="E48" s="563"/>
      <c r="F48" s="563"/>
      <c r="G48" s="600"/>
      <c r="H48" s="563"/>
      <c r="I48" s="608"/>
      <c r="J48" s="563"/>
      <c r="O48" s="598"/>
      <c r="P48" s="2023"/>
    </row>
    <row r="49" spans="1:18" s="264" customFormat="1" ht="19.95" customHeight="1" x14ac:dyDescent="0.3">
      <c r="A49" s="2020"/>
      <c r="B49" s="563"/>
      <c r="C49" s="3207" t="s">
        <v>495</v>
      </c>
      <c r="D49" s="3208"/>
      <c r="E49" s="563"/>
      <c r="F49" s="617" t="str">
        <f>IF(OR(ca_1=0,F47=0)," ",IF(F47="EBE négatif","Situation critique",IF(F47&lt;$D$47,"Risque faible",IF(F47&lt;=($D$47*2),"A surveiller","Situation critique"))))</f>
        <v xml:space="preserve"> </v>
      </c>
      <c r="G49" s="609"/>
      <c r="H49" s="617" t="str">
        <f>IF(OR(ca_2=0,H47=0)," ",IF(H47="EBE négatif","Situation critique",IF(H47&lt;$D$47,"Risque faible",IF(H47&lt;=($D$47*2),"A surveiller","Situation critique"))))</f>
        <v xml:space="preserve"> </v>
      </c>
      <c r="I49" s="610"/>
      <c r="J49" s="617" t="str">
        <f>IF(OR(ca_3=0,J47=0)," ",IF(J47="EBE négatif","Situation critique",IF(J47&lt;$D$47,"Risque faible",IF(J47&lt;=($D$47*2),"A surveiller","Situation critique"))))</f>
        <v xml:space="preserve"> </v>
      </c>
      <c r="N49" s="598"/>
      <c r="P49" s="2023"/>
    </row>
    <row r="50" spans="1:18" s="264" customFormat="1" ht="3" customHeight="1" x14ac:dyDescent="0.3">
      <c r="A50" s="2020"/>
      <c r="B50" s="14"/>
      <c r="C50" s="14"/>
      <c r="D50" s="14"/>
      <c r="E50" s="14"/>
      <c r="F50" s="328"/>
      <c r="G50" s="328"/>
      <c r="H50" s="328"/>
      <c r="I50" s="328"/>
      <c r="J50" s="328"/>
      <c r="K50" s="14"/>
      <c r="N50" s="598"/>
      <c r="P50" s="2023"/>
    </row>
    <row r="51" spans="1:18" s="264" customFormat="1" ht="19.95" customHeight="1" x14ac:dyDescent="0.3">
      <c r="A51" s="2015"/>
      <c r="B51" s="202"/>
      <c r="C51" s="202"/>
      <c r="D51" s="202"/>
      <c r="E51" s="202"/>
      <c r="F51" s="618" t="str">
        <f>IF(OR(ca_1=0,F47=0)," ",IF(F47&lt;$D$47,"J",IF(F47&gt;$D$47,"L","K")))</f>
        <v xml:space="preserve"> </v>
      </c>
      <c r="G51" s="576"/>
      <c r="H51" s="618" t="str">
        <f>IF(OR(ca_2=0,H47=0)," ",IF(H47&lt;$D$47,"J",IF(H47&gt;$D$47,"L","K")))</f>
        <v xml:space="preserve"> </v>
      </c>
      <c r="I51" s="577"/>
      <c r="J51" s="618" t="str">
        <f>IF(OR(ca_3=0,J47=0)," ",IF(J47&lt;$D$47,"J",IF(J47&gt;$D$47,"L","K")))</f>
        <v xml:space="preserve"> </v>
      </c>
      <c r="N51" s="598"/>
      <c r="P51" s="2023"/>
    </row>
    <row r="52" spans="1:18" ht="12" customHeight="1" x14ac:dyDescent="0.3">
      <c r="A52" s="2020"/>
      <c r="B52" s="584"/>
      <c r="C52" s="3209" t="s">
        <v>495</v>
      </c>
      <c r="D52" s="3210"/>
      <c r="E52" s="585"/>
      <c r="F52" s="2008">
        <f>D53</f>
        <v>0.5</v>
      </c>
      <c r="G52" s="585"/>
      <c r="H52" s="2008">
        <f>D53</f>
        <v>0.5</v>
      </c>
      <c r="I52" s="585"/>
      <c r="J52" s="2008">
        <f>D53</f>
        <v>0.5</v>
      </c>
      <c r="K52" s="586"/>
      <c r="P52" s="2016"/>
    </row>
    <row r="53" spans="1:18" s="264" customFormat="1" ht="19.95" customHeight="1" x14ac:dyDescent="0.3">
      <c r="A53" s="2015"/>
      <c r="B53" s="1291" t="s">
        <v>643</v>
      </c>
      <c r="C53" s="1295" t="s">
        <v>644</v>
      </c>
      <c r="D53" s="1296">
        <v>0.5</v>
      </c>
      <c r="E53" s="611"/>
      <c r="F53" s="1297" t="str">
        <f>IF(ISERROR(FR_1/BFR_1)," ",FR_1/BFR_1)</f>
        <v xml:space="preserve"> </v>
      </c>
      <c r="G53" s="612"/>
      <c r="H53" s="1297" t="str">
        <f>IF(ISERROR(FR_2/BFR_2)," ",FR_2/BFR_2)</f>
        <v xml:space="preserve"> </v>
      </c>
      <c r="I53" s="613"/>
      <c r="J53" s="1297" t="str">
        <f>IF(ISERROR(FR_3/BFR_3)," ",FR_3/BFR_3)</f>
        <v xml:space="preserve"> </v>
      </c>
      <c r="K53" s="14"/>
      <c r="N53" s="590"/>
      <c r="P53" s="2023"/>
    </row>
    <row r="54" spans="1:18" ht="3" customHeight="1" x14ac:dyDescent="0.3">
      <c r="A54" s="2015"/>
      <c r="F54" s="587"/>
      <c r="H54" s="587"/>
      <c r="J54" s="587"/>
      <c r="P54" s="2016"/>
    </row>
    <row r="55" spans="1:18" ht="19.95" customHeight="1" x14ac:dyDescent="0.3">
      <c r="A55" s="2015"/>
      <c r="F55" s="1996" t="str">
        <f>IF(OR(ca_1=0,F53&lt;=0)," ",IF(F53&gt;=$D$53,"ok","Insuffisant"))</f>
        <v xml:space="preserve"> </v>
      </c>
      <c r="G55" s="612"/>
      <c r="H55" s="1996" t="str">
        <f>IF(OR(ca_2=0,H53&lt;=0)," ",IF(H53&gt;=$D$53,"ok","Insuffisant"))</f>
        <v xml:space="preserve"> </v>
      </c>
      <c r="I55" s="613"/>
      <c r="J55" s="1996" t="str">
        <f>IF(OR(ca_3=0,J53&lt;=0)," ",IF(J53&gt;=$D$53,"ok","Insuffisant"))</f>
        <v xml:space="preserve"> </v>
      </c>
      <c r="N55" s="287"/>
      <c r="O55" s="14"/>
      <c r="P55" s="2016"/>
    </row>
    <row r="56" spans="1:18" ht="3" customHeight="1" x14ac:dyDescent="0.3">
      <c r="A56" s="2015"/>
      <c r="M56" s="2011"/>
      <c r="N56" s="2011"/>
      <c r="O56" s="602"/>
      <c r="P56" s="2016"/>
      <c r="R56" s="615"/>
    </row>
    <row r="57" spans="1:18" ht="19.95" customHeight="1" x14ac:dyDescent="0.3">
      <c r="A57" s="2015"/>
      <c r="F57" s="572" t="str">
        <f>IF(F53=" "," ",IF(F53&gt;$D$53,"J",IF(F53&lt;$D$53,"L","K")))</f>
        <v xml:space="preserve"> </v>
      </c>
      <c r="H57" s="572" t="str">
        <f>IF(H53=" "," ",IF(H53&gt;$D$53,"J",IF(H53&lt;$D$53,"L","K")))</f>
        <v xml:space="preserve"> </v>
      </c>
      <c r="J57" s="572" t="str">
        <f>IF(J53=" "," ",IF(J53&gt;$D$53,"J",IF(J53&lt;$D$53,"L","K")))</f>
        <v xml:space="preserve"> </v>
      </c>
      <c r="M57" s="2011"/>
      <c r="N57" s="2011"/>
      <c r="O57" s="602"/>
      <c r="P57" s="2016"/>
    </row>
    <row r="58" spans="1:18" ht="12" customHeight="1" x14ac:dyDescent="0.3">
      <c r="A58" s="2015"/>
      <c r="B58" s="563"/>
      <c r="C58" s="3209" t="s">
        <v>495</v>
      </c>
      <c r="D58" s="3210"/>
      <c r="E58" s="614"/>
      <c r="F58" s="563"/>
      <c r="G58" s="563"/>
      <c r="H58" s="600"/>
      <c r="I58" s="563"/>
      <c r="J58" s="608"/>
      <c r="K58" s="563"/>
      <c r="P58" s="2016"/>
    </row>
    <row r="59" spans="1:18" ht="19.95" customHeight="1" x14ac:dyDescent="0.3">
      <c r="A59" s="2015"/>
      <c r="B59" s="1291" t="s">
        <v>646</v>
      </c>
      <c r="C59" s="1295" t="s">
        <v>645</v>
      </c>
      <c r="D59" s="1300">
        <v>0</v>
      </c>
      <c r="E59" s="608"/>
      <c r="F59" s="1299" t="s">
        <v>647</v>
      </c>
      <c r="G59" s="600"/>
      <c r="H59" s="1298" t="str">
        <f>IF(ISERROR(IF(ISBLANK(ca_2)," ",caf_2-(BFR_2-BFR_1)))," ",IF(ISBLANK(ca_2)," ",caf_2-(BFR_2-BFR_1)))</f>
        <v xml:space="preserve"> </v>
      </c>
      <c r="I59" s="608"/>
      <c r="J59" s="1298" t="str">
        <f>IF(ISERROR(IF(ISBLANK(ca_3)," ",caf_3-(BFR_3-BFR_2)))," ",IF(ISBLANK(ca_3)," ",caf_3-(BFR_3-BFR_2)))</f>
        <v xml:space="preserve"> </v>
      </c>
      <c r="K59" s="2011"/>
      <c r="P59" s="2016"/>
    </row>
    <row r="60" spans="1:18" ht="3" customHeight="1" x14ac:dyDescent="0.3">
      <c r="A60" s="2015"/>
      <c r="L60" s="2011"/>
      <c r="M60" s="2011"/>
      <c r="N60" s="2011"/>
      <c r="O60" s="607"/>
      <c r="P60" s="2016"/>
    </row>
    <row r="61" spans="1:18" ht="30" customHeight="1" x14ac:dyDescent="0.3">
      <c r="A61" s="2015"/>
      <c r="H61" s="1998" t="str">
        <f>IF(OR(ca_2=0,H59=0)," ",IF(H59&gt;=$D$59,"ok","Pas de trésorerie dégagée par l'activité"))</f>
        <v xml:space="preserve"> </v>
      </c>
      <c r="I61" s="613"/>
      <c r="J61" s="1998" t="str">
        <f>IF(OR(ca_3=0,J59=0)," ",IF(J59&gt;=$D$59,"ok","Pas de trésorerie dégagée par l'activité"))</f>
        <v xml:space="preserve"> </v>
      </c>
      <c r="L61" s="2011"/>
      <c r="M61" s="2011"/>
      <c r="N61" s="2011"/>
      <c r="O61" s="14"/>
      <c r="P61" s="2016"/>
    </row>
    <row r="62" spans="1:18" ht="3" customHeight="1" x14ac:dyDescent="0.3">
      <c r="A62" s="2015"/>
      <c r="P62" s="2016"/>
    </row>
    <row r="63" spans="1:18" ht="19.95" customHeight="1" x14ac:dyDescent="0.3">
      <c r="A63" s="2015"/>
      <c r="H63" s="572" t="str">
        <f>IF(H59=" "," ",IF(H59&gt;$D$59,"J",IF(H59&lt;$D$59,"L","K")))</f>
        <v xml:space="preserve"> </v>
      </c>
      <c r="J63" s="572" t="str">
        <f>IF(J59=" "," ",IF(J59&gt;$D$59,"J",IF(J59&lt;$D$59,"L","K")))</f>
        <v xml:space="preserve"> </v>
      </c>
      <c r="P63" s="2016"/>
    </row>
    <row r="64" spans="1:18" ht="12" customHeight="1" x14ac:dyDescent="0.3">
      <c r="A64" s="2015"/>
      <c r="B64" s="584"/>
      <c r="C64" s="3209" t="s">
        <v>495</v>
      </c>
      <c r="D64" s="3210"/>
      <c r="E64" s="585"/>
      <c r="F64" s="684" t="str">
        <f>IF(ca_1=0," ",TN_1)</f>
        <v xml:space="preserve"> </v>
      </c>
      <c r="G64" s="585"/>
      <c r="H64" s="684" t="str">
        <f>IF(ca_2=0," ",TN_2)</f>
        <v xml:space="preserve"> </v>
      </c>
      <c r="I64" s="585"/>
      <c r="J64" s="684" t="str">
        <f>IF(ca_3=0," ",TN_3)</f>
        <v xml:space="preserve"> </v>
      </c>
      <c r="K64" s="264"/>
      <c r="P64" s="2016"/>
    </row>
    <row r="65" spans="1:16" ht="19.95" customHeight="1" x14ac:dyDescent="0.3">
      <c r="A65" s="2020"/>
      <c r="B65" s="1301" t="s">
        <v>642</v>
      </c>
      <c r="C65" s="1302" t="s">
        <v>631</v>
      </c>
      <c r="D65" s="1303">
        <v>60</v>
      </c>
      <c r="E65" s="625"/>
      <c r="F65" s="1307">
        <f>IF(ISERROR(IF(ISBLANK(ca_1),0,IF(TN_1&gt;0,"Pas de besoin",(TN_1/-1)*(durée_1*30)/(ca_1*(1+tv)*quotité_tv)))),0,IF(ISBLANK(ca_1),0,IF(TN_1&gt;0,"Pas de besoin",(TN_1/-1)*(durée_1*30)/(ca_1*(1+tv)*quotité_tv))))</f>
        <v>0</v>
      </c>
      <c r="G65" s="609"/>
      <c r="H65" s="1307">
        <f>IF(ISERROR(IF(ISBLANK(ca_2),0,IF(TN_2&gt;0,"Pas de besoin",(TN_2/-1)*(durée_2*30)/(ca_2*(1+tv)*quotité_tv)))),0,IF(ISBLANK(ca_2),0,IF(TN_2&gt;0,"Pas de besoin",(TN_2/-1)*(durée_2*30)/(ca_2*(1+tv)*quotité_tv))))</f>
        <v>0</v>
      </c>
      <c r="I65" s="610"/>
      <c r="J65" s="1307">
        <f>IF(ISERROR(IF(ISBLANK(ca_3),0,IF(TN_3&gt;0,"Pas de besoin",(TN_3/-1)*(durée_3*30)/(ca_3*(1+tv)*quotité_tv)))),0,IF(ISBLANK(ca_3),0,IF(TN_3&gt;0,"Pas de besoin",(TN_3/-1)*(durée_3*30)/(ca_3*(1+tv)*quotité_tv))))</f>
        <v>0</v>
      </c>
      <c r="P65" s="2016"/>
    </row>
    <row r="66" spans="1:16" s="264" customFormat="1" ht="19.95" customHeight="1" x14ac:dyDescent="0.3">
      <c r="A66" s="2015"/>
      <c r="B66" s="1304" t="s">
        <v>648</v>
      </c>
      <c r="C66" s="1305" t="s">
        <v>631</v>
      </c>
      <c r="D66" s="1306">
        <v>0.6</v>
      </c>
      <c r="E66" s="625"/>
      <c r="F66" s="1308">
        <f>IF(ISERROR(IF(ISBLANK(ca_1),0,IF(TN_1&gt;0,0,(TN_1/-1)/client_1))),0,IF(ISBLANK(ca_1),0,IF(TN_1&gt;0,0,(TN_1/-1)/client_1)))</f>
        <v>0</v>
      </c>
      <c r="G66" s="609"/>
      <c r="H66" s="1308">
        <f>IF(ISERROR(IF(ISBLANK(ca_2),0,IF(TN_2&gt;0,0,(TN_2/-1)/client_2))),0,IF(ISBLANK(ca_2),0,IF(TN_2&gt;0,0,(TN_2/-1)/client_2)))</f>
        <v>0</v>
      </c>
      <c r="I66" s="610"/>
      <c r="J66" s="1308">
        <f>IF(ISERROR(IF(ISBLANK(ca_3),0,IF(TN_3&gt;0,0,(TN_3/-1)/client_3))),0,IF(ISBLANK(ca_3),0,IF(TN_3&gt;0,0,(TN_3/-1)/client_3)))</f>
        <v>0</v>
      </c>
      <c r="K66" s="14"/>
      <c r="L66" s="14"/>
      <c r="N66" s="569"/>
      <c r="P66" s="2023"/>
    </row>
    <row r="67" spans="1:16" ht="3" customHeight="1" x14ac:dyDescent="0.3">
      <c r="A67" s="2015"/>
      <c r="N67" s="599"/>
      <c r="O67" s="14"/>
      <c r="P67" s="2016"/>
    </row>
    <row r="68" spans="1:16" ht="30" customHeight="1" x14ac:dyDescent="0.3">
      <c r="A68" s="2015"/>
      <c r="F68" s="1997" t="str">
        <f>IF(ca_1=0," ",IF(F66&gt;$D$66,"Vulnérabilité importante","ok "))</f>
        <v xml:space="preserve"> </v>
      </c>
      <c r="G68" s="623"/>
      <c r="H68" s="1997" t="str">
        <f>IF(ca_2=0," ",IF(H66&gt;$D$66,"Vulnérabilité importante","ok "))</f>
        <v xml:space="preserve"> </v>
      </c>
      <c r="I68" s="623"/>
      <c r="J68" s="1997" t="str">
        <f>IF(ca_3=0," ",IF(J66&gt;$D$66,"Vulnérabilité importante","ok "))</f>
        <v xml:space="preserve"> </v>
      </c>
      <c r="N68" s="599"/>
      <c r="O68" s="14"/>
      <c r="P68" s="2016"/>
    </row>
    <row r="69" spans="1:16" ht="3" customHeight="1" x14ac:dyDescent="0.3">
      <c r="A69" s="2015"/>
      <c r="P69" s="2016"/>
    </row>
    <row r="70" spans="1:16" ht="19.95" customHeight="1" x14ac:dyDescent="0.3">
      <c r="A70" s="2015"/>
      <c r="F70" s="618" t="str">
        <f>IF(F66=0," ",IF(F66&lt;$D$66,"J",IF(F66&gt;$D$66,"L","K")))</f>
        <v xml:space="preserve"> </v>
      </c>
      <c r="H70" s="618" t="str">
        <f>IF(H66=0," ",IF(H66&lt;$D$66,"J",IF(H66&gt;$D$66,"L","K")))</f>
        <v xml:space="preserve"> </v>
      </c>
      <c r="J70" s="618" t="str">
        <f>IF(J66=0," ",IF(J66&lt;$D$66,"J",IF(J66&gt;$D$66,"L","K")))</f>
        <v xml:space="preserve"> </v>
      </c>
      <c r="P70" s="2016"/>
    </row>
    <row r="71" spans="1:16" ht="12" customHeight="1" x14ac:dyDescent="0.3">
      <c r="A71" s="2015"/>
      <c r="P71" s="2016"/>
    </row>
    <row r="72" spans="1:16" ht="19.95" customHeight="1" x14ac:dyDescent="0.3">
      <c r="A72" s="2015"/>
      <c r="B72" s="1309" t="s">
        <v>742</v>
      </c>
      <c r="C72" s="3215"/>
      <c r="D72" s="3216"/>
      <c r="F72" s="1319">
        <f>Bfr!E30</f>
        <v>0</v>
      </c>
      <c r="G72" s="600"/>
      <c r="H72" s="1319">
        <f>Bfr!I30</f>
        <v>0</v>
      </c>
      <c r="I72" s="601"/>
      <c r="J72" s="1319">
        <f>Bfr!M30</f>
        <v>0</v>
      </c>
      <c r="L72" s="2011"/>
      <c r="M72" s="2011"/>
      <c r="N72" s="2011"/>
      <c r="O72" s="602"/>
      <c r="P72" s="2016"/>
    </row>
    <row r="73" spans="1:16" ht="19.95" hidden="1" customHeight="1" x14ac:dyDescent="0.3">
      <c r="A73" s="2015"/>
      <c r="B73" s="1310"/>
      <c r="C73" s="751" t="s">
        <v>739</v>
      </c>
      <c r="D73" s="1311"/>
      <c r="F73" s="1320">
        <f>IF(ISBLANK(C72),0,F72-C72)</f>
        <v>0</v>
      </c>
      <c r="G73" s="753"/>
      <c r="H73" s="1320">
        <f>IF(ISBLANK(C72),0,H72-C72)</f>
        <v>0</v>
      </c>
      <c r="I73" s="753"/>
      <c r="J73" s="1320">
        <f>IF(ISBLANK(C72),0,J72-C72)</f>
        <v>0</v>
      </c>
      <c r="P73" s="2016"/>
    </row>
    <row r="74" spans="1:16" ht="19.95" customHeight="1" x14ac:dyDescent="0.3">
      <c r="A74" s="2015"/>
      <c r="B74" s="1312" t="s">
        <v>740</v>
      </c>
      <c r="C74" s="3211"/>
      <c r="D74" s="3212"/>
      <c r="F74" s="1321">
        <f>Bfr!E41</f>
        <v>0</v>
      </c>
      <c r="G74" s="600"/>
      <c r="H74" s="1321">
        <f>Bfr!I41</f>
        <v>0</v>
      </c>
      <c r="I74" s="601"/>
      <c r="J74" s="1321">
        <f>Bfr!M41</f>
        <v>0</v>
      </c>
      <c r="L74" s="2011"/>
      <c r="M74" s="2011"/>
      <c r="N74" s="2011"/>
      <c r="O74" s="602"/>
      <c r="P74" s="2016"/>
    </row>
    <row r="75" spans="1:16" ht="19.95" hidden="1" customHeight="1" x14ac:dyDescent="0.3">
      <c r="A75" s="2015"/>
      <c r="B75" s="1310"/>
      <c r="C75" s="751" t="s">
        <v>739</v>
      </c>
      <c r="D75" s="1311"/>
      <c r="F75" s="1320">
        <f>IF(ISBLANK(C74),0,F74-C74)</f>
        <v>0</v>
      </c>
      <c r="G75" s="753"/>
      <c r="H75" s="1320">
        <f>IF(ISBLANK(C74),0,H74-C74)</f>
        <v>0</v>
      </c>
      <c r="I75" s="753"/>
      <c r="J75" s="1320">
        <f>IF(ISBLANK(C74),0,J74-C74)</f>
        <v>0</v>
      </c>
      <c r="L75" s="2011"/>
      <c r="M75" s="2011"/>
      <c r="N75" s="2011"/>
      <c r="O75" s="602"/>
      <c r="P75" s="2016"/>
    </row>
    <row r="76" spans="1:16" ht="19.95" hidden="1" customHeight="1" x14ac:dyDescent="0.3">
      <c r="A76" s="2015"/>
      <c r="B76" s="1313"/>
      <c r="C76" s="751" t="s">
        <v>739</v>
      </c>
      <c r="D76" s="1314"/>
      <c r="F76" s="1320">
        <f>IF(ISBLANK(C77),0,F77-C77)</f>
        <v>0</v>
      </c>
      <c r="G76" s="753"/>
      <c r="H76" s="1320">
        <f>IF(ISBLANK(C77),0,H77-C77)</f>
        <v>0</v>
      </c>
      <c r="I76" s="753"/>
      <c r="J76" s="1320">
        <f>IF(ISBLANK(C77),0,J77-C77)</f>
        <v>0</v>
      </c>
      <c r="L76" s="2011"/>
      <c r="M76" s="2011"/>
      <c r="N76" s="2011"/>
      <c r="O76" s="602"/>
      <c r="P76" s="2016"/>
    </row>
    <row r="77" spans="1:16" ht="20.100000000000001" hidden="1" customHeight="1" x14ac:dyDescent="0.3">
      <c r="A77" s="2015"/>
      <c r="B77" s="1315" t="s">
        <v>741</v>
      </c>
      <c r="C77" s="3211"/>
      <c r="D77" s="3212"/>
      <c r="F77" s="1322"/>
      <c r="G77" s="600"/>
      <c r="H77" s="1322"/>
      <c r="I77" s="601"/>
      <c r="J77" s="1322"/>
      <c r="L77" s="2011"/>
      <c r="M77" s="2011"/>
      <c r="N77" s="2011"/>
      <c r="O77" s="602"/>
      <c r="P77" s="2016"/>
    </row>
    <row r="78" spans="1:16" ht="20.100000000000001" hidden="1" customHeight="1" x14ac:dyDescent="0.3">
      <c r="A78" s="2015"/>
      <c r="B78" s="1316"/>
      <c r="C78" s="752"/>
      <c r="D78" s="1317" t="s">
        <v>739</v>
      </c>
      <c r="F78" s="1320">
        <f>IF(ISBLANK(C79),0,F79-C79)</f>
        <v>0</v>
      </c>
      <c r="G78" s="753"/>
      <c r="H78" s="1320">
        <f>IF(ISBLANK(C79),0,H79-C79)</f>
        <v>0</v>
      </c>
      <c r="I78" s="753"/>
      <c r="J78" s="1320">
        <f>IF(ISBLANK(C79),0,J79-C79)</f>
        <v>0</v>
      </c>
      <c r="L78" s="2011"/>
      <c r="M78" s="2011"/>
      <c r="N78" s="2011"/>
      <c r="O78" s="602"/>
      <c r="P78" s="2016"/>
    </row>
    <row r="79" spans="1:16" ht="19.95" customHeight="1" x14ac:dyDescent="0.3">
      <c r="A79" s="2015"/>
      <c r="B79" s="1318" t="s">
        <v>743</v>
      </c>
      <c r="C79" s="3213"/>
      <c r="D79" s="3214"/>
      <c r="F79" s="1323">
        <f>Bfr!E57</f>
        <v>0</v>
      </c>
      <c r="G79" s="600"/>
      <c r="H79" s="1323">
        <f>Bfr!I57</f>
        <v>0</v>
      </c>
      <c r="I79" s="601"/>
      <c r="J79" s="1323">
        <f>Bfr!M57</f>
        <v>0</v>
      </c>
      <c r="L79" s="2011"/>
      <c r="M79" s="2011"/>
      <c r="N79" s="2011"/>
      <c r="O79" s="602"/>
      <c r="P79" s="2016"/>
    </row>
    <row r="80" spans="1:16" ht="19.95" customHeight="1" x14ac:dyDescent="0.3">
      <c r="A80" s="2015"/>
      <c r="F80" s="587"/>
      <c r="H80" s="587"/>
      <c r="J80" s="587"/>
      <c r="L80" s="2011"/>
      <c r="M80" s="2011"/>
      <c r="N80" s="2011"/>
      <c r="O80" s="602"/>
      <c r="P80" s="2016"/>
    </row>
    <row r="81" spans="1:16" ht="22.2" customHeight="1" x14ac:dyDescent="0.3">
      <c r="A81" s="2015"/>
      <c r="B81" s="3204" t="s">
        <v>637</v>
      </c>
      <c r="C81" s="3205"/>
      <c r="D81" s="3206"/>
      <c r="F81" s="1333" t="s">
        <v>1080</v>
      </c>
      <c r="G81" s="604"/>
      <c r="H81" s="1328" t="s">
        <v>588</v>
      </c>
      <c r="L81" s="2011"/>
      <c r="M81" s="2011"/>
      <c r="N81" s="2011"/>
      <c r="O81" s="602"/>
      <c r="P81" s="2016"/>
    </row>
    <row r="82" spans="1:16" ht="22.2" customHeight="1" x14ac:dyDescent="0.3">
      <c r="A82" s="2015"/>
      <c r="B82" s="1326" t="s">
        <v>638</v>
      </c>
      <c r="C82" s="1061" t="s">
        <v>1003</v>
      </c>
      <c r="D82" s="1327">
        <v>0.1</v>
      </c>
      <c r="E82" s="603"/>
      <c r="F82" s="1334" t="str">
        <f>IF(ISERROR(FR_0/(ca_1*12/durée_1))," ",FR_0/(ca_1*12/durée_1))</f>
        <v xml:space="preserve"> </v>
      </c>
      <c r="G82" s="616" t="str">
        <f>IF(ca_1=0," ",IF(F82&gt;=D82,1,0))</f>
        <v xml:space="preserve"> </v>
      </c>
      <c r="H82" s="1329" t="str">
        <f>IF(ISBLANK(ca_1)," ",IF(F82&gt;=D82,"Eligible","Non éligible"))</f>
        <v xml:space="preserve"> </v>
      </c>
      <c r="I82" s="601"/>
      <c r="J82" s="3252" t="str">
        <f>IF(ISBLANK(ca_1)," ",IF(F82&gt;=D82," ","Fonds de roulement insuffisant ==&gt; revoir le plan de financement"))</f>
        <v xml:space="preserve"> </v>
      </c>
      <c r="K82" s="3252"/>
      <c r="L82" s="3252"/>
      <c r="M82" s="3252"/>
      <c r="N82" s="3252"/>
      <c r="O82" s="2147"/>
      <c r="P82" s="2016"/>
    </row>
    <row r="83" spans="1:16" ht="22.2" customHeight="1" x14ac:dyDescent="0.3">
      <c r="A83" s="2015"/>
      <c r="B83" s="1324" t="s">
        <v>636</v>
      </c>
      <c r="C83" s="1060" t="s">
        <v>1003</v>
      </c>
      <c r="D83" s="1325">
        <v>0.5</v>
      </c>
      <c r="E83" s="603"/>
      <c r="F83" s="1335" t="str">
        <f>IF(ISERROR('Plan de financement'!J90/'Plan de financement'!J104)," ",'Plan de financement'!J90/'Plan de financement'!J104)</f>
        <v xml:space="preserve"> </v>
      </c>
      <c r="G83" s="616" t="str">
        <f>IF(ca_1=0," ",IF(F83&gt;=D83,1,0))</f>
        <v xml:space="preserve"> </v>
      </c>
      <c r="H83" s="1330" t="str">
        <f>IF(ISBLANK(ca_1)," ",IF(F83&gt;=D83,"Eligible","Non éligible"))</f>
        <v xml:space="preserve"> </v>
      </c>
      <c r="I83" s="601"/>
      <c r="J83" s="3251" t="str">
        <f>IF(ISBLANK(ca_1)," ",IF(F83&gt;=D83," ","Fonds propres insuffisants ==&gt; revoir la répartition fonds propres/fonds empruntés"))</f>
        <v xml:space="preserve"> </v>
      </c>
      <c r="K83" s="2908"/>
      <c r="L83" s="2908"/>
      <c r="M83" s="2908"/>
      <c r="N83" s="2908"/>
      <c r="O83" s="2908"/>
      <c r="P83" s="2016"/>
    </row>
    <row r="84" spans="1:16" ht="22.2" customHeight="1" x14ac:dyDescent="0.3">
      <c r="A84" s="2015"/>
      <c r="B84" s="1326" t="s">
        <v>639</v>
      </c>
      <c r="C84" s="1061" t="s">
        <v>1003</v>
      </c>
      <c r="D84" s="1327">
        <v>0.33329999999999999</v>
      </c>
      <c r="E84" s="603"/>
      <c r="F84" s="1334" t="str">
        <f>IF(ISERROR('Plan de financement'!J90/'Plan de financement'!J105)," ",'Plan de financement'!J90/'Plan de financement'!J105)</f>
        <v xml:space="preserve"> </v>
      </c>
      <c r="G84" s="616" t="str">
        <f>IF(ca_1=0," ",IF(F84&gt;=D84,1,0))</f>
        <v xml:space="preserve"> </v>
      </c>
      <c r="H84" s="1331" t="str">
        <f>IF(ISBLANK(ca_1)," ",IF(F84&gt;=D84,"Eligible","Non éligible"))</f>
        <v xml:space="preserve"> </v>
      </c>
      <c r="I84" s="601"/>
      <c r="J84" s="3251" t="str">
        <f>IF(ISBLANK(ca_1)," ",IF(F84&gt;=D84," ","Fonds propres insuffisants ==&gt; revoir la répartition fonds propres/fonds empruntés"))</f>
        <v xml:space="preserve"> </v>
      </c>
      <c r="K84" s="2147"/>
      <c r="L84" s="2147"/>
      <c r="M84" s="2147"/>
      <c r="N84" s="2147"/>
      <c r="O84" s="2908"/>
      <c r="P84" s="2016"/>
    </row>
    <row r="85" spans="1:16" ht="22.2" customHeight="1" x14ac:dyDescent="0.3">
      <c r="A85" s="2015"/>
      <c r="B85" s="1324" t="s">
        <v>1002</v>
      </c>
      <c r="C85" s="1060" t="s">
        <v>1004</v>
      </c>
      <c r="D85" s="1325">
        <v>1</v>
      </c>
      <c r="E85" s="603"/>
      <c r="F85" s="1335">
        <f>IF(ISERROR(total_emprunts/total_caf),0,total_emprunts/total_caf)</f>
        <v>0</v>
      </c>
      <c r="G85" s="616" t="str">
        <f>IF(ca_1=0," ",IF(F85&lt;=D85,1,0))</f>
        <v xml:space="preserve"> </v>
      </c>
      <c r="H85" s="1332" t="str">
        <f>IF(ISBLANK(ca_1)," ",IF(F85&lt;=D85,"Eligible","Non éligible"))</f>
        <v xml:space="preserve"> </v>
      </c>
      <c r="I85" s="601"/>
      <c r="J85" s="3251" t="str">
        <f>IF(ISBLANK(ca_1)," ",IF(F85&lt;=D85," ","Endettement trop important ==&gt; revoir la répartition fonds propres/fonds empruntés"))</f>
        <v xml:space="preserve"> </v>
      </c>
      <c r="K85" s="3253"/>
      <c r="L85" s="3253"/>
      <c r="M85" s="3253"/>
      <c r="N85" s="3253"/>
      <c r="O85" s="2908"/>
      <c r="P85" s="2016"/>
    </row>
    <row r="86" spans="1:16" ht="3" customHeight="1" x14ac:dyDescent="0.3">
      <c r="A86" s="2015"/>
      <c r="G86" s="621">
        <f>SUM(G82:G85)</f>
        <v>0</v>
      </c>
      <c r="K86" s="328"/>
      <c r="L86" s="328"/>
      <c r="M86" s="328"/>
      <c r="N86" s="328"/>
      <c r="P86" s="2016"/>
    </row>
    <row r="87" spans="1:16" ht="22.2" customHeight="1" x14ac:dyDescent="0.3">
      <c r="A87" s="2015"/>
      <c r="F87" s="3202" t="str">
        <f>IF(ca_1=0," ",IF(G86=4,"Dossier éligible","Dossier non éligible"))</f>
        <v xml:space="preserve"> </v>
      </c>
      <c r="G87" s="3203"/>
      <c r="H87" s="3203"/>
      <c r="K87" s="328"/>
      <c r="L87" s="328"/>
      <c r="M87" s="328"/>
      <c r="N87" s="328"/>
      <c r="O87" s="328"/>
      <c r="P87" s="2016"/>
    </row>
    <row r="88" spans="1:16" ht="10.199999999999999" customHeight="1" x14ac:dyDescent="0.3">
      <c r="A88" s="2024"/>
      <c r="B88" s="2025"/>
      <c r="C88" s="2025"/>
      <c r="D88" s="2025"/>
      <c r="E88" s="2025"/>
      <c r="F88" s="2026"/>
      <c r="G88" s="2026"/>
      <c r="H88" s="2026"/>
      <c r="I88" s="2026"/>
      <c r="J88" s="2026"/>
      <c r="K88" s="2025"/>
      <c r="L88" s="2025"/>
      <c r="M88" s="2025"/>
      <c r="N88" s="2025"/>
      <c r="O88" s="2034"/>
      <c r="P88" s="2035"/>
    </row>
    <row r="89" spans="1:16" ht="24.9" customHeight="1" x14ac:dyDescent="0.3"/>
  </sheetData>
  <sheetProtection algorithmName="SHA-512" hashValue="qbK2DmQq8is9G8v3Lk3BFF7F9xv8donTWeOQ+wyfLpseupw56rffQf1jwgnzzBtS/+GgJZv8ixaphtEseCX2Gg==" saltValue="lx0n5LZdgbt+0Uvq/+RRMA==" spinCount="100000" sheet="1" formatCells="0" formatColumns="0" formatRows="0" insertColumns="0" insertRows="0" insertHyperlinks="0" deleteColumns="0" deleteRows="0" sort="0" autoFilter="0" pivotTables="0"/>
  <mergeCells count="40">
    <mergeCell ref="J83:O83"/>
    <mergeCell ref="J82:O82"/>
    <mergeCell ref="J84:O84"/>
    <mergeCell ref="J85:O85"/>
    <mergeCell ref="E2:O2"/>
    <mergeCell ref="L4:O5"/>
    <mergeCell ref="F14:J14"/>
    <mergeCell ref="B34:B35"/>
    <mergeCell ref="C34:D34"/>
    <mergeCell ref="B36:B37"/>
    <mergeCell ref="C36:D36"/>
    <mergeCell ref="F7:J7"/>
    <mergeCell ref="B32:B33"/>
    <mergeCell ref="C8:D8"/>
    <mergeCell ref="C31:D31"/>
    <mergeCell ref="C33:D33"/>
    <mergeCell ref="C35:D35"/>
    <mergeCell ref="C37:D37"/>
    <mergeCell ref="C32:D32"/>
    <mergeCell ref="C4:D5"/>
    <mergeCell ref="B4:B5"/>
    <mergeCell ref="C9:D9"/>
    <mergeCell ref="B2:D2"/>
    <mergeCell ref="C30:D30"/>
    <mergeCell ref="B30:B31"/>
    <mergeCell ref="C11:D11"/>
    <mergeCell ref="C23:D23"/>
    <mergeCell ref="B40:B41"/>
    <mergeCell ref="F87:H87"/>
    <mergeCell ref="B81:D81"/>
    <mergeCell ref="C49:D49"/>
    <mergeCell ref="C52:D52"/>
    <mergeCell ref="C58:D58"/>
    <mergeCell ref="C64:D64"/>
    <mergeCell ref="C74:D74"/>
    <mergeCell ref="C77:D77"/>
    <mergeCell ref="C79:D79"/>
    <mergeCell ref="C72:D72"/>
    <mergeCell ref="C40:D40"/>
    <mergeCell ref="C41:D41"/>
  </mergeCells>
  <conditionalFormatting sqref="F24 H24 J24">
    <cfRule type="cellIs" dxfId="500" priority="260" operator="between">
      <formula>$D$24</formula>
      <formula>0.8</formula>
    </cfRule>
    <cfRule type="cellIs" dxfId="499" priority="391" stopIfTrue="1" operator="greaterThan">
      <formula>0.8</formula>
    </cfRule>
  </conditionalFormatting>
  <conditionalFormatting sqref="F17">
    <cfRule type="cellIs" dxfId="498" priority="327" operator="equal">
      <formula>0</formula>
    </cfRule>
  </conditionalFormatting>
  <conditionalFormatting sqref="H17">
    <cfRule type="cellIs" dxfId="497" priority="325" operator="equal">
      <formula>0</formula>
    </cfRule>
  </conditionalFormatting>
  <conditionalFormatting sqref="J17">
    <cfRule type="cellIs" dxfId="496" priority="323" operator="equal">
      <formula>0</formula>
    </cfRule>
  </conditionalFormatting>
  <conditionalFormatting sqref="F19">
    <cfRule type="expression" dxfId="495" priority="103">
      <formula>$F$17&gt;($D$17+5%)</formula>
    </cfRule>
    <cfRule type="expression" dxfId="494" priority="306">
      <formula>F17&lt;$D$17</formula>
    </cfRule>
  </conditionalFormatting>
  <conditionalFormatting sqref="H11 J11">
    <cfRule type="cellIs" dxfId="493" priority="300" operator="lessThan">
      <formula>0</formula>
    </cfRule>
  </conditionalFormatting>
  <conditionalFormatting sqref="F22">
    <cfRule type="cellIs" dxfId="492" priority="294" stopIfTrue="1" operator="equal">
      <formula>"J"</formula>
    </cfRule>
    <cfRule type="cellIs" dxfId="491" priority="295" stopIfTrue="1" operator="equal">
      <formula>"L"</formula>
    </cfRule>
    <cfRule type="cellIs" dxfId="490" priority="296" stopIfTrue="1" operator="equal">
      <formula>"K"</formula>
    </cfRule>
  </conditionalFormatting>
  <conditionalFormatting sqref="J22 H22">
    <cfRule type="cellIs" dxfId="489" priority="291" stopIfTrue="1" operator="equal">
      <formula>"J"</formula>
    </cfRule>
    <cfRule type="cellIs" dxfId="488" priority="292" stopIfTrue="1" operator="equal">
      <formula>"L"</formula>
    </cfRule>
    <cfRule type="cellIs" dxfId="487" priority="293" stopIfTrue="1" operator="equal">
      <formula>"K"</formula>
    </cfRule>
  </conditionalFormatting>
  <conditionalFormatting sqref="F28">
    <cfRule type="cellIs" dxfId="486" priority="282" stopIfTrue="1" operator="equal">
      <formula>"J"</formula>
    </cfRule>
    <cfRule type="cellIs" dxfId="485" priority="283" stopIfTrue="1" operator="equal">
      <formula>"L"</formula>
    </cfRule>
    <cfRule type="cellIs" dxfId="484" priority="284" stopIfTrue="1" operator="equal">
      <formula>"K"</formula>
    </cfRule>
  </conditionalFormatting>
  <conditionalFormatting sqref="J28 H28">
    <cfRule type="cellIs" dxfId="483" priority="279" stopIfTrue="1" operator="equal">
      <formula>"J"</formula>
    </cfRule>
    <cfRule type="cellIs" dxfId="482" priority="280" stopIfTrue="1" operator="equal">
      <formula>"L"</formula>
    </cfRule>
    <cfRule type="cellIs" dxfId="481" priority="281" stopIfTrue="1" operator="equal">
      <formula>"K"</formula>
    </cfRule>
  </conditionalFormatting>
  <conditionalFormatting sqref="F35 H35 J35 F33 H33 J33">
    <cfRule type="cellIs" dxfId="480" priority="410" stopIfTrue="1" operator="lessThan">
      <formula>0</formula>
    </cfRule>
  </conditionalFormatting>
  <conditionalFormatting sqref="F5 H5 J5">
    <cfRule type="cellIs" dxfId="479" priority="425" stopIfTrue="1" operator="notEqual">
      <formula>12</formula>
    </cfRule>
  </conditionalFormatting>
  <conditionalFormatting sqref="F83">
    <cfRule type="cellIs" dxfId="478" priority="278" operator="lessThan">
      <formula>#REF!</formula>
    </cfRule>
  </conditionalFormatting>
  <conditionalFormatting sqref="F82">
    <cfRule type="cellIs" dxfId="477" priority="276" operator="lessThan">
      <formula>#REF!</formula>
    </cfRule>
  </conditionalFormatting>
  <conditionalFormatting sqref="F84">
    <cfRule type="cellIs" dxfId="476" priority="272" operator="lessThan">
      <formula>#REF!</formula>
    </cfRule>
  </conditionalFormatting>
  <conditionalFormatting sqref="H82">
    <cfRule type="cellIs" dxfId="475" priority="270" operator="equal">
      <formula>"Non éligible"</formula>
    </cfRule>
  </conditionalFormatting>
  <conditionalFormatting sqref="H83">
    <cfRule type="cellIs" dxfId="474" priority="267" operator="equal">
      <formula>"Non éligible"</formula>
    </cfRule>
  </conditionalFormatting>
  <conditionalFormatting sqref="H84">
    <cfRule type="cellIs" dxfId="473" priority="264" operator="equal">
      <formula>"Non éligible"</formula>
    </cfRule>
  </conditionalFormatting>
  <conditionalFormatting sqref="F85">
    <cfRule type="cellIs" dxfId="472" priority="95" operator="equal">
      <formula>0</formula>
    </cfRule>
    <cfRule type="cellIs" dxfId="471" priority="263" operator="lessThan">
      <formula>#REF!</formula>
    </cfRule>
  </conditionalFormatting>
  <conditionalFormatting sqref="H85">
    <cfRule type="cellIs" dxfId="470" priority="261" operator="equal">
      <formula>"Non éligible"</formula>
    </cfRule>
  </conditionalFormatting>
  <conditionalFormatting sqref="F26">
    <cfRule type="cellIs" dxfId="469" priority="257" operator="equal">
      <formula>"Mauvais"</formula>
    </cfRule>
    <cfRule type="expression" dxfId="468" priority="258" stopIfTrue="1">
      <formula>F24&lt;$D$24</formula>
    </cfRule>
    <cfRule type="cellIs" dxfId="467" priority="259" stopIfTrue="1" operator="equal">
      <formula>"Très mauvais"</formula>
    </cfRule>
  </conditionalFormatting>
  <conditionalFormatting sqref="H26">
    <cfRule type="cellIs" dxfId="466" priority="254" operator="equal">
      <formula>"Mauvais"</formula>
    </cfRule>
    <cfRule type="expression" dxfId="465" priority="255" stopIfTrue="1">
      <formula>H24&lt;$D$24</formula>
    </cfRule>
    <cfRule type="cellIs" dxfId="464" priority="256" stopIfTrue="1" operator="equal">
      <formula>"Très mauvais"</formula>
    </cfRule>
  </conditionalFormatting>
  <conditionalFormatting sqref="J26">
    <cfRule type="cellIs" dxfId="463" priority="251" operator="equal">
      <formula>"Mauvais"</formula>
    </cfRule>
    <cfRule type="expression" dxfId="462" priority="252" stopIfTrue="1">
      <formula>J24&lt;$D$24</formula>
    </cfRule>
    <cfRule type="cellIs" dxfId="461" priority="253" stopIfTrue="1" operator="equal">
      <formula>"Très mauvais"</formula>
    </cfRule>
  </conditionalFormatting>
  <conditionalFormatting sqref="F40">
    <cfRule type="cellIs" dxfId="460" priority="245" operator="lessThan">
      <formula>0</formula>
    </cfRule>
  </conditionalFormatting>
  <conditionalFormatting sqref="F41 H41 J41">
    <cfRule type="cellIs" dxfId="459" priority="22" operator="equal">
      <formula>0</formula>
    </cfRule>
    <cfRule type="cellIs" dxfId="458" priority="242" operator="lessThan">
      <formula>0</formula>
    </cfRule>
  </conditionalFormatting>
  <conditionalFormatting sqref="J47 H47">
    <cfRule type="cellIs" dxfId="457" priority="234" operator="equal">
      <formula>"EBE négatif"</formula>
    </cfRule>
    <cfRule type="cellIs" dxfId="456" priority="236" operator="greaterThanOrEqual">
      <formula>$D$47</formula>
    </cfRule>
    <cfRule type="cellIs" dxfId="455" priority="237" operator="equal">
      <formula>0</formula>
    </cfRule>
  </conditionalFormatting>
  <conditionalFormatting sqref="J49">
    <cfRule type="cellIs" dxfId="454" priority="233" operator="equal">
      <formula>"A surveiller"</formula>
    </cfRule>
    <cfRule type="cellIs" dxfId="453" priority="235" operator="equal">
      <formula>"Situation critique"</formula>
    </cfRule>
  </conditionalFormatting>
  <conditionalFormatting sqref="H49">
    <cfRule type="cellIs" dxfId="452" priority="231" operator="equal">
      <formula>"A surveiller"</formula>
    </cfRule>
    <cfRule type="cellIs" dxfId="451" priority="232" operator="equal">
      <formula>"Situation critique"</formula>
    </cfRule>
  </conditionalFormatting>
  <conditionalFormatting sqref="F49">
    <cfRule type="cellIs" dxfId="450" priority="229" operator="equal">
      <formula>"A surveiller"</formula>
    </cfRule>
    <cfRule type="cellIs" dxfId="449" priority="230" operator="equal">
      <formula>"Situation critique"</formula>
    </cfRule>
  </conditionalFormatting>
  <conditionalFormatting sqref="F51">
    <cfRule type="cellIs" dxfId="448" priority="226" stopIfTrue="1" operator="equal">
      <formula>"J"</formula>
    </cfRule>
    <cfRule type="cellIs" dxfId="447" priority="227" stopIfTrue="1" operator="equal">
      <formula>"L"</formula>
    </cfRule>
    <cfRule type="cellIs" dxfId="446" priority="228" stopIfTrue="1" operator="equal">
      <formula>"K"</formula>
    </cfRule>
  </conditionalFormatting>
  <conditionalFormatting sqref="F47">
    <cfRule type="cellIs" dxfId="445" priority="217" operator="equal">
      <formula>"EBE négatif"</formula>
    </cfRule>
    <cfRule type="cellIs" dxfId="444" priority="218" operator="greaterThanOrEqual">
      <formula>$D$47</formula>
    </cfRule>
    <cfRule type="cellIs" dxfId="443" priority="219" operator="equal">
      <formula>0</formula>
    </cfRule>
  </conditionalFormatting>
  <conditionalFormatting sqref="J51">
    <cfRule type="cellIs" dxfId="442" priority="211" stopIfTrue="1" operator="equal">
      <formula>"J"</formula>
    </cfRule>
    <cfRule type="cellIs" dxfId="441" priority="212" stopIfTrue="1" operator="equal">
      <formula>"L"</formula>
    </cfRule>
    <cfRule type="cellIs" dxfId="440" priority="213" stopIfTrue="1" operator="equal">
      <formula>"K"</formula>
    </cfRule>
  </conditionalFormatting>
  <conditionalFormatting sqref="H51">
    <cfRule type="cellIs" dxfId="439" priority="214" stopIfTrue="1" operator="equal">
      <formula>"J"</formula>
    </cfRule>
    <cfRule type="cellIs" dxfId="438" priority="215" stopIfTrue="1" operator="equal">
      <formula>"L"</formula>
    </cfRule>
    <cfRule type="cellIs" dxfId="437" priority="216" stopIfTrue="1" operator="equal">
      <formula>"K"</formula>
    </cfRule>
  </conditionalFormatting>
  <conditionalFormatting sqref="F45">
    <cfRule type="cellIs" dxfId="436" priority="208" stopIfTrue="1" operator="equal">
      <formula>"J"</formula>
    </cfRule>
    <cfRule type="cellIs" dxfId="435" priority="209" stopIfTrue="1" operator="equal">
      <formula>"L"</formula>
    </cfRule>
    <cfRule type="cellIs" dxfId="434" priority="210" stopIfTrue="1" operator="equal">
      <formula>"K"</formula>
    </cfRule>
  </conditionalFormatting>
  <conditionalFormatting sqref="F53 H53">
    <cfRule type="cellIs" dxfId="433" priority="191" operator="lessThan">
      <formula>$D$53</formula>
    </cfRule>
  </conditionalFormatting>
  <conditionalFormatting sqref="F87">
    <cfRule type="cellIs" dxfId="432" priority="185" operator="equal">
      <formula>"Dossier non éligible"</formula>
    </cfRule>
    <cfRule type="cellIs" dxfId="431" priority="186" operator="equal">
      <formula>"Dossier éligible"</formula>
    </cfRule>
  </conditionalFormatting>
  <conditionalFormatting sqref="F55 H55">
    <cfRule type="expression" dxfId="430" priority="183">
      <formula>F53&lt;$D$53</formula>
    </cfRule>
  </conditionalFormatting>
  <conditionalFormatting sqref="J53">
    <cfRule type="cellIs" dxfId="429" priority="180" operator="lessThan">
      <formula>$D$53</formula>
    </cfRule>
  </conditionalFormatting>
  <conditionalFormatting sqref="J55">
    <cfRule type="expression" dxfId="428" priority="179">
      <formula>J53&lt;$D$53</formula>
    </cfRule>
  </conditionalFormatting>
  <conditionalFormatting sqref="H40">
    <cfRule type="cellIs" dxfId="427" priority="243" operator="lessThan">
      <formula>0</formula>
    </cfRule>
  </conditionalFormatting>
  <conditionalFormatting sqref="J40">
    <cfRule type="cellIs" dxfId="426" priority="169" operator="lessThan">
      <formula>0</formula>
    </cfRule>
  </conditionalFormatting>
  <conditionalFormatting sqref="J45 H45">
    <cfRule type="cellIs" dxfId="425" priority="145" stopIfTrue="1" operator="equal">
      <formula>"J"</formula>
    </cfRule>
    <cfRule type="cellIs" dxfId="424" priority="146" stopIfTrue="1" operator="equal">
      <formula>"L"</formula>
    </cfRule>
    <cfRule type="cellIs" dxfId="423" priority="147" stopIfTrue="1" operator="equal">
      <formula>"K"</formula>
    </cfRule>
  </conditionalFormatting>
  <conditionalFormatting sqref="F57">
    <cfRule type="cellIs" dxfId="422" priority="137" stopIfTrue="1" operator="equal">
      <formula>"J"</formula>
    </cfRule>
    <cfRule type="cellIs" dxfId="421" priority="138" stopIfTrue="1" operator="equal">
      <formula>"L"</formula>
    </cfRule>
    <cfRule type="cellIs" dxfId="420" priority="139" stopIfTrue="1" operator="equal">
      <formula>"K"</formula>
    </cfRule>
  </conditionalFormatting>
  <conditionalFormatting sqref="J57 H57">
    <cfRule type="cellIs" dxfId="419" priority="134" stopIfTrue="1" operator="equal">
      <formula>"J"</formula>
    </cfRule>
    <cfRule type="cellIs" dxfId="418" priority="135" stopIfTrue="1" operator="equal">
      <formula>"L"</formula>
    </cfRule>
    <cfRule type="cellIs" dxfId="417" priority="136" stopIfTrue="1" operator="equal">
      <formula>"K"</formula>
    </cfRule>
  </conditionalFormatting>
  <conditionalFormatting sqref="J59 H59">
    <cfRule type="cellIs" dxfId="416" priority="133" operator="lessThan">
      <formula>0</formula>
    </cfRule>
  </conditionalFormatting>
  <conditionalFormatting sqref="J63 H63">
    <cfRule type="cellIs" dxfId="415" priority="128" stopIfTrue="1" operator="equal">
      <formula>"J"</formula>
    </cfRule>
    <cfRule type="cellIs" dxfId="414" priority="129" stopIfTrue="1" operator="equal">
      <formula>"L"</formula>
    </cfRule>
    <cfRule type="cellIs" dxfId="413" priority="130" stopIfTrue="1" operator="equal">
      <formula>"K"</formula>
    </cfRule>
  </conditionalFormatting>
  <conditionalFormatting sqref="J61">
    <cfRule type="expression" dxfId="412" priority="122">
      <formula>$J$59&lt;0</formula>
    </cfRule>
  </conditionalFormatting>
  <conditionalFormatting sqref="H70">
    <cfRule type="cellIs" dxfId="411" priority="115" stopIfTrue="1" operator="equal">
      <formula>"J"</formula>
    </cfRule>
    <cfRule type="cellIs" dxfId="410" priority="116" stopIfTrue="1" operator="equal">
      <formula>"L"</formula>
    </cfRule>
    <cfRule type="cellIs" dxfId="409" priority="117" stopIfTrue="1" operator="equal">
      <formula>"K"</formula>
    </cfRule>
  </conditionalFormatting>
  <conditionalFormatting sqref="F65 H65">
    <cfRule type="expression" dxfId="408" priority="94">
      <formula>F64&gt;0</formula>
    </cfRule>
    <cfRule type="cellIs" dxfId="407" priority="114" operator="greaterThan">
      <formula>$D$65</formula>
    </cfRule>
  </conditionalFormatting>
  <conditionalFormatting sqref="F66 H66 J66">
    <cfRule type="cellIs" dxfId="406" priority="113" operator="greaterThan">
      <formula>$D$66</formula>
    </cfRule>
  </conditionalFormatting>
  <conditionalFormatting sqref="F68 H68">
    <cfRule type="expression" dxfId="405" priority="112">
      <formula>F66&gt;$D$66</formula>
    </cfRule>
  </conditionalFormatting>
  <conditionalFormatting sqref="J68">
    <cfRule type="expression" dxfId="404" priority="111">
      <formula>J66&gt;$D$66</formula>
    </cfRule>
  </conditionalFormatting>
  <conditionalFormatting sqref="F70">
    <cfRule type="cellIs" dxfId="403" priority="108" stopIfTrue="1" operator="equal">
      <formula>"J"</formula>
    </cfRule>
    <cfRule type="cellIs" dxfId="402" priority="109" stopIfTrue="1" operator="equal">
      <formula>"L"</formula>
    </cfRule>
    <cfRule type="cellIs" dxfId="401" priority="110" stopIfTrue="1" operator="equal">
      <formula>"K"</formula>
    </cfRule>
  </conditionalFormatting>
  <conditionalFormatting sqref="J70">
    <cfRule type="cellIs" dxfId="400" priority="105" stopIfTrue="1" operator="equal">
      <formula>"J"</formula>
    </cfRule>
    <cfRule type="cellIs" dxfId="399" priority="106" stopIfTrue="1" operator="equal">
      <formula>"L"</formula>
    </cfRule>
    <cfRule type="cellIs" dxfId="398" priority="107" stopIfTrue="1" operator="equal">
      <formula>"K"</formula>
    </cfRule>
  </conditionalFormatting>
  <conditionalFormatting sqref="H61">
    <cfRule type="expression" dxfId="397" priority="104">
      <formula>$H$59&lt;0</formula>
    </cfRule>
  </conditionalFormatting>
  <conditionalFormatting sqref="H19">
    <cfRule type="expression" dxfId="396" priority="101">
      <formula>$F$17&gt;($D$17+5%)</formula>
    </cfRule>
    <cfRule type="expression" dxfId="395" priority="102">
      <formula>H17&lt;$D$17</formula>
    </cfRule>
  </conditionalFormatting>
  <conditionalFormatting sqref="J19">
    <cfRule type="expression" dxfId="394" priority="99">
      <formula>$J$17&gt;($D$17+5%)</formula>
    </cfRule>
    <cfRule type="expression" dxfId="393" priority="100">
      <formula>J17&lt;$D$17</formula>
    </cfRule>
  </conditionalFormatting>
  <conditionalFormatting sqref="F24">
    <cfRule type="cellIs" dxfId="392" priority="98" operator="equal">
      <formula>0</formula>
    </cfRule>
  </conditionalFormatting>
  <conditionalFormatting sqref="H24">
    <cfRule type="cellIs" dxfId="391" priority="97" operator="equal">
      <formula>0</formula>
    </cfRule>
  </conditionalFormatting>
  <conditionalFormatting sqref="J24">
    <cfRule type="cellIs" dxfId="390" priority="96" operator="equal">
      <formula>0</formula>
    </cfRule>
  </conditionalFormatting>
  <conditionalFormatting sqref="J65">
    <cfRule type="expression" dxfId="389" priority="92">
      <formula>J64&gt;0</formula>
    </cfRule>
    <cfRule type="cellIs" dxfId="388" priority="93" operator="greaterThan">
      <formula>$D$65</formula>
    </cfRule>
  </conditionalFormatting>
  <conditionalFormatting sqref="F79">
    <cfRule type="cellIs" dxfId="387" priority="91" operator="equal">
      <formula>0</formula>
    </cfRule>
  </conditionalFormatting>
  <conditionalFormatting sqref="F79">
    <cfRule type="expression" dxfId="386" priority="90">
      <formula>F78&gt;0</formula>
    </cfRule>
  </conditionalFormatting>
  <conditionalFormatting sqref="H79">
    <cfRule type="cellIs" dxfId="385" priority="89" operator="equal">
      <formula>0</formula>
    </cfRule>
  </conditionalFormatting>
  <conditionalFormatting sqref="H79">
    <cfRule type="expression" dxfId="384" priority="88">
      <formula>H78&gt;0</formula>
    </cfRule>
  </conditionalFormatting>
  <conditionalFormatting sqref="J79">
    <cfRule type="cellIs" dxfId="383" priority="87" operator="equal">
      <formula>0</formula>
    </cfRule>
  </conditionalFormatting>
  <conditionalFormatting sqref="J79">
    <cfRule type="expression" dxfId="382" priority="86">
      <formula>J78&gt;0</formula>
    </cfRule>
  </conditionalFormatting>
  <conditionalFormatting sqref="F74">
    <cfRule type="cellIs" dxfId="381" priority="85" operator="equal">
      <formula>0</formula>
    </cfRule>
  </conditionalFormatting>
  <conditionalFormatting sqref="F74">
    <cfRule type="expression" dxfId="380" priority="84">
      <formula>F75&gt;0</formula>
    </cfRule>
  </conditionalFormatting>
  <conditionalFormatting sqref="F77">
    <cfRule type="expression" dxfId="379" priority="74">
      <formula>F76&gt;0</formula>
    </cfRule>
    <cfRule type="cellIs" dxfId="378" priority="76" operator="equal">
      <formula>0</formula>
    </cfRule>
  </conditionalFormatting>
  <conditionalFormatting sqref="F72">
    <cfRule type="cellIs" dxfId="377" priority="67" operator="equal">
      <formula>0</formula>
    </cfRule>
  </conditionalFormatting>
  <conditionalFormatting sqref="F72">
    <cfRule type="expression" dxfId="376" priority="66">
      <formula>F73&gt;0</formula>
    </cfRule>
  </conditionalFormatting>
  <conditionalFormatting sqref="J72 H72">
    <cfRule type="cellIs" dxfId="375" priority="57" operator="equal">
      <formula>0</formula>
    </cfRule>
  </conditionalFormatting>
  <conditionalFormatting sqref="J72 H72">
    <cfRule type="expression" dxfId="374" priority="56">
      <formula>H73&gt;0</formula>
    </cfRule>
  </conditionalFormatting>
  <conditionalFormatting sqref="J74 H74">
    <cfRule type="cellIs" dxfId="373" priority="55" operator="equal">
      <formula>0</formula>
    </cfRule>
  </conditionalFormatting>
  <conditionalFormatting sqref="J74 H74">
    <cfRule type="expression" dxfId="372" priority="54">
      <formula>H75&gt;0</formula>
    </cfRule>
  </conditionalFormatting>
  <conditionalFormatting sqref="J77 H77">
    <cfRule type="expression" dxfId="371" priority="52">
      <formula>H76&gt;0</formula>
    </cfRule>
    <cfRule type="cellIs" dxfId="370" priority="53" operator="equal">
      <formula>0</formula>
    </cfRule>
  </conditionalFormatting>
  <conditionalFormatting sqref="F9">
    <cfRule type="cellIs" dxfId="369" priority="48" operator="lessThan">
      <formula>F8</formula>
    </cfRule>
  </conditionalFormatting>
  <conditionalFormatting sqref="H9">
    <cfRule type="cellIs" dxfId="368" priority="47" operator="lessThan">
      <formula>H8</formula>
    </cfRule>
  </conditionalFormatting>
  <conditionalFormatting sqref="J9">
    <cfRule type="cellIs" dxfId="367" priority="46" operator="lessThan">
      <formula>J8</formula>
    </cfRule>
  </conditionalFormatting>
  <conditionalFormatting sqref="F13">
    <cfRule type="cellIs" dxfId="366" priority="40" stopIfTrue="1" operator="equal">
      <formula>"J"</formula>
    </cfRule>
    <cfRule type="cellIs" dxfId="365" priority="41" stopIfTrue="1" operator="equal">
      <formula>"L"</formula>
    </cfRule>
    <cfRule type="cellIs" dxfId="364" priority="42" stopIfTrue="1" operator="equal">
      <formula>"K"</formula>
    </cfRule>
  </conditionalFormatting>
  <conditionalFormatting sqref="J13 H13">
    <cfRule type="cellIs" dxfId="363" priority="34" stopIfTrue="1" operator="equal">
      <formula>"J"</formula>
    </cfRule>
    <cfRule type="cellIs" dxfId="362" priority="35" stopIfTrue="1" operator="equal">
      <formula>"L"</formula>
    </cfRule>
    <cfRule type="cellIs" dxfId="361" priority="36" stopIfTrue="1" operator="equal">
      <formula>"K"</formula>
    </cfRule>
  </conditionalFormatting>
  <conditionalFormatting sqref="F11">
    <cfRule type="cellIs" dxfId="360" priority="33" operator="lessThan">
      <formula>0</formula>
    </cfRule>
  </conditionalFormatting>
  <conditionalFormatting sqref="O60">
    <cfRule type="expression" dxfId="359" priority="942">
      <formula>K82&lt;I82</formula>
    </cfRule>
  </conditionalFormatting>
  <conditionalFormatting sqref="O81">
    <cfRule type="expression" dxfId="358" priority="943">
      <formula>K86&gt;I86</formula>
    </cfRule>
  </conditionalFormatting>
  <conditionalFormatting sqref="O56:O57">
    <cfRule type="expression" dxfId="357" priority="944">
      <formula>K66&gt;I66</formula>
    </cfRule>
  </conditionalFormatting>
  <conditionalFormatting sqref="O75:O80 O72">
    <cfRule type="expression" dxfId="356" priority="945">
      <formula>K85&gt;I85</formula>
    </cfRule>
  </conditionalFormatting>
  <conditionalFormatting sqref="O74">
    <cfRule type="expression" dxfId="355" priority="946">
      <formula>K86&gt;I86</formula>
    </cfRule>
  </conditionalFormatting>
  <conditionalFormatting sqref="J82:O84">
    <cfRule type="expression" dxfId="354" priority="29">
      <formula>F82&lt;D82</formula>
    </cfRule>
  </conditionalFormatting>
  <conditionalFormatting sqref="J85:O85">
    <cfRule type="expression" dxfId="353" priority="26">
      <formula>F85&gt;D85</formula>
    </cfRule>
  </conditionalFormatting>
  <conditionalFormatting sqref="F4">
    <cfRule type="expression" dxfId="352" priority="25">
      <formula>F5&lt;&gt;12</formula>
    </cfRule>
  </conditionalFormatting>
  <conditionalFormatting sqref="H4">
    <cfRule type="expression" dxfId="351" priority="24">
      <formula>H5&lt;&gt;12</formula>
    </cfRule>
  </conditionalFormatting>
  <conditionalFormatting sqref="J4">
    <cfRule type="expression" dxfId="350" priority="23">
      <formula>J5&lt;&gt;12</formula>
    </cfRule>
  </conditionalFormatting>
  <conditionalFormatting sqref="F32 H32 J32 J34 H34 F34 F36 H36 J36">
    <cfRule type="cellIs" dxfId="349" priority="18" operator="lessThan">
      <formula>0</formula>
    </cfRule>
  </conditionalFormatting>
  <conditionalFormatting sqref="F30:F31 H30:H31 J30:J31">
    <cfRule type="cellIs" dxfId="348" priority="17" operator="lessThan">
      <formula>0</formula>
    </cfRule>
  </conditionalFormatting>
  <conditionalFormatting sqref="F20">
    <cfRule type="expression" dxfId="347" priority="10">
      <formula>G19=1</formula>
    </cfRule>
    <cfRule type="cellIs" dxfId="346" priority="11" operator="equal">
      <formula>"OUI"</formula>
    </cfRule>
    <cfRule type="cellIs" dxfId="345" priority="12" stopIfTrue="1" operator="equal">
      <formula>"non"</formula>
    </cfRule>
  </conditionalFormatting>
  <conditionalFormatting sqref="F43 H43 J43">
    <cfRule type="cellIs" dxfId="344" priority="249" stopIfTrue="1" operator="equal">
      <formula>"Autofinancement insuffisant"</formula>
    </cfRule>
    <cfRule type="cellIs" dxfId="343" priority="250" stopIfTrue="1" operator="equal">
      <formula>"Autofinancement capacité nulle !"</formula>
    </cfRule>
  </conditionalFormatting>
  <conditionalFormatting sqref="H20">
    <cfRule type="expression" dxfId="342" priority="7">
      <formula>I19=1</formula>
    </cfRule>
    <cfRule type="cellIs" dxfId="341" priority="8" operator="equal">
      <formula>"OUI"</formula>
    </cfRule>
    <cfRule type="cellIs" dxfId="340" priority="9" stopIfTrue="1" operator="equal">
      <formula>"non"</formula>
    </cfRule>
  </conditionalFormatting>
  <conditionalFormatting sqref="J20">
    <cfRule type="expression" dxfId="339" priority="4">
      <formula>K19=1</formula>
    </cfRule>
    <cfRule type="cellIs" dxfId="338" priority="5" operator="equal">
      <formula>"OUI"</formula>
    </cfRule>
    <cfRule type="cellIs" dxfId="337" priority="6" stopIfTrue="1" operator="equal">
      <formula>"non"</formula>
    </cfRule>
  </conditionalFormatting>
  <conditionalFormatting sqref="F14:J14">
    <cfRule type="expression" dxfId="336" priority="1">
      <formula>$D$13=1</formula>
    </cfRule>
  </conditionalFormatting>
  <dataValidations count="3">
    <dataValidation allowBlank="1" showInputMessage="1" showErrorMessage="1" prompt="exprimé en jours de production vendue" sqref="C77" xr:uid="{00000000-0002-0000-0A00-000000000000}"/>
    <dataValidation allowBlank="1" showInputMessage="1" showErrorMessage="1" prompt="exprimé en jours d'achat" sqref="C74" xr:uid="{00000000-0002-0000-0A00-000001000000}"/>
    <dataValidation type="list" allowBlank="1" showInputMessage="1" showErrorMessage="1" sqref="H20 J20 F20" xr:uid="{00000000-0002-0000-0A00-000002000000}">
      <formula1>"oui,non"</formula1>
    </dataValidation>
  </dataValidations>
  <pageMargins left="0" right="0" top="0" bottom="0" header="0" footer="0"/>
  <pageSetup paperSize="9" scale="67"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B1:Z25"/>
  <sheetViews>
    <sheetView showGridLines="0" topLeftCell="A5" workbookViewId="0">
      <pane ySplit="5" topLeftCell="A10" activePane="bottomLeft" state="frozenSplit"/>
      <selection activeCell="A5" sqref="A5"/>
      <selection pane="bottomLeft" activeCell="E13" sqref="E13"/>
    </sheetView>
  </sheetViews>
  <sheetFormatPr baseColWidth="10" defaultColWidth="10.77734375" defaultRowHeight="13.8" x14ac:dyDescent="0.3"/>
  <cols>
    <col min="1" max="1" width="1.77734375" style="627" customWidth="1"/>
    <col min="2" max="2" width="32" style="627" customWidth="1"/>
    <col min="3" max="3" width="1" style="627" customWidth="1"/>
    <col min="4" max="4" width="12.77734375" style="628" customWidth="1"/>
    <col min="5" max="5" width="7.77734375" style="627" customWidth="1"/>
    <col min="6" max="6" width="0.6640625" style="627" customWidth="1"/>
    <col min="7" max="7" width="8.77734375" style="629" customWidth="1"/>
    <col min="8" max="8" width="12.77734375" style="630" customWidth="1"/>
    <col min="9" max="9" width="0.6640625" style="627" customWidth="1"/>
    <col min="10" max="10" width="11.77734375" style="628" customWidth="1"/>
    <col min="11" max="11" width="1" style="627" customWidth="1"/>
    <col min="12" max="12" width="12.77734375" style="628" customWidth="1"/>
    <col min="13" max="13" width="7.77734375" style="627" customWidth="1"/>
    <col min="14" max="14" width="0.44140625" style="627" customWidth="1"/>
    <col min="15" max="15" width="8.77734375" style="629" customWidth="1"/>
    <col min="16" max="16" width="12.77734375" style="630" customWidth="1"/>
    <col min="17" max="17" width="0.6640625" style="627" customWidth="1"/>
    <col min="18" max="18" width="11.77734375" style="627" customWidth="1"/>
    <col min="19" max="19" width="1" style="627" customWidth="1"/>
    <col min="20" max="20" width="12.77734375" style="628" customWidth="1"/>
    <col min="21" max="21" width="7.77734375" style="627" customWidth="1"/>
    <col min="22" max="22" width="0.44140625" style="627" customWidth="1"/>
    <col min="23" max="23" width="8.77734375" style="629" customWidth="1"/>
    <col min="24" max="24" width="12.77734375" style="630" customWidth="1"/>
    <col min="25" max="25" width="0.6640625" style="627" customWidth="1"/>
    <col min="26" max="26" width="11.77734375" style="628" customWidth="1"/>
    <col min="27" max="16384" width="10.77734375" style="627"/>
  </cols>
  <sheetData>
    <row r="1" spans="2:26" ht="3" hidden="1" customHeight="1" x14ac:dyDescent="0.3"/>
    <row r="2" spans="2:26" s="631" customFormat="1" ht="30" hidden="1" customHeight="1" x14ac:dyDescent="0.3">
      <c r="B2" s="3266" t="s">
        <v>618</v>
      </c>
      <c r="C2" s="3266"/>
      <c r="D2" s="3266"/>
      <c r="E2" s="3266"/>
      <c r="F2" s="3266"/>
      <c r="G2" s="3266"/>
      <c r="H2" s="3266"/>
      <c r="I2" s="3266"/>
      <c r="J2" s="3266"/>
      <c r="K2" s="3266"/>
      <c r="L2" s="3266"/>
      <c r="M2" s="3266"/>
      <c r="N2" s="3266"/>
      <c r="O2" s="3266"/>
      <c r="P2" s="3266"/>
      <c r="Q2" s="3266"/>
      <c r="R2" s="3266"/>
      <c r="S2" s="3266"/>
      <c r="T2" s="3266"/>
      <c r="U2" s="3266"/>
      <c r="V2" s="632"/>
      <c r="W2" s="632"/>
      <c r="X2" s="633"/>
      <c r="Y2" s="632"/>
      <c r="Z2" s="633"/>
    </row>
    <row r="3" spans="2:26" s="631" customFormat="1" ht="20.100000000000001" hidden="1" customHeight="1" x14ac:dyDescent="0.3">
      <c r="B3" s="3267" t="s">
        <v>619</v>
      </c>
      <c r="C3" s="3267"/>
      <c r="D3" s="3267"/>
      <c r="E3" s="3267"/>
      <c r="F3" s="3267"/>
      <c r="G3" s="3267"/>
      <c r="H3" s="3267"/>
      <c r="I3" s="3267"/>
      <c r="J3" s="3267"/>
      <c r="K3" s="3267"/>
      <c r="L3" s="3267"/>
      <c r="M3" s="3267"/>
      <c r="N3" s="3267"/>
      <c r="O3" s="3267"/>
      <c r="P3" s="3267"/>
      <c r="Q3" s="3267"/>
      <c r="R3" s="3267"/>
      <c r="S3" s="3267"/>
      <c r="T3" s="3267"/>
      <c r="U3" s="3267"/>
      <c r="V3" s="634"/>
      <c r="W3" s="634"/>
      <c r="X3" s="635"/>
      <c r="Y3" s="634"/>
      <c r="Z3" s="635"/>
    </row>
    <row r="4" spans="2:26" s="631" customFormat="1" ht="9" hidden="1" customHeight="1" x14ac:dyDescent="0.3">
      <c r="B4" s="636"/>
      <c r="C4" s="637"/>
      <c r="D4" s="638"/>
      <c r="E4" s="639"/>
      <c r="F4" s="639"/>
      <c r="G4" s="640"/>
      <c r="H4" s="641"/>
      <c r="I4" s="639"/>
      <c r="J4" s="638"/>
      <c r="K4" s="639"/>
      <c r="L4" s="638"/>
      <c r="M4" s="639"/>
      <c r="N4" s="639"/>
      <c r="O4" s="640"/>
      <c r="P4" s="641"/>
      <c r="Q4" s="639"/>
      <c r="R4" s="639"/>
      <c r="S4" s="639"/>
      <c r="T4" s="638"/>
      <c r="U4" s="642"/>
      <c r="V4" s="639"/>
      <c r="W4" s="640"/>
      <c r="X4" s="641"/>
      <c r="Y4" s="639"/>
      <c r="Z4" s="638"/>
    </row>
    <row r="5" spans="2:26" s="631" customFormat="1" ht="6" customHeight="1" x14ac:dyDescent="0.3">
      <c r="B5" s="1848"/>
      <c r="C5" s="1849"/>
      <c r="D5" s="1850"/>
      <c r="E5" s="1851"/>
      <c r="F5" s="1851"/>
      <c r="G5" s="1852"/>
      <c r="H5" s="1853"/>
      <c r="I5" s="1851"/>
      <c r="J5" s="1850"/>
      <c r="K5" s="1851"/>
      <c r="L5" s="1850"/>
      <c r="M5" s="1851"/>
      <c r="N5" s="1851"/>
      <c r="O5" s="1852"/>
      <c r="P5" s="1853"/>
      <c r="Q5" s="1851"/>
      <c r="R5" s="1851"/>
      <c r="S5" s="1851"/>
      <c r="T5" s="1850"/>
      <c r="U5" s="1854"/>
      <c r="V5" s="1851"/>
      <c r="W5" s="1852"/>
      <c r="X5" s="1853"/>
      <c r="Y5" s="1851"/>
      <c r="Z5" s="1855"/>
    </row>
    <row r="6" spans="2:26" s="631" customFormat="1" ht="21.9" customHeight="1" x14ac:dyDescent="0.3">
      <c r="B6" s="2692" t="str">
        <f>IF(ISBLANK(dossier)," ",dossier)</f>
        <v xml:space="preserve"> </v>
      </c>
      <c r="C6" s="3273"/>
      <c r="D6" s="3273"/>
      <c r="E6" s="3274"/>
      <c r="F6" s="3275" t="s">
        <v>884</v>
      </c>
      <c r="G6" s="3275"/>
      <c r="H6" s="3275"/>
      <c r="I6" s="3275"/>
      <c r="J6" s="3275"/>
      <c r="K6" s="3275"/>
      <c r="L6" s="3275"/>
      <c r="M6" s="3275"/>
      <c r="N6" s="3275"/>
      <c r="O6" s="3275"/>
      <c r="P6" s="3275"/>
      <c r="Q6" s="3275"/>
      <c r="R6" s="3275"/>
      <c r="S6" s="3275"/>
      <c r="T6" s="3275"/>
      <c r="U6" s="3275"/>
      <c r="V6" s="3275"/>
      <c r="W6" s="3275"/>
      <c r="X6" s="3275"/>
      <c r="Y6" s="3275"/>
      <c r="Z6" s="3276"/>
    </row>
    <row r="7" spans="2:26" s="631" customFormat="1" ht="9" customHeight="1" x14ac:dyDescent="0.3">
      <c r="B7" s="1773"/>
      <c r="C7" s="1766"/>
      <c r="D7" s="1767"/>
      <c r="E7" s="1768"/>
      <c r="F7" s="1768"/>
      <c r="G7" s="1769"/>
      <c r="H7" s="1770"/>
      <c r="I7" s="1768"/>
      <c r="J7" s="1767"/>
      <c r="K7" s="1768"/>
      <c r="L7" s="1767"/>
      <c r="M7" s="1768"/>
      <c r="N7" s="1768"/>
      <c r="O7" s="1769"/>
      <c r="P7" s="1770"/>
      <c r="Q7" s="1768"/>
      <c r="R7" s="1768"/>
      <c r="S7" s="1768"/>
      <c r="T7" s="1767"/>
      <c r="U7" s="1771"/>
      <c r="V7" s="1768"/>
      <c r="W7" s="1769"/>
      <c r="X7" s="1770"/>
      <c r="Y7" s="1768"/>
      <c r="Z7" s="1772"/>
    </row>
    <row r="8" spans="2:26" s="631" customFormat="1" ht="21.9" customHeight="1" x14ac:dyDescent="0.3">
      <c r="B8" s="1765" t="s">
        <v>661</v>
      </c>
      <c r="C8" s="637"/>
      <c r="D8" s="3270" t="s">
        <v>1039</v>
      </c>
      <c r="E8" s="3271"/>
      <c r="F8" s="3271"/>
      <c r="G8" s="3271"/>
      <c r="H8" s="3271"/>
      <c r="I8" s="3271"/>
      <c r="J8" s="3272"/>
      <c r="K8" s="643"/>
      <c r="L8" s="3270" t="s">
        <v>1037</v>
      </c>
      <c r="M8" s="3271"/>
      <c r="N8" s="3271"/>
      <c r="O8" s="3271"/>
      <c r="P8" s="3271"/>
      <c r="Q8" s="3271"/>
      <c r="R8" s="3272"/>
      <c r="S8" s="643"/>
      <c r="T8" s="3270" t="s">
        <v>1061</v>
      </c>
      <c r="U8" s="3271"/>
      <c r="V8" s="3271"/>
      <c r="W8" s="3271"/>
      <c r="X8" s="3271"/>
      <c r="Y8" s="3271"/>
      <c r="Z8" s="3272"/>
    </row>
    <row r="9" spans="2:26" s="644" customFormat="1" ht="20.100000000000001" customHeight="1" x14ac:dyDescent="0.25">
      <c r="D9" s="3268" t="s">
        <v>650</v>
      </c>
      <c r="E9" s="3268"/>
      <c r="F9" s="645"/>
      <c r="G9" s="3269" t="s">
        <v>651</v>
      </c>
      <c r="H9" s="3269"/>
      <c r="J9" s="724" t="s">
        <v>652</v>
      </c>
      <c r="L9" s="3268" t="s">
        <v>650</v>
      </c>
      <c r="M9" s="3268"/>
      <c r="N9" s="645"/>
      <c r="O9" s="3269" t="s">
        <v>651</v>
      </c>
      <c r="P9" s="3269"/>
      <c r="R9" s="724" t="s">
        <v>652</v>
      </c>
      <c r="T9" s="3268" t="s">
        <v>650</v>
      </c>
      <c r="U9" s="3268"/>
      <c r="V9" s="645"/>
      <c r="W9" s="3269" t="s">
        <v>651</v>
      </c>
      <c r="X9" s="3269"/>
      <c r="Z9" s="724" t="s">
        <v>652</v>
      </c>
    </row>
    <row r="10" spans="2:26" s="631" customFormat="1" ht="24.9" customHeight="1" x14ac:dyDescent="0.3">
      <c r="B10" s="1336" t="s">
        <v>507</v>
      </c>
      <c r="C10" s="637"/>
      <c r="D10" s="1340">
        <f>ca_1</f>
        <v>0</v>
      </c>
      <c r="E10" s="1370" t="str">
        <f>IF(D10=0," ",100%)</f>
        <v xml:space="preserve"> </v>
      </c>
      <c r="F10" s="645"/>
      <c r="G10" s="1384"/>
      <c r="H10" s="1378">
        <f>IF(ISBLANK(G10),0,p_1*G10)</f>
        <v>0</v>
      </c>
      <c r="I10" s="639"/>
      <c r="J10" s="1343" t="str">
        <f>IF(ISBLANK(G10)," ",H10-D10)</f>
        <v xml:space="preserve"> </v>
      </c>
      <c r="K10" s="639"/>
      <c r="L10" s="1340">
        <f>ca_2</f>
        <v>0</v>
      </c>
      <c r="M10" s="1370" t="str">
        <f>IF(L10=0," ",100%)</f>
        <v xml:space="preserve"> </v>
      </c>
      <c r="N10" s="645"/>
      <c r="O10" s="1384"/>
      <c r="P10" s="1378">
        <f>IF(ISBLANK(O10),0,p_2*O10)</f>
        <v>0</v>
      </c>
      <c r="Q10" s="639"/>
      <c r="R10" s="1343" t="str">
        <f>IF(ISBLANK(O10)," ",P10-L10)</f>
        <v xml:space="preserve"> </v>
      </c>
      <c r="S10" s="639"/>
      <c r="T10" s="1340">
        <f>ca_3</f>
        <v>0</v>
      </c>
      <c r="U10" s="1370" t="str">
        <f>IF(T10=0," ",100%)</f>
        <v xml:space="preserve"> </v>
      </c>
      <c r="V10" s="645"/>
      <c r="W10" s="1384"/>
      <c r="X10" s="1378">
        <f>IF(ISBLANK(W10),0,p_3*W10)</f>
        <v>0</v>
      </c>
      <c r="Y10" s="639"/>
      <c r="Z10" s="1343" t="str">
        <f>IF(ISBLANK(W10)," ",X10-T10)</f>
        <v xml:space="preserve"> </v>
      </c>
    </row>
    <row r="11" spans="2:26" s="646" customFormat="1" ht="24.9" customHeight="1" x14ac:dyDescent="0.3">
      <c r="B11" s="1337" t="str">
        <f>IF(activité ="Négoce","Marge commerciale","Marge brute")</f>
        <v>Marge brute</v>
      </c>
      <c r="C11" s="647"/>
      <c r="D11" s="1341">
        <f>marge_brute_1</f>
        <v>0</v>
      </c>
      <c r="E11" s="1371" t="str">
        <f>IF(ca_1=0," ",tx_marge_brute_1)</f>
        <v xml:space="preserve"> </v>
      </c>
      <c r="F11" s="645"/>
      <c r="G11" s="1385"/>
      <c r="H11" s="1379">
        <f>ROUND(H10*G11,0)</f>
        <v>0</v>
      </c>
      <c r="I11" s="648"/>
      <c r="J11" s="1344" t="str">
        <f t="shared" ref="J11:J12" si="0">IF(ISBLANK(G11)," ",H11-D11)</f>
        <v xml:space="preserve"> </v>
      </c>
      <c r="K11" s="648"/>
      <c r="L11" s="1341">
        <f>marge_brute_2</f>
        <v>0</v>
      </c>
      <c r="M11" s="1371" t="str">
        <f>IF(ca_2=0," ",tx_marge_brute_2)</f>
        <v xml:space="preserve"> </v>
      </c>
      <c r="N11" s="645"/>
      <c r="O11" s="1385"/>
      <c r="P11" s="1379">
        <f>ROUND(P10*O11,0)</f>
        <v>0</v>
      </c>
      <c r="Q11" s="648"/>
      <c r="R11" s="1344" t="str">
        <f t="shared" ref="R11:R12" si="1">IF(ISBLANK(O11)," ",P11-L11)</f>
        <v xml:space="preserve"> </v>
      </c>
      <c r="S11" s="648"/>
      <c r="T11" s="1341">
        <f>marge_brute_3</f>
        <v>0</v>
      </c>
      <c r="U11" s="1371" t="str">
        <f>IF(ca_3=0," ",tx_marge_brute_3)</f>
        <v xml:space="preserve"> </v>
      </c>
      <c r="V11" s="645"/>
      <c r="W11" s="1385"/>
      <c r="X11" s="1379">
        <f>ROUND(X10*W11,0)</f>
        <v>0</v>
      </c>
      <c r="Y11" s="648"/>
      <c r="Z11" s="1344" t="str">
        <f t="shared" ref="Z11:Z12" si="2">IF(ISBLANK(W11)," ",X11-T11)</f>
        <v xml:space="preserve"> </v>
      </c>
    </row>
    <row r="12" spans="2:26" s="649" customFormat="1" ht="24.9" customHeight="1" x14ac:dyDescent="0.3">
      <c r="B12" s="1338" t="s">
        <v>653</v>
      </c>
      <c r="C12" s="647"/>
      <c r="D12" s="1342">
        <f>ch.variables_1-(D10-marge_brute_1)</f>
        <v>0</v>
      </c>
      <c r="E12" s="1372" t="str">
        <f>IF(ISERROR(D12/D10)," ",D12/D10)</f>
        <v xml:space="preserve"> </v>
      </c>
      <c r="F12" s="645"/>
      <c r="G12" s="1386"/>
      <c r="H12" s="1379">
        <f>ROUND(IF(ISERROR(H10*G12),0,H10*G12),0)</f>
        <v>0</v>
      </c>
      <c r="I12" s="648"/>
      <c r="J12" s="1344" t="str">
        <f t="shared" si="0"/>
        <v xml:space="preserve"> </v>
      </c>
      <c r="K12" s="650"/>
      <c r="L12" s="1342">
        <f>ch.variables_2-(L10-marge_brute_2)</f>
        <v>0</v>
      </c>
      <c r="M12" s="1372" t="str">
        <f>IF(ISERROR(L12/L10)," ",L12/L10)</f>
        <v xml:space="preserve"> </v>
      </c>
      <c r="N12" s="645"/>
      <c r="O12" s="1386"/>
      <c r="P12" s="1379">
        <f>ROUND(IF(ISERROR(P10*O12),0,P10*O12),0)</f>
        <v>0</v>
      </c>
      <c r="Q12" s="648"/>
      <c r="R12" s="1344" t="str">
        <f t="shared" si="1"/>
        <v xml:space="preserve"> </v>
      </c>
      <c r="S12" s="650"/>
      <c r="T12" s="1342">
        <f>ch.variables_3-(T10-marge_brute_3)</f>
        <v>0</v>
      </c>
      <c r="U12" s="1372" t="str">
        <f>IF(ISERROR(T12/T10)," ",T12/T10)</f>
        <v xml:space="preserve"> </v>
      </c>
      <c r="V12" s="645"/>
      <c r="W12" s="1386"/>
      <c r="X12" s="1379">
        <f>ROUND(IF(ISERROR(X10*W12),0,X10*W12),0)</f>
        <v>0</v>
      </c>
      <c r="Y12" s="648"/>
      <c r="Z12" s="1344" t="str">
        <f t="shared" si="2"/>
        <v xml:space="preserve"> </v>
      </c>
    </row>
    <row r="13" spans="2:26" s="631" customFormat="1" ht="24.9" customHeight="1" x14ac:dyDescent="0.3">
      <c r="B13" s="1346" t="s">
        <v>336</v>
      </c>
      <c r="C13" s="647"/>
      <c r="D13" s="1347">
        <f>D11-D12</f>
        <v>0</v>
      </c>
      <c r="E13" s="1373" t="str">
        <f>IF(ISERROR(D13/D10)," ",D13/D10)</f>
        <v xml:space="preserve"> </v>
      </c>
      <c r="F13" s="644"/>
      <c r="G13" s="1387" t="str">
        <f>IF(ISERROR(H13/H10)," ",H13/H10)</f>
        <v xml:space="preserve"> </v>
      </c>
      <c r="H13" s="1380">
        <f>H11-H12</f>
        <v>0</v>
      </c>
      <c r="I13" s="639"/>
      <c r="J13" s="1348" t="str">
        <f>IF(OR(ISBLANK(G10),G13=0)," ",H13-D13)</f>
        <v xml:space="preserve"> </v>
      </c>
      <c r="K13" s="639"/>
      <c r="L13" s="1347">
        <f>L11-L12</f>
        <v>0</v>
      </c>
      <c r="M13" s="1373" t="str">
        <f>IF(ISERROR(L13/L10)," ",L13/L10)</f>
        <v xml:space="preserve"> </v>
      </c>
      <c r="N13" s="644"/>
      <c r="O13" s="1387" t="str">
        <f>IF(ISERROR(P13/P10)," ",P13/P10)</f>
        <v xml:space="preserve"> </v>
      </c>
      <c r="P13" s="1380">
        <f>P11-P12</f>
        <v>0</v>
      </c>
      <c r="Q13" s="639"/>
      <c r="R13" s="1348" t="str">
        <f>IF(OR(ISBLANK(O10),O13=0)," ",P13-L13)</f>
        <v xml:space="preserve"> </v>
      </c>
      <c r="S13" s="639"/>
      <c r="T13" s="1347">
        <f>T11-T12</f>
        <v>0</v>
      </c>
      <c r="U13" s="1373" t="str">
        <f>IF(ISERROR(T13/T10)," ",T13/T10)</f>
        <v xml:space="preserve"> </v>
      </c>
      <c r="V13" s="644"/>
      <c r="W13" s="1387" t="str">
        <f>IF(ISERROR(X13/X10)," ",X13/X10)</f>
        <v xml:space="preserve"> </v>
      </c>
      <c r="X13" s="1380">
        <f>X11-X12</f>
        <v>0</v>
      </c>
      <c r="Y13" s="639"/>
      <c r="Z13" s="1348" t="str">
        <f>IF(OR(ISBLANK(W10),W13=0)," ",X13-T13)</f>
        <v xml:space="preserve"> </v>
      </c>
    </row>
    <row r="14" spans="2:26" s="646" customFormat="1" ht="24.9" customHeight="1" x14ac:dyDescent="0.3">
      <c r="B14" s="1339" t="s">
        <v>654</v>
      </c>
      <c r="C14" s="647"/>
      <c r="D14" s="1342">
        <f>ff_1</f>
        <v>0</v>
      </c>
      <c r="E14" s="1374" t="str">
        <f>IF(ISERROR(D14/D10)," ",D14/D10)</f>
        <v xml:space="preserve"> </v>
      </c>
      <c r="F14" s="1362"/>
      <c r="G14" s="1386"/>
      <c r="H14" s="1381">
        <f>IF(OR(ISBLANK(G14),ISBLANK(G10)),0,D14*(1+G14))</f>
        <v>0</v>
      </c>
      <c r="I14" s="648"/>
      <c r="J14" s="1344" t="str">
        <f>IF(OR(ISBLANK(G10),ISBLANK(G14))," ",H14-D14)</f>
        <v xml:space="preserve"> </v>
      </c>
      <c r="K14" s="648"/>
      <c r="L14" s="1342">
        <f>ff_2</f>
        <v>0</v>
      </c>
      <c r="M14" s="1374" t="str">
        <f>IF(ISERROR(L14/L10)," ",L14/L10)</f>
        <v xml:space="preserve"> </v>
      </c>
      <c r="N14" s="645"/>
      <c r="O14" s="1386"/>
      <c r="P14" s="1381">
        <f>IF(OR(ISBLANK(O14),ISBLANK(O10)),0,L14*(1+O14))</f>
        <v>0</v>
      </c>
      <c r="Q14" s="648"/>
      <c r="R14" s="1344" t="str">
        <f>IF(OR(ISBLANK(O10),ISBLANK(O14))," ",P14-L14)</f>
        <v xml:space="preserve"> </v>
      </c>
      <c r="S14" s="648"/>
      <c r="T14" s="1342">
        <f>ff_3</f>
        <v>0</v>
      </c>
      <c r="U14" s="1374" t="str">
        <f>IF(ISERROR(T14/T10)," ",T14/T10)</f>
        <v xml:space="preserve"> </v>
      </c>
      <c r="V14" s="645"/>
      <c r="W14" s="1386"/>
      <c r="X14" s="1381">
        <f>IF(OR(ISBLANK(W14),ISBLANK(W10)),0,T14*(1+W14))</f>
        <v>0</v>
      </c>
      <c r="Y14" s="648"/>
      <c r="Z14" s="1344" t="str">
        <f>IF(OR(ISBLANK(W10),ISBLANK(W14))," ",X14-T14)</f>
        <v xml:space="preserve"> </v>
      </c>
    </row>
    <row r="15" spans="2:26" s="646" customFormat="1" ht="24.9" customHeight="1" x14ac:dyDescent="0.3">
      <c r="B15" s="1346" t="s">
        <v>69</v>
      </c>
      <c r="C15" s="647"/>
      <c r="D15" s="1349">
        <f>D13-D14</f>
        <v>0</v>
      </c>
      <c r="E15" s="1373" t="str">
        <f>IF(ISERROR(D15/D10)," ",D15/D10)</f>
        <v xml:space="preserve"> </v>
      </c>
      <c r="F15" s="1363"/>
      <c r="G15" s="1388">
        <f>IF(ISERROR(H15/H10),0,H15/H10)</f>
        <v>0</v>
      </c>
      <c r="H15" s="1382">
        <f>H13-H14</f>
        <v>0</v>
      </c>
      <c r="I15" s="648"/>
      <c r="J15" s="1350" t="str">
        <f>IF(OR(ISBLANK(G10),G15=0)," ",H15-D15)</f>
        <v xml:space="preserve"> </v>
      </c>
      <c r="K15" s="648"/>
      <c r="L15" s="1349">
        <f>L13-L14</f>
        <v>0</v>
      </c>
      <c r="M15" s="1377" t="str">
        <f>IF(ISERROR(L15/L10)," ",L15/L10)</f>
        <v xml:space="preserve"> </v>
      </c>
      <c r="N15" s="644"/>
      <c r="O15" s="1388">
        <f>IF(ISERROR(P15/P10),0,P15/P10)</f>
        <v>0</v>
      </c>
      <c r="P15" s="1382">
        <f>P13-P14</f>
        <v>0</v>
      </c>
      <c r="Q15" s="648"/>
      <c r="R15" s="1350" t="str">
        <f>IF(OR(ISBLANK(O10),O15=0)," ",P15-L15)</f>
        <v xml:space="preserve"> </v>
      </c>
      <c r="S15" s="648"/>
      <c r="T15" s="1349">
        <f>T13-T14</f>
        <v>0</v>
      </c>
      <c r="U15" s="1377" t="str">
        <f>IF(ISERROR(T15/T10)," ",T15/T10)</f>
        <v xml:space="preserve"> </v>
      </c>
      <c r="V15" s="644"/>
      <c r="W15" s="1388">
        <f>IF(ISERROR(X15/X10),0,X15/X10)</f>
        <v>0</v>
      </c>
      <c r="X15" s="1382">
        <f>X13-X14</f>
        <v>0</v>
      </c>
      <c r="Y15" s="648"/>
      <c r="Z15" s="1350" t="str">
        <f>IF(OR(ISBLANK(W10),W15=0)," ",X15-T15)</f>
        <v xml:space="preserve"> </v>
      </c>
    </row>
    <row r="16" spans="2:26" s="646" customFormat="1" ht="24.9" customHeight="1" x14ac:dyDescent="0.3">
      <c r="B16" s="1338" t="s">
        <v>655</v>
      </c>
      <c r="C16" s="647"/>
      <c r="D16" s="1342">
        <f>IS_1</f>
        <v>0</v>
      </c>
      <c r="E16" s="1372" t="str">
        <f>IF(ISERROR(D16/(D15+report_subv.invest_1))," ",D16/(D15+report_subv.invest_1))</f>
        <v xml:space="preserve"> </v>
      </c>
      <c r="F16" s="1362"/>
      <c r="G16" s="1386"/>
      <c r="H16" s="1381">
        <f>IF(OR(ISBLANK(G16),ISBLANK(G10),(H15+report_subv.invest_1)&lt;=0),0,(H15+report_subv.invest_1)*G16)</f>
        <v>0</v>
      </c>
      <c r="I16" s="648"/>
      <c r="J16" s="1345" t="str">
        <f>IF(OR(ISBLANK(G13),G16=0)," ",H16-D16)</f>
        <v xml:space="preserve"> </v>
      </c>
      <c r="K16" s="648"/>
      <c r="L16" s="1342">
        <f>IS_2</f>
        <v>0</v>
      </c>
      <c r="M16" s="1372" t="str">
        <f>IF(ISERROR(L16/(L15+report_subv.invest_1))," ",L16/(L15+report_subv.invest_1))</f>
        <v xml:space="preserve"> </v>
      </c>
      <c r="N16" s="645"/>
      <c r="O16" s="1386"/>
      <c r="P16" s="1381">
        <f>IF(OR(ISBLANK(O16),ISBLANK(O10),(P15+report_subv.invest_2)&lt;=0),0,(P15+report_subv.invest_2)*O16)</f>
        <v>0</v>
      </c>
      <c r="Q16" s="648"/>
      <c r="R16" s="1345" t="str">
        <f>IF(OR(ISBLANK(O13),O16=0)," ",P16-L16)</f>
        <v xml:space="preserve"> </v>
      </c>
      <c r="S16" s="648"/>
      <c r="T16" s="1342">
        <f>IS_3</f>
        <v>0</v>
      </c>
      <c r="U16" s="1372" t="str">
        <f>IF(ISERROR(T16/(T15+report_subv.invest_1))," ",T16/(T15+report_subv.invest_1))</f>
        <v xml:space="preserve"> </v>
      </c>
      <c r="V16" s="645"/>
      <c r="W16" s="1386"/>
      <c r="X16" s="1381">
        <f>IF(OR(ISBLANK(W16),ISBLANK(W10),(X15+report_subv.invest_3)&lt;=0),0,(X15+report_subv.invest_3)*W16)</f>
        <v>0</v>
      </c>
      <c r="Y16" s="648"/>
      <c r="Z16" s="1345" t="str">
        <f>IF(OR(ISBLANK(W13),W16=0)," ",X16-T16)</f>
        <v xml:space="preserve"> </v>
      </c>
    </row>
    <row r="17" spans="2:26" s="646" customFormat="1" ht="24.9" customHeight="1" x14ac:dyDescent="0.3">
      <c r="B17" s="1367" t="s">
        <v>510</v>
      </c>
      <c r="C17" s="647"/>
      <c r="D17" s="1368">
        <f>caf_1</f>
        <v>0</v>
      </c>
      <c r="E17" s="1375" t="str">
        <f>IF(ISERROR(D17/D10)," ",D17/D10)</f>
        <v xml:space="preserve"> </v>
      </c>
      <c r="F17" s="645"/>
      <c r="G17" s="1389" t="str">
        <f>IF(ISERROR(H17/H10)," ",H17/H10)</f>
        <v xml:space="preserve"> </v>
      </c>
      <c r="H17" s="1383">
        <f>IF(G15=0,0,H15-H16+amort_1+prov_1)</f>
        <v>0</v>
      </c>
      <c r="I17" s="648"/>
      <c r="J17" s="1369" t="str">
        <f>IF(OR(ISBLANK(G10),G17=0)," ",H17-D17)</f>
        <v xml:space="preserve"> </v>
      </c>
      <c r="K17" s="648"/>
      <c r="L17" s="1368">
        <f>caf_2</f>
        <v>0</v>
      </c>
      <c r="M17" s="1375" t="str">
        <f>IF(ISERROR(L17/L10)," ",L17/L10)</f>
        <v xml:space="preserve"> </v>
      </c>
      <c r="N17" s="645"/>
      <c r="O17" s="1389" t="str">
        <f>IF(ISERROR(P17/P10)," ",P17/P10)</f>
        <v xml:space="preserve"> </v>
      </c>
      <c r="P17" s="1383">
        <f>IF(O15=0,0,P15-P16+amort_2+prov_2)</f>
        <v>0</v>
      </c>
      <c r="Q17" s="648"/>
      <c r="R17" s="1369" t="str">
        <f>IF(OR(ISBLANK(O10),O17=0)," ",P17-L17)</f>
        <v xml:space="preserve"> </v>
      </c>
      <c r="S17" s="648"/>
      <c r="T17" s="1368">
        <f>caf_3</f>
        <v>0</v>
      </c>
      <c r="U17" s="1375" t="str">
        <f>IF(ISERROR(T17/T10)," ",T17/T10)</f>
        <v xml:space="preserve"> </v>
      </c>
      <c r="V17" s="645"/>
      <c r="W17" s="1389" t="str">
        <f>IF(ISERROR(X17/X10)," ",X17/X10)</f>
        <v xml:space="preserve"> </v>
      </c>
      <c r="X17" s="1383">
        <f>IF(W15=0,0,X15-X16+amort_3+prov_3)</f>
        <v>0</v>
      </c>
      <c r="Y17" s="648"/>
      <c r="Z17" s="1369" t="str">
        <f>IF(OR(ISBLANK(W10),W17=0)," ",X17-T17)</f>
        <v xml:space="preserve"> </v>
      </c>
    </row>
    <row r="18" spans="2:26" ht="24.9" customHeight="1" x14ac:dyDescent="0.3">
      <c r="B18" s="1351" t="s">
        <v>658</v>
      </c>
      <c r="D18" s="1352">
        <f>point_mort_1</f>
        <v>0</v>
      </c>
      <c r="E18" s="1376" t="str">
        <f>IF(ISERROR(D18/D10)," ",D18/D10)</f>
        <v xml:space="preserve"> </v>
      </c>
      <c r="G18" s="1390" t="str">
        <f>IF(ISERROR(H18/H10)," ",H18/H10)</f>
        <v xml:space="preserve"> </v>
      </c>
      <c r="H18" s="1353" t="str">
        <f>IF(ISERROR(H14/G13)," ",H14/G13)</f>
        <v xml:space="preserve"> </v>
      </c>
      <c r="J18" s="1354" t="str">
        <f>IF(ISERROR(IF(ISBLANK(G10)," ",H18-D18))," ",IF(ISBLANK(G10)," ",H18-D18))</f>
        <v xml:space="preserve"> </v>
      </c>
      <c r="K18" s="648"/>
      <c r="L18" s="1352">
        <f>point_mort_2</f>
        <v>0</v>
      </c>
      <c r="M18" s="1376" t="str">
        <f>IF(ISERROR(L18/L10)," ",L18/L10)</f>
        <v xml:space="preserve"> </v>
      </c>
      <c r="O18" s="1390" t="str">
        <f>IF(ISERROR(P18/P10)," ",P18/P10)</f>
        <v xml:space="preserve"> </v>
      </c>
      <c r="P18" s="1353" t="str">
        <f>IF(ISERROR(P14/O13)," ",P14/O13)</f>
        <v xml:space="preserve"> </v>
      </c>
      <c r="R18" s="1354" t="str">
        <f>IF(ISERROR(IF(ISBLANK(O10)," ",P18-L18))," ",IF(ISBLANK(O10)," ",P18-L18))</f>
        <v xml:space="preserve"> </v>
      </c>
      <c r="T18" s="1352">
        <f>point_mort_3</f>
        <v>0</v>
      </c>
      <c r="U18" s="1376" t="str">
        <f>IF(ISERROR(T18/T10)," ",T18/T10)</f>
        <v xml:space="preserve"> </v>
      </c>
      <c r="W18" s="1390" t="str">
        <f>IF(ISERROR(X18/X10)," ",X18/X10)</f>
        <v xml:space="preserve"> </v>
      </c>
      <c r="X18" s="1353" t="str">
        <f>IF(ISERROR(X14/W13)," ",X14/W13)</f>
        <v xml:space="preserve"> </v>
      </c>
      <c r="Z18" s="1354" t="str">
        <f>IF(ISERROR(IF(ISBLANK(W10)," ",X18-T18))," ",IF(ISBLANK(W10)," ",X18-T18))</f>
        <v xml:space="preserve"> </v>
      </c>
    </row>
    <row r="19" spans="2:26" ht="15" customHeight="1" x14ac:dyDescent="0.3">
      <c r="R19" s="628"/>
    </row>
    <row r="20" spans="2:26" ht="24.9" customHeight="1" x14ac:dyDescent="0.3">
      <c r="B20" s="1356" t="s">
        <v>660</v>
      </c>
      <c r="C20" s="653"/>
      <c r="D20" s="1391">
        <f>FR_1</f>
        <v>0</v>
      </c>
      <c r="E20" s="1394" t="str">
        <f>IF(ISERROR(D20*(durée_1*30)/ca_1)," ",D20*(durée_1*30)/ca_1)</f>
        <v xml:space="preserve"> </v>
      </c>
      <c r="G20" s="1401" t="str">
        <f>IF(ISBLANK(G10)," ",H20*(durée_1*30)/H10)</f>
        <v xml:space="preserve"> </v>
      </c>
      <c r="H20" s="1398" t="str">
        <f>IF(ISBLANK(G10)," ",FR_1-caf_1+caf_1_révisé)</f>
        <v xml:space="preserve"> </v>
      </c>
      <c r="J20" s="1359" t="str">
        <f>IF(ISBLANK(G10)," ",H20-D20)</f>
        <v xml:space="preserve"> </v>
      </c>
      <c r="L20" s="1391">
        <f>FR_2</f>
        <v>0</v>
      </c>
      <c r="M20" s="1394" t="str">
        <f>IF(ISERROR(L20*(durée_2*30)/ca_2)," ",L20*(durée_2*30)/ca_2)</f>
        <v xml:space="preserve"> </v>
      </c>
      <c r="O20" s="1401" t="str">
        <f>IF(ISERROR(IF(ISBLANK(O10)," ",P20*(durée_2*30)/P10))," ",IF(ISBLANK(O10)," ",P20*(durée_2*30)/P10))</f>
        <v xml:space="preserve"> </v>
      </c>
      <c r="P20" s="1398" t="str">
        <f>IF(ISERROR(IF(ISBLANK(O10)," ",FR_2-FR_1+FR_1_révisé-caf_2+caf_2_révisé))," ",IF(ISBLANK(O10)," ",FR_2-FR_1+FR_1_révisé-caf_2+caf_2_révisé))</f>
        <v xml:space="preserve"> </v>
      </c>
      <c r="R20" s="1359" t="str">
        <f>IF(ISERROR(IF(ISBLANK(O10)," ",P20-L20))," ",IF(ISBLANK(O10)," ",P20-L20))</f>
        <v xml:space="preserve"> </v>
      </c>
      <c r="T20" s="1391">
        <f>FR_3</f>
        <v>0</v>
      </c>
      <c r="U20" s="1394" t="str">
        <f>IF(ISERROR(T20*(durée_3*30)/ca_3)," ",T20*(durée_3*30)/ca_3)</f>
        <v xml:space="preserve"> </v>
      </c>
      <c r="W20" s="1401" t="str">
        <f>IF(ISERROR(IF(ISBLANK(W10)," ",X20*(durée_3*30)/X10))," ",IF(ISBLANK(W10)," ",X20*(durée_3*30)/X10))</f>
        <v xml:space="preserve"> </v>
      </c>
      <c r="X20" s="1398" t="str">
        <f>IF(ISERROR(IF(ISBLANK(W10)," ",FR_3-FR_2+FR_2_révisé-caf_3+caf_3_révisé))," ",IF(ISBLANK(W10)," ",FR_3-FR_2+FR_2_révisé-caf_3+caf_3_révisé))</f>
        <v xml:space="preserve"> </v>
      </c>
      <c r="Z20" s="1359" t="str">
        <f>IF(ISERROR(IF(ISBLANK(W10)," ",X20-T20))," ",IF(ISBLANK(W10)," ",X20-T20))</f>
        <v xml:space="preserve"> </v>
      </c>
    </row>
    <row r="21" spans="2:26" ht="24.9" customHeight="1" x14ac:dyDescent="0.3">
      <c r="B21" s="1357" t="s">
        <v>656</v>
      </c>
      <c r="D21" s="1392">
        <f>BFR_1-DFR_1</f>
        <v>0</v>
      </c>
      <c r="E21" s="1395" t="str">
        <f>IF(ISERROR(D21*(durée_1*30)/ca_1)," ",D21*(durée_1*30)/ca_1)</f>
        <v xml:space="preserve"> </v>
      </c>
      <c r="G21" s="1402"/>
      <c r="H21" s="1399" t="str">
        <f>IF(OR(ISBLANK(G10),ISBLANK(G21))," ",H10*G21/(durée_1*30))</f>
        <v xml:space="preserve"> </v>
      </c>
      <c r="J21" s="1360" t="str">
        <f>IF(OR(ISBLANK(G10),ISBLANK(G21))," ",H21-D21)</f>
        <v xml:space="preserve"> </v>
      </c>
      <c r="L21" s="1392">
        <f>BFR_2-DFR_2</f>
        <v>0</v>
      </c>
      <c r="M21" s="1395" t="str">
        <f>IF(ISERROR(L21*(durée_2*30)/ca_2)," ",L21*(durée_2*30)/ca_2)</f>
        <v xml:space="preserve"> </v>
      </c>
      <c r="O21" s="1402"/>
      <c r="P21" s="1399" t="str">
        <f>IF(OR(ISBLANK(O10),ISBLANK(O21))," ",P10*O21/(durée_2*30))</f>
        <v xml:space="preserve"> </v>
      </c>
      <c r="R21" s="1360" t="str">
        <f>IF(OR(ISBLANK(O10),ISBLANK(O21))," ",P21-L21)</f>
        <v xml:space="preserve"> </v>
      </c>
      <c r="T21" s="1392">
        <f>BFR_3-DFR_3</f>
        <v>0</v>
      </c>
      <c r="U21" s="1395" t="str">
        <f>IF(ISERROR(T21*(durée_3*30)/ca_3)," ",T21*(durée_3*30)/ca_3)</f>
        <v xml:space="preserve"> </v>
      </c>
      <c r="W21" s="1402"/>
      <c r="X21" s="1399" t="str">
        <f>IF(OR(ISBLANK(W10),ISBLANK(W21))," ",X10*W21/(durée_1*30))</f>
        <v xml:space="preserve"> </v>
      </c>
      <c r="Z21" s="1360" t="str">
        <f>IF(OR(ISBLANK(W10),ISBLANK(W21))," ",X21-T21)</f>
        <v xml:space="preserve"> </v>
      </c>
    </row>
    <row r="22" spans="2:26" s="646" customFormat="1" ht="24.9" customHeight="1" x14ac:dyDescent="0.3">
      <c r="B22" s="1364" t="s">
        <v>657</v>
      </c>
      <c r="C22" s="647"/>
      <c r="D22" s="1365" t="str">
        <f>IF(ISERROR(FR_1/BFR_1)," ",FR_1/BFR_1)</f>
        <v xml:space="preserve"> </v>
      </c>
      <c r="E22" s="1396"/>
      <c r="F22" s="648"/>
      <c r="G22" s="1403"/>
      <c r="H22" s="1366" t="str">
        <f>IF(ISERROR(H20/H21)," ",H20/H21)</f>
        <v xml:space="preserve"> </v>
      </c>
      <c r="I22" s="648"/>
      <c r="J22" s="1364"/>
      <c r="K22" s="648"/>
      <c r="L22" s="1365" t="str">
        <f>IF(ISERROR(FR_2/BFR_2)," ",FR_2/BFR_2)</f>
        <v xml:space="preserve"> </v>
      </c>
      <c r="M22" s="1396"/>
      <c r="N22" s="648"/>
      <c r="O22" s="1403"/>
      <c r="P22" s="1366" t="str">
        <f>IF(ISERROR(P20/P21)," ",P20/P21)</f>
        <v xml:space="preserve"> </v>
      </c>
      <c r="Q22" s="648"/>
      <c r="R22" s="1364"/>
      <c r="S22" s="648"/>
      <c r="T22" s="1365" t="str">
        <f>IF(ISERROR(FR_3/BFR_3)," ",FR_3/BFR_3)</f>
        <v xml:space="preserve"> </v>
      </c>
      <c r="U22" s="1396"/>
      <c r="V22" s="648"/>
      <c r="W22" s="1403"/>
      <c r="X22" s="1366" t="str">
        <f>IF(ISERROR(X20/X21)," ",X20/X21)</f>
        <v xml:space="preserve"> </v>
      </c>
      <c r="Y22" s="648"/>
      <c r="Z22" s="1364"/>
    </row>
    <row r="23" spans="2:26" ht="24.9" customHeight="1" x14ac:dyDescent="0.3">
      <c r="B23" s="1358" t="s">
        <v>330</v>
      </c>
      <c r="C23" s="653"/>
      <c r="D23" s="1393">
        <f>D20-D21</f>
        <v>0</v>
      </c>
      <c r="E23" s="1397"/>
      <c r="F23" s="1355"/>
      <c r="G23" s="1404"/>
      <c r="H23" s="1400" t="str">
        <f>IF(ISERROR(H20-H21)," ",H20-H21)</f>
        <v xml:space="preserve"> </v>
      </c>
      <c r="J23" s="1361"/>
      <c r="L23" s="1393">
        <f>L20-L21</f>
        <v>0</v>
      </c>
      <c r="M23" s="1397"/>
      <c r="O23" s="1404"/>
      <c r="P23" s="1400" t="str">
        <f>IF(ISERROR(P20-P21)," ",P20-P21)</f>
        <v xml:space="preserve"> </v>
      </c>
      <c r="R23" s="1361"/>
      <c r="T23" s="1393">
        <f>T20-T21</f>
        <v>0</v>
      </c>
      <c r="U23" s="1397"/>
      <c r="W23" s="1404"/>
      <c r="X23" s="1400" t="str">
        <f>IF(ISERROR(X20-X21)," ",X20-X21)</f>
        <v xml:space="preserve"> </v>
      </c>
      <c r="Z23" s="1361"/>
    </row>
    <row r="24" spans="2:26" s="646" customFormat="1" ht="3" customHeight="1" x14ac:dyDescent="0.3">
      <c r="B24" s="652"/>
      <c r="C24" s="647"/>
      <c r="D24" s="651"/>
      <c r="E24" s="648"/>
      <c r="F24" s="648"/>
      <c r="G24" s="640"/>
      <c r="H24" s="641"/>
      <c r="I24" s="648"/>
      <c r="J24" s="651"/>
      <c r="K24" s="648"/>
      <c r="L24" s="651"/>
      <c r="M24" s="648"/>
      <c r="N24" s="648"/>
      <c r="O24" s="640"/>
      <c r="P24" s="641"/>
      <c r="Q24" s="648"/>
      <c r="R24" s="651"/>
      <c r="S24" s="648"/>
      <c r="T24" s="651"/>
      <c r="U24" s="648"/>
      <c r="V24" s="648"/>
      <c r="W24" s="640"/>
      <c r="X24" s="641"/>
      <c r="Y24" s="648"/>
      <c r="Z24" s="651"/>
    </row>
    <row r="25" spans="2:26" ht="20.100000000000001" customHeight="1" x14ac:dyDescent="0.3">
      <c r="D25" s="3265" t="str">
        <f>IF(ISERROR(D23*(durée_1*30)/(ca_1*(1+tv)*quotité_tv))," ",D23*(durée_1*30)/(ca_1*(1+tv)*quotité_tv))</f>
        <v xml:space="preserve"> </v>
      </c>
      <c r="E25" s="3265"/>
      <c r="G25" s="3265" t="str">
        <f>IF(ISERROR(H23*(durée_1*30)/(H10*(1+tv)*quotité_tv))," ",H23*(durée_1*30)/(H10*(1+tv)*quotité_tv))</f>
        <v xml:space="preserve"> </v>
      </c>
      <c r="H25" s="3265"/>
      <c r="I25" s="3265"/>
      <c r="L25" s="3265" t="str">
        <f>IF(ISERROR(L23*(durée_2*30)/(ca_2*(1+tv)*quotité_tv))," ",L23*(durée_2*30)/(ca_2*(1+tv)*quotité_tv))</f>
        <v xml:space="preserve"> </v>
      </c>
      <c r="M25" s="3265"/>
      <c r="O25" s="3265" t="str">
        <f>IF(ISERROR(P23*(durée_1*30)/(P10*(1+tv)*quotité_tv))," ",P23*(durée_1*30)/(P10*(1+tv)*quotité_tv))</f>
        <v xml:space="preserve"> </v>
      </c>
      <c r="P25" s="3265"/>
      <c r="Q25" s="3265"/>
      <c r="R25" s="628"/>
      <c r="T25" s="3265" t="str">
        <f>IF(ISERROR(T23*(durée_3*30)/(ca_3*(1+tv)*quotité_tv))," ",T23*(durée_3*30)/(ca_3*(1+tv)*quotité_tv))</f>
        <v xml:space="preserve"> </v>
      </c>
      <c r="U25" s="3265"/>
      <c r="W25" s="3265" t="str">
        <f>IF(ISERROR(X23*(durée_1*30)/(X10*(1+tv)*quotité_tv))," ",X23*(durée_1*30)/(X10*(1+tv)*quotité_tv))</f>
        <v xml:space="preserve"> </v>
      </c>
      <c r="X25" s="3265"/>
      <c r="Y25" s="3265"/>
    </row>
  </sheetData>
  <sheetProtection algorithmName="SHA-512" hashValue="atfN/0RsecyvPQsluXryeo2Hi8F786oeY73hSX3RbP5Z7sToZ/r/5aK0qC0UdTO0AnBUPcojGnHy/h9Iz4/UpA==" saltValue="vX9/D9ek5XSh/AOtFp9LKg==" spinCount="100000" sheet="1" formatCells="0" formatColumns="0" formatRows="0" insertColumns="0" insertRows="0" insertHyperlinks="0" deleteColumns="0" deleteRows="0" sort="0" autoFilter="0" pivotTables="0"/>
  <mergeCells count="19">
    <mergeCell ref="B2:U2"/>
    <mergeCell ref="B3:U3"/>
    <mergeCell ref="D9:E9"/>
    <mergeCell ref="G9:H9"/>
    <mergeCell ref="D8:J8"/>
    <mergeCell ref="L8:R8"/>
    <mergeCell ref="T8:Z8"/>
    <mergeCell ref="L9:M9"/>
    <mergeCell ref="O9:P9"/>
    <mergeCell ref="T9:U9"/>
    <mergeCell ref="W9:X9"/>
    <mergeCell ref="B6:E6"/>
    <mergeCell ref="F6:Z6"/>
    <mergeCell ref="W25:Y25"/>
    <mergeCell ref="D25:E25"/>
    <mergeCell ref="L25:M25"/>
    <mergeCell ref="T25:U25"/>
    <mergeCell ref="G25:I25"/>
    <mergeCell ref="O25:Q25"/>
  </mergeCells>
  <conditionalFormatting sqref="G10:G12">
    <cfRule type="cellIs" dxfId="335" priority="129" operator="notEqual">
      <formula>0</formula>
    </cfRule>
  </conditionalFormatting>
  <conditionalFormatting sqref="H15">
    <cfRule type="cellIs" dxfId="334" priority="128" operator="lessThan">
      <formula>0</formula>
    </cfRule>
  </conditionalFormatting>
  <conditionalFormatting sqref="G15">
    <cfRule type="expression" dxfId="333" priority="5">
      <formula>H10=0</formula>
    </cfRule>
    <cfRule type="cellIs" dxfId="332" priority="127" operator="lessThan">
      <formula>0</formula>
    </cfRule>
  </conditionalFormatting>
  <conditionalFormatting sqref="G16">
    <cfRule type="cellIs" dxfId="331" priority="126" operator="notEqual">
      <formula>0</formula>
    </cfRule>
  </conditionalFormatting>
  <conditionalFormatting sqref="G14">
    <cfRule type="cellIs" dxfId="330" priority="125" operator="notEqual">
      <formula>0</formula>
    </cfRule>
  </conditionalFormatting>
  <conditionalFormatting sqref="D22">
    <cfRule type="cellIs" dxfId="329" priority="121" operator="lessThan">
      <formula>$D$49</formula>
    </cfRule>
  </conditionalFormatting>
  <conditionalFormatting sqref="H22">
    <cfRule type="cellIs" dxfId="328" priority="120" operator="lessThan">
      <formula>0.5</formula>
    </cfRule>
  </conditionalFormatting>
  <conditionalFormatting sqref="G21">
    <cfRule type="cellIs" dxfId="327" priority="118" operator="notEqual">
      <formula>0</formula>
    </cfRule>
  </conditionalFormatting>
  <conditionalFormatting sqref="D18:E18">
    <cfRule type="cellIs" dxfId="326" priority="117" stopIfTrue="1" operator="equal">
      <formula>0</formula>
    </cfRule>
  </conditionalFormatting>
  <conditionalFormatting sqref="J18">
    <cfRule type="cellIs" dxfId="325" priority="115" stopIfTrue="1" operator="equal">
      <formula>0</formula>
    </cfRule>
  </conditionalFormatting>
  <conditionalFormatting sqref="B18">
    <cfRule type="cellIs" dxfId="324" priority="114" stopIfTrue="1" operator="equal">
      <formula>0</formula>
    </cfRule>
  </conditionalFormatting>
  <conditionalFormatting sqref="H18">
    <cfRule type="cellIs" dxfId="323" priority="113" stopIfTrue="1" operator="equal">
      <formula>0</formula>
    </cfRule>
  </conditionalFormatting>
  <conditionalFormatting sqref="G18">
    <cfRule type="cellIs" dxfId="322" priority="112" stopIfTrue="1" operator="equal">
      <formula>0</formula>
    </cfRule>
  </conditionalFormatting>
  <conditionalFormatting sqref="D23">
    <cfRule type="cellIs" dxfId="321" priority="111" stopIfTrue="1" operator="lessThan">
      <formula>0</formula>
    </cfRule>
  </conditionalFormatting>
  <conditionalFormatting sqref="E23">
    <cfRule type="expression" dxfId="320" priority="109">
      <formula>D23&lt;0</formula>
    </cfRule>
    <cfRule type="cellIs" dxfId="319" priority="110" operator="equal">
      <formula>0</formula>
    </cfRule>
  </conditionalFormatting>
  <conditionalFormatting sqref="D25">
    <cfRule type="cellIs" dxfId="318" priority="108" stopIfTrue="1" operator="lessThan">
      <formula>0</formula>
    </cfRule>
  </conditionalFormatting>
  <conditionalFormatting sqref="G25">
    <cfRule type="cellIs" dxfId="317" priority="107" stopIfTrue="1" operator="lessThan">
      <formula>0</formula>
    </cfRule>
  </conditionalFormatting>
  <conditionalFormatting sqref="H23">
    <cfRule type="cellIs" dxfId="316" priority="99" operator="lessThan">
      <formula>0</formula>
    </cfRule>
  </conditionalFormatting>
  <conditionalFormatting sqref="G23">
    <cfRule type="expression" dxfId="315" priority="98">
      <formula>H23&lt;0</formula>
    </cfRule>
  </conditionalFormatting>
  <conditionalFormatting sqref="D17">
    <cfRule type="cellIs" dxfId="314" priority="97" operator="lessThan">
      <formula>0</formula>
    </cfRule>
  </conditionalFormatting>
  <conditionalFormatting sqref="E17">
    <cfRule type="cellIs" dxfId="313" priority="96" operator="lessThan">
      <formula>0</formula>
    </cfRule>
  </conditionalFormatting>
  <conditionalFormatting sqref="H17">
    <cfRule type="cellIs" dxfId="312" priority="95" operator="lessThan">
      <formula>0</formula>
    </cfRule>
  </conditionalFormatting>
  <conditionalFormatting sqref="G17">
    <cfRule type="cellIs" dxfId="311" priority="94" operator="lessThan">
      <formula>0</formula>
    </cfRule>
  </conditionalFormatting>
  <conditionalFormatting sqref="O10:O12">
    <cfRule type="cellIs" dxfId="310" priority="93" operator="notEqual">
      <formula>0</formula>
    </cfRule>
  </conditionalFormatting>
  <conditionalFormatting sqref="O16">
    <cfRule type="cellIs" dxfId="309" priority="90" operator="notEqual">
      <formula>0</formula>
    </cfRule>
  </conditionalFormatting>
  <conditionalFormatting sqref="O14">
    <cfRule type="cellIs" dxfId="308" priority="89" operator="notEqual">
      <formula>0</formula>
    </cfRule>
  </conditionalFormatting>
  <conditionalFormatting sqref="L22">
    <cfRule type="cellIs" dxfId="307" priority="88" operator="lessThan">
      <formula>$D$49</formula>
    </cfRule>
  </conditionalFormatting>
  <conditionalFormatting sqref="P22">
    <cfRule type="cellIs" dxfId="306" priority="87" operator="lessThan">
      <formula>0.5</formula>
    </cfRule>
  </conditionalFormatting>
  <conditionalFormatting sqref="O21">
    <cfRule type="cellIs" dxfId="305" priority="86" operator="notEqual">
      <formula>0</formula>
    </cfRule>
  </conditionalFormatting>
  <conditionalFormatting sqref="L18:M18">
    <cfRule type="cellIs" dxfId="304" priority="85" stopIfTrue="1" operator="equal">
      <formula>0</formula>
    </cfRule>
  </conditionalFormatting>
  <conditionalFormatting sqref="R18">
    <cfRule type="cellIs" dxfId="303" priority="84" stopIfTrue="1" operator="equal">
      <formula>0</formula>
    </cfRule>
  </conditionalFormatting>
  <conditionalFormatting sqref="P18">
    <cfRule type="cellIs" dxfId="302" priority="83" stopIfTrue="1" operator="equal">
      <formula>0</formula>
    </cfRule>
  </conditionalFormatting>
  <conditionalFormatting sqref="O18">
    <cfRule type="cellIs" dxfId="301" priority="82" stopIfTrue="1" operator="equal">
      <formula>0</formula>
    </cfRule>
  </conditionalFormatting>
  <conditionalFormatting sqref="L25">
    <cfRule type="cellIs" dxfId="300" priority="78" stopIfTrue="1" operator="lessThan">
      <formula>0</formula>
    </cfRule>
  </conditionalFormatting>
  <conditionalFormatting sqref="O25">
    <cfRule type="cellIs" dxfId="299" priority="77" stopIfTrue="1" operator="lessThan">
      <formula>0</formula>
    </cfRule>
  </conditionalFormatting>
  <conditionalFormatting sqref="P23">
    <cfRule type="cellIs" dxfId="298" priority="76" operator="lessThan">
      <formula>0</formula>
    </cfRule>
  </conditionalFormatting>
  <conditionalFormatting sqref="O23">
    <cfRule type="expression" dxfId="297" priority="75">
      <formula>P23&lt;0</formula>
    </cfRule>
  </conditionalFormatting>
  <conditionalFormatting sqref="W10:W12">
    <cfRule type="cellIs" dxfId="296" priority="70" operator="notEqual">
      <formula>0</formula>
    </cfRule>
  </conditionalFormatting>
  <conditionalFormatting sqref="W16">
    <cfRule type="cellIs" dxfId="295" priority="67" operator="notEqual">
      <formula>0</formula>
    </cfRule>
  </conditionalFormatting>
  <conditionalFormatting sqref="W14">
    <cfRule type="cellIs" dxfId="294" priority="66" operator="notEqual">
      <formula>0</formula>
    </cfRule>
  </conditionalFormatting>
  <conditionalFormatting sqref="T22">
    <cfRule type="cellIs" dxfId="293" priority="65" operator="lessThan">
      <formula>$D$49</formula>
    </cfRule>
  </conditionalFormatting>
  <conditionalFormatting sqref="X22">
    <cfRule type="cellIs" dxfId="292" priority="64" operator="lessThan">
      <formula>0.5</formula>
    </cfRule>
  </conditionalFormatting>
  <conditionalFormatting sqref="W21">
    <cfRule type="cellIs" dxfId="291" priority="63" operator="notEqual">
      <formula>0</formula>
    </cfRule>
  </conditionalFormatting>
  <conditionalFormatting sqref="T18:U18">
    <cfRule type="cellIs" dxfId="290" priority="62" stopIfTrue="1" operator="equal">
      <formula>0</formula>
    </cfRule>
  </conditionalFormatting>
  <conditionalFormatting sqref="Z18">
    <cfRule type="cellIs" dxfId="289" priority="61" stopIfTrue="1" operator="equal">
      <formula>0</formula>
    </cfRule>
  </conditionalFormatting>
  <conditionalFormatting sqref="X18">
    <cfRule type="cellIs" dxfId="288" priority="60" stopIfTrue="1" operator="equal">
      <formula>0</formula>
    </cfRule>
  </conditionalFormatting>
  <conditionalFormatting sqref="W18">
    <cfRule type="cellIs" dxfId="287" priority="59" stopIfTrue="1" operator="equal">
      <formula>0</formula>
    </cfRule>
  </conditionalFormatting>
  <conditionalFormatting sqref="T25">
    <cfRule type="cellIs" dxfId="286" priority="55" stopIfTrue="1" operator="lessThan">
      <formula>0</formula>
    </cfRule>
  </conditionalFormatting>
  <conditionalFormatting sqref="W25">
    <cfRule type="cellIs" dxfId="285" priority="54" stopIfTrue="1" operator="lessThan">
      <formula>0</formula>
    </cfRule>
  </conditionalFormatting>
  <conditionalFormatting sqref="X23">
    <cfRule type="cellIs" dxfId="284" priority="53" operator="lessThan">
      <formula>0</formula>
    </cfRule>
  </conditionalFormatting>
  <conditionalFormatting sqref="W23">
    <cfRule type="expression" dxfId="283" priority="52">
      <formula>X23&lt;0</formula>
    </cfRule>
  </conditionalFormatting>
  <conditionalFormatting sqref="D15">
    <cfRule type="cellIs" dxfId="282" priority="47" operator="lessThan">
      <formula>0</formula>
    </cfRule>
  </conditionalFormatting>
  <conditionalFormatting sqref="P15">
    <cfRule type="cellIs" dxfId="281" priority="41" operator="lessThan">
      <formula>0</formula>
    </cfRule>
  </conditionalFormatting>
  <conditionalFormatting sqref="X15">
    <cfRule type="cellIs" dxfId="280" priority="40" operator="lessThan">
      <formula>0</formula>
    </cfRule>
  </conditionalFormatting>
  <conditionalFormatting sqref="M15">
    <cfRule type="cellIs" dxfId="279" priority="35" operator="lessThan">
      <formula>0</formula>
    </cfRule>
  </conditionalFormatting>
  <conditionalFormatting sqref="T15">
    <cfRule type="cellIs" dxfId="278" priority="36" operator="lessThan">
      <formula>0</formula>
    </cfRule>
  </conditionalFormatting>
  <conditionalFormatting sqref="L15">
    <cfRule type="cellIs" dxfId="277" priority="37" operator="lessThan">
      <formula>0</formula>
    </cfRule>
  </conditionalFormatting>
  <conditionalFormatting sqref="U15">
    <cfRule type="cellIs" dxfId="276" priority="34" operator="lessThan">
      <formula>0</formula>
    </cfRule>
  </conditionalFormatting>
  <conditionalFormatting sqref="L17">
    <cfRule type="cellIs" dxfId="275" priority="33" operator="lessThan">
      <formula>0</formula>
    </cfRule>
  </conditionalFormatting>
  <conditionalFormatting sqref="T17">
    <cfRule type="cellIs" dxfId="274" priority="32" operator="lessThan">
      <formula>0</formula>
    </cfRule>
  </conditionalFormatting>
  <conditionalFormatting sqref="M17">
    <cfRule type="cellIs" dxfId="273" priority="31" operator="lessThan">
      <formula>0</formula>
    </cfRule>
  </conditionalFormatting>
  <conditionalFormatting sqref="U17">
    <cfRule type="cellIs" dxfId="272" priority="30" operator="lessThan">
      <formula>0</formula>
    </cfRule>
  </conditionalFormatting>
  <conditionalFormatting sqref="P17">
    <cfRule type="cellIs" dxfId="271" priority="29" operator="lessThan">
      <formula>0</formula>
    </cfRule>
  </conditionalFormatting>
  <conditionalFormatting sqref="X17">
    <cfRule type="cellIs" dxfId="270" priority="28" operator="lessThan">
      <formula>0</formula>
    </cfRule>
  </conditionalFormatting>
  <conditionalFormatting sqref="O17">
    <cfRule type="cellIs" dxfId="269" priority="27" operator="lessThan">
      <formula>0</formula>
    </cfRule>
  </conditionalFormatting>
  <conditionalFormatting sqref="W17">
    <cfRule type="cellIs" dxfId="268" priority="26" operator="lessThan">
      <formula>0</formula>
    </cfRule>
  </conditionalFormatting>
  <conditionalFormatting sqref="L23">
    <cfRule type="cellIs" dxfId="267" priority="25" stopIfTrue="1" operator="lessThan">
      <formula>0</formula>
    </cfRule>
  </conditionalFormatting>
  <conditionalFormatting sqref="T23">
    <cfRule type="cellIs" dxfId="266" priority="24" stopIfTrue="1" operator="lessThan">
      <formula>0</formula>
    </cfRule>
  </conditionalFormatting>
  <conditionalFormatting sqref="M23">
    <cfRule type="expression" dxfId="265" priority="22">
      <formula>L23&lt;0</formula>
    </cfRule>
    <cfRule type="cellIs" dxfId="264" priority="23" operator="equal">
      <formula>0</formula>
    </cfRule>
  </conditionalFormatting>
  <conditionalFormatting sqref="U23">
    <cfRule type="expression" dxfId="263" priority="20">
      <formula>T23&lt;0</formula>
    </cfRule>
    <cfRule type="cellIs" dxfId="262" priority="21" operator="equal">
      <formula>0</formula>
    </cfRule>
  </conditionalFormatting>
  <conditionalFormatting sqref="J13 J15 J10:J11">
    <cfRule type="cellIs" dxfId="261" priority="19" operator="lessThan">
      <formula>0</formula>
    </cfRule>
  </conditionalFormatting>
  <conditionalFormatting sqref="J20 R20 Z20">
    <cfRule type="cellIs" dxfId="260" priority="17" operator="lessThan">
      <formula>0</formula>
    </cfRule>
  </conditionalFormatting>
  <conditionalFormatting sqref="J21 R21 Z21">
    <cfRule type="cellIs" dxfId="259" priority="16" operator="greaterThan">
      <formula>0</formula>
    </cfRule>
  </conditionalFormatting>
  <conditionalFormatting sqref="J14">
    <cfRule type="cellIs" dxfId="258" priority="14" operator="greaterThan">
      <formula>0</formula>
    </cfRule>
  </conditionalFormatting>
  <conditionalFormatting sqref="J12">
    <cfRule type="cellIs" dxfId="257" priority="13" operator="greaterThan">
      <formula>0</formula>
    </cfRule>
  </conditionalFormatting>
  <conditionalFormatting sqref="R13 R15 R10:R11">
    <cfRule type="cellIs" dxfId="256" priority="12" operator="lessThan">
      <formula>0</formula>
    </cfRule>
  </conditionalFormatting>
  <conditionalFormatting sqref="R14">
    <cfRule type="cellIs" dxfId="255" priority="11" operator="greaterThan">
      <formula>0</formula>
    </cfRule>
  </conditionalFormatting>
  <conditionalFormatting sqref="R12">
    <cfRule type="cellIs" dxfId="254" priority="10" operator="greaterThan">
      <formula>0</formula>
    </cfRule>
  </conditionalFormatting>
  <conditionalFormatting sqref="Z13 Z15 Z10:Z11">
    <cfRule type="cellIs" dxfId="253" priority="9" operator="lessThan">
      <formula>0</formula>
    </cfRule>
  </conditionalFormatting>
  <conditionalFormatting sqref="Z14">
    <cfRule type="cellIs" dxfId="252" priority="8" operator="greaterThan">
      <formula>0</formula>
    </cfRule>
  </conditionalFormatting>
  <conditionalFormatting sqref="Z12">
    <cfRule type="cellIs" dxfId="251" priority="7" operator="greaterThan">
      <formula>0</formula>
    </cfRule>
  </conditionalFormatting>
  <conditionalFormatting sqref="Z23 R23 J23">
    <cfRule type="expression" dxfId="250" priority="6">
      <formula>K23&lt;0</formula>
    </cfRule>
  </conditionalFormatting>
  <conditionalFormatting sqref="O15">
    <cfRule type="expression" dxfId="249" priority="3">
      <formula>P10=0</formula>
    </cfRule>
    <cfRule type="cellIs" dxfId="248" priority="4" operator="lessThan">
      <formula>0</formula>
    </cfRule>
  </conditionalFormatting>
  <conditionalFormatting sqref="W15">
    <cfRule type="expression" dxfId="247" priority="1">
      <formula>X10=0</formula>
    </cfRule>
    <cfRule type="cellIs" dxfId="246" priority="2" operator="lessThan">
      <formula>0</formula>
    </cfRule>
  </conditionalFormatting>
  <dataValidations xWindow="744" yWindow="523" count="6">
    <dataValidation allowBlank="1" showInputMessage="1" showErrorMessage="1" prompt="taux de réalisation du chiffre d'affaires" sqref="G10 O10 W10" xr:uid="{00000000-0002-0000-0B00-000000000000}"/>
    <dataValidation allowBlank="1" showInputMessage="1" showErrorMessage="1" prompt="taux de marge brute" sqref="O11 G11 W11" xr:uid="{00000000-0002-0000-0B00-000001000000}"/>
    <dataValidation allowBlank="1" showInputMessage="1" showErrorMessage="1" prompt="taux des autres charges variables" sqref="G12 O12 W12" xr:uid="{00000000-0002-0000-0B00-000002000000}"/>
    <dataValidation allowBlank="1" showInputMessage="1" showErrorMessage="1" prompt="taux d'IS ?" sqref="G16 O16 W16" xr:uid="{00000000-0002-0000-0B00-000003000000}"/>
    <dataValidation allowBlank="1" showInputMessage="1" showErrorMessage="1" prompt="Jours de chiffre d'affaires HT" sqref="G20:G21 E20:E21 U20:U21 M20:M21 W20:W21 O20:O21" xr:uid="{00000000-0002-0000-0B00-000004000000}"/>
    <dataValidation allowBlank="1" showInputMessage="1" showErrorMessage="1" prompt="Taux de variation des charges fixes_x000a_(+ ou -)_x000a_" sqref="O14 W14 G14" xr:uid="{00000000-0002-0000-0B00-000005000000}"/>
  </dataValidations>
  <pageMargins left="0" right="0" top="0" bottom="0" header="0" footer="0"/>
  <pageSetup paperSize="9" scale="80" orientation="landscape"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0">
    <tabColor theme="7"/>
  </sheetPr>
  <dimension ref="A1:IK468"/>
  <sheetViews>
    <sheetView showGridLines="0" showRowColHeaders="0" workbookViewId="0">
      <selection activeCell="R13" sqref="R13"/>
    </sheetView>
  </sheetViews>
  <sheetFormatPr baseColWidth="10" defaultColWidth="12" defaultRowHeight="13.8" x14ac:dyDescent="0.3"/>
  <cols>
    <col min="1" max="1" width="2" style="771" customWidth="1"/>
    <col min="2" max="2" width="11.33203125" style="764" customWidth="1"/>
    <col min="3" max="6" width="12.44140625" style="764" customWidth="1"/>
    <col min="7" max="7" width="13.6640625" style="764" customWidth="1"/>
    <col min="8" max="8" width="1" style="771" customWidth="1"/>
    <col min="9" max="9" width="11.33203125" style="764" customWidth="1"/>
    <col min="10" max="12" width="12.44140625" style="764" customWidth="1"/>
    <col min="13" max="13" width="13.6640625" style="764" customWidth="1"/>
    <col min="14" max="14" width="1" style="771" customWidth="1"/>
    <col min="15" max="18" width="12.44140625" style="764" customWidth="1"/>
    <col min="19" max="19" width="13.6640625" style="764" customWidth="1"/>
    <col min="20" max="20" width="1" style="771" customWidth="1"/>
    <col min="21" max="21" width="11.33203125" style="764" customWidth="1"/>
    <col min="22" max="25" width="12.44140625" style="764" customWidth="1"/>
    <col min="26" max="26" width="1" style="771" customWidth="1"/>
    <col min="27" max="27" width="11.33203125" style="764" customWidth="1"/>
    <col min="28" max="31" width="12.44140625" style="764" customWidth="1"/>
    <col min="32" max="32" width="1" style="771" customWidth="1"/>
    <col min="33" max="33" width="11.33203125" style="764" customWidth="1"/>
    <col min="34" max="37" width="12.44140625" style="764" customWidth="1"/>
    <col min="38" max="245" width="12" style="771"/>
    <col min="246" max="16384" width="12" style="764"/>
  </cols>
  <sheetData>
    <row r="1" spans="1:245" ht="20.100000000000001" customHeight="1" x14ac:dyDescent="0.3">
      <c r="B1" s="3295" t="s">
        <v>627</v>
      </c>
      <c r="C1" s="3295"/>
      <c r="D1" s="3295"/>
      <c r="E1" s="1637"/>
      <c r="F1" s="1637"/>
      <c r="G1" s="1637"/>
      <c r="I1" s="3288" t="s">
        <v>771</v>
      </c>
      <c r="J1" s="3288"/>
      <c r="K1" s="3288"/>
      <c r="L1" s="1609">
        <f>IF(L6="mensuel",12,IF(L6="trimestriel",4,IF(L6="semestriel",2,IF(L6="annuel",1,0))))</f>
        <v>4</v>
      </c>
      <c r="M1" s="1610">
        <f>ROUND(IF(ISBLANK(M5),0,IF(L6="mensuel",M5,IF(L6="trimestriel",M5/3,IF(L6="semestriel",M5/6,IF(L6="annuel",M5/12))))),0)</f>
        <v>0</v>
      </c>
      <c r="O1" s="3288" t="s">
        <v>771</v>
      </c>
      <c r="P1" s="3288"/>
      <c r="Q1" s="3288"/>
      <c r="R1" s="1633">
        <f>IF(R6="mensuel",12,IF(R6="trimestriel",4,IF(R6="semestriel",2,IF(R6="annuel",1,0))))</f>
        <v>0</v>
      </c>
      <c r="S1" s="1610">
        <f>ROUND(IF(ISBLANK(S5),0,IF(R6="mensuel",S5,IF(R6="trimestriel",S5/3,IF(R6="semestriel",S5/6,IF(R6="annuel",S5/12))))),0)</f>
        <v>0</v>
      </c>
      <c r="U1" s="3288" t="s">
        <v>771</v>
      </c>
      <c r="V1" s="3288"/>
      <c r="W1" s="3288"/>
      <c r="X1" s="1633">
        <f>IF(X6="mensuel",12,IF(X6="trimestriel",4,IF(X6="semestriel",2,IF(X6="annuel",1,0))))</f>
        <v>0</v>
      </c>
      <c r="Y1" s="1610">
        <f>ROUND(IF(ISBLANK(Y5),0,IF(X6="mensuel",Y5,IF(X6="trimestriel",Y5/3,IF(X6="semestriel",Y5/6,IF(X6="annuel",Y5/12))))),0)</f>
        <v>0</v>
      </c>
      <c r="AA1" s="3288" t="s">
        <v>771</v>
      </c>
      <c r="AB1" s="3288"/>
      <c r="AC1" s="3288"/>
      <c r="AD1" s="1633">
        <f>IF(AD6="mensuel",12,IF(AD6="trimestriel",4,IF(AD6="semestriel",2,IF(AD6="annuel",1,0))))</f>
        <v>0</v>
      </c>
      <c r="AE1" s="1610">
        <f>ROUND(IF(ISBLANK(AE5),0,IF(AD6="mensuel",AE5,IF(AD6="trimestriel",AE5/3,IF(AD6="semestriel",AE5/6,IF(AD6="annuel",AE5/12))))),0)</f>
        <v>0</v>
      </c>
      <c r="AG1" s="3288" t="s">
        <v>771</v>
      </c>
      <c r="AH1" s="3288"/>
      <c r="AI1" s="3288"/>
      <c r="AJ1" s="1633">
        <f>IF(AJ6="mensuel",12,IF(AJ6="trimestriel",4,IF(AJ6="semestriel",2,IF(AJ6="annuel",1,0))))</f>
        <v>0</v>
      </c>
      <c r="AK1" s="1610">
        <f>ROUND(IF(ISBLANK(AK5),0,IF(AJ6="mensuel",AK5,IF(AJ6="trimestriel",AK5/3,IF(AJ6="semestriel",AK5/6,IF(AJ6="annuel",AK5/12))))),0)</f>
        <v>0</v>
      </c>
    </row>
    <row r="2" spans="1:245" ht="24.9" customHeight="1" x14ac:dyDescent="0.3">
      <c r="B2" s="3296" t="s">
        <v>748</v>
      </c>
      <c r="C2" s="3297"/>
      <c r="D2" s="3297"/>
      <c r="E2" s="3297"/>
      <c r="F2" s="3297"/>
      <c r="G2" s="3298"/>
      <c r="I2" s="3289" t="s">
        <v>749</v>
      </c>
      <c r="J2" s="3290"/>
      <c r="K2" s="3290"/>
      <c r="L2" s="3290"/>
      <c r="M2" s="3291"/>
      <c r="N2" s="775"/>
      <c r="O2" s="3289" t="s">
        <v>750</v>
      </c>
      <c r="P2" s="3290"/>
      <c r="Q2" s="3290"/>
      <c r="R2" s="3290"/>
      <c r="S2" s="3291"/>
      <c r="T2" s="775"/>
      <c r="U2" s="3289" t="s">
        <v>751</v>
      </c>
      <c r="V2" s="3290"/>
      <c r="W2" s="3290"/>
      <c r="X2" s="3290"/>
      <c r="Y2" s="3291"/>
      <c r="Z2" s="775"/>
      <c r="AA2" s="3289" t="s">
        <v>752</v>
      </c>
      <c r="AB2" s="3290"/>
      <c r="AC2" s="3290"/>
      <c r="AD2" s="3290"/>
      <c r="AE2" s="3291"/>
      <c r="AF2" s="775"/>
      <c r="AG2" s="3289" t="s">
        <v>753</v>
      </c>
      <c r="AH2" s="3290"/>
      <c r="AI2" s="3290"/>
      <c r="AJ2" s="3290"/>
      <c r="AK2" s="3291"/>
    </row>
    <row r="3" spans="1:245" s="765" customFormat="1" ht="20.100000000000001" customHeight="1" x14ac:dyDescent="0.25">
      <c r="A3" s="772"/>
      <c r="B3" s="1638" t="s">
        <v>754</v>
      </c>
      <c r="C3" s="979" t="s">
        <v>755</v>
      </c>
      <c r="D3" s="979" t="s">
        <v>756</v>
      </c>
      <c r="E3" s="979" t="s">
        <v>757</v>
      </c>
      <c r="F3" s="980" t="s">
        <v>758</v>
      </c>
      <c r="G3" s="1639" t="s">
        <v>205</v>
      </c>
      <c r="H3" s="775"/>
      <c r="I3" s="3292" t="s">
        <v>759</v>
      </c>
      <c r="J3" s="3293"/>
      <c r="K3" s="3293"/>
      <c r="L3" s="3293"/>
      <c r="M3" s="3294"/>
      <c r="N3" s="772"/>
      <c r="O3" s="3292" t="s">
        <v>759</v>
      </c>
      <c r="P3" s="3293"/>
      <c r="Q3" s="3293"/>
      <c r="R3" s="3293"/>
      <c r="S3" s="3294"/>
      <c r="T3" s="772"/>
      <c r="U3" s="3292" t="s">
        <v>759</v>
      </c>
      <c r="V3" s="3293"/>
      <c r="W3" s="3293"/>
      <c r="X3" s="3293"/>
      <c r="Y3" s="3294"/>
      <c r="Z3" s="772"/>
      <c r="AA3" s="3292" t="s">
        <v>759</v>
      </c>
      <c r="AB3" s="3293"/>
      <c r="AC3" s="3293"/>
      <c r="AD3" s="3293"/>
      <c r="AE3" s="3294"/>
      <c r="AF3" s="772"/>
      <c r="AG3" s="3292" t="s">
        <v>759</v>
      </c>
      <c r="AH3" s="3293"/>
      <c r="AI3" s="3293"/>
      <c r="AJ3" s="3293"/>
      <c r="AK3" s="3294"/>
      <c r="AL3" s="772"/>
      <c r="AM3" s="772"/>
      <c r="AN3" s="772"/>
      <c r="AO3" s="772"/>
      <c r="AP3" s="772"/>
      <c r="AQ3" s="772"/>
      <c r="AR3" s="772"/>
      <c r="AS3" s="772"/>
      <c r="AT3" s="772"/>
      <c r="AU3" s="772"/>
      <c r="AV3" s="772"/>
      <c r="AW3" s="772"/>
      <c r="AX3" s="772"/>
      <c r="AY3" s="772"/>
      <c r="AZ3" s="772"/>
      <c r="BA3" s="772"/>
      <c r="BB3" s="772"/>
      <c r="BC3" s="772"/>
      <c r="BD3" s="772"/>
      <c r="BE3" s="772"/>
      <c r="BF3" s="772"/>
      <c r="BG3" s="772"/>
      <c r="BH3" s="772"/>
      <c r="BI3" s="772"/>
      <c r="BJ3" s="772"/>
      <c r="BK3" s="772"/>
      <c r="BL3" s="772"/>
      <c r="BM3" s="772"/>
      <c r="BN3" s="772"/>
      <c r="BO3" s="772"/>
      <c r="BP3" s="772"/>
      <c r="BQ3" s="772"/>
      <c r="BR3" s="772"/>
      <c r="BS3" s="772"/>
      <c r="BT3" s="772"/>
      <c r="BU3" s="772"/>
      <c r="BV3" s="772"/>
      <c r="BW3" s="772"/>
      <c r="BX3" s="772"/>
      <c r="BY3" s="772"/>
      <c r="BZ3" s="772"/>
      <c r="CA3" s="772"/>
      <c r="CB3" s="772"/>
      <c r="CC3" s="772"/>
      <c r="CD3" s="772"/>
      <c r="CE3" s="772"/>
      <c r="CF3" s="772"/>
      <c r="CG3" s="772"/>
      <c r="CH3" s="772"/>
      <c r="CI3" s="772"/>
      <c r="CJ3" s="772"/>
      <c r="CK3" s="772"/>
      <c r="CL3" s="772"/>
      <c r="CM3" s="772"/>
      <c r="CN3" s="772"/>
      <c r="CO3" s="772"/>
      <c r="CP3" s="772"/>
      <c r="CQ3" s="772"/>
      <c r="CR3" s="772"/>
      <c r="CS3" s="772"/>
      <c r="CT3" s="772"/>
      <c r="CU3" s="772"/>
      <c r="CV3" s="772"/>
      <c r="CW3" s="772"/>
      <c r="CX3" s="772"/>
      <c r="CY3" s="772"/>
      <c r="CZ3" s="772"/>
      <c r="DA3" s="772"/>
      <c r="DB3" s="772"/>
      <c r="DC3" s="772"/>
      <c r="DD3" s="772"/>
      <c r="DE3" s="772"/>
      <c r="DF3" s="772"/>
      <c r="DG3" s="772"/>
      <c r="DH3" s="772"/>
      <c r="DI3" s="772"/>
      <c r="DJ3" s="772"/>
      <c r="DK3" s="772"/>
      <c r="DL3" s="772"/>
      <c r="DM3" s="772"/>
      <c r="DN3" s="772"/>
      <c r="DO3" s="772"/>
      <c r="DP3" s="772"/>
      <c r="DQ3" s="772"/>
      <c r="DR3" s="772"/>
      <c r="DS3" s="772"/>
      <c r="DT3" s="772"/>
      <c r="DU3" s="772"/>
      <c r="DV3" s="772"/>
      <c r="DW3" s="772"/>
      <c r="DX3" s="772"/>
      <c r="DY3" s="772"/>
      <c r="DZ3" s="772"/>
      <c r="EA3" s="772"/>
      <c r="EB3" s="772"/>
      <c r="EC3" s="772"/>
      <c r="ED3" s="772"/>
      <c r="EE3" s="772"/>
      <c r="EF3" s="772"/>
      <c r="EG3" s="772"/>
      <c r="EH3" s="772"/>
      <c r="EI3" s="772"/>
      <c r="EJ3" s="772"/>
      <c r="EK3" s="772"/>
      <c r="EL3" s="772"/>
      <c r="EM3" s="772"/>
      <c r="EN3" s="772"/>
      <c r="EO3" s="772"/>
      <c r="EP3" s="772"/>
      <c r="EQ3" s="772"/>
      <c r="ER3" s="772"/>
      <c r="ES3" s="772"/>
      <c r="ET3" s="772"/>
      <c r="EU3" s="772"/>
      <c r="EV3" s="772"/>
      <c r="EW3" s="772"/>
      <c r="EX3" s="772"/>
      <c r="EY3" s="772"/>
      <c r="EZ3" s="772"/>
      <c r="FA3" s="772"/>
      <c r="FB3" s="772"/>
      <c r="FC3" s="772"/>
      <c r="FD3" s="772"/>
      <c r="FE3" s="772"/>
      <c r="FF3" s="772"/>
      <c r="FG3" s="772"/>
      <c r="FH3" s="772"/>
      <c r="FI3" s="772"/>
      <c r="FJ3" s="772"/>
      <c r="FK3" s="772"/>
      <c r="FL3" s="772"/>
      <c r="FM3" s="772"/>
      <c r="FN3" s="772"/>
      <c r="FO3" s="772"/>
      <c r="FP3" s="772"/>
      <c r="FQ3" s="772"/>
      <c r="FR3" s="772"/>
      <c r="FS3" s="772"/>
      <c r="FT3" s="772"/>
      <c r="FU3" s="772"/>
      <c r="FV3" s="772"/>
      <c r="FW3" s="772"/>
      <c r="FX3" s="772"/>
      <c r="FY3" s="772"/>
      <c r="FZ3" s="772"/>
      <c r="GA3" s="772"/>
      <c r="GB3" s="772"/>
      <c r="GC3" s="772"/>
      <c r="GD3" s="772"/>
      <c r="GE3" s="772"/>
      <c r="GF3" s="772"/>
      <c r="GG3" s="772"/>
      <c r="GH3" s="772"/>
      <c r="GI3" s="772"/>
      <c r="GJ3" s="772"/>
      <c r="GK3" s="772"/>
      <c r="GL3" s="772"/>
      <c r="GM3" s="772"/>
      <c r="GN3" s="772"/>
      <c r="GO3" s="772"/>
      <c r="GP3" s="772"/>
      <c r="GQ3" s="772"/>
      <c r="GR3" s="772"/>
      <c r="GS3" s="772"/>
      <c r="GT3" s="772"/>
      <c r="GU3" s="772"/>
      <c r="GV3" s="772"/>
      <c r="GW3" s="772"/>
      <c r="GX3" s="772"/>
      <c r="GY3" s="772"/>
      <c r="GZ3" s="772"/>
      <c r="HA3" s="772"/>
      <c r="HB3" s="772"/>
      <c r="HC3" s="772"/>
      <c r="HD3" s="772"/>
      <c r="HE3" s="772"/>
      <c r="HF3" s="772"/>
      <c r="HG3" s="772"/>
      <c r="HH3" s="772"/>
      <c r="HI3" s="772"/>
      <c r="HJ3" s="772"/>
      <c r="HK3" s="772"/>
      <c r="HL3" s="772"/>
      <c r="HM3" s="772"/>
      <c r="HN3" s="772"/>
      <c r="HO3" s="772"/>
      <c r="HP3" s="772"/>
      <c r="HQ3" s="772"/>
      <c r="HR3" s="772"/>
      <c r="HS3" s="772"/>
      <c r="HT3" s="772"/>
      <c r="HU3" s="772"/>
      <c r="HV3" s="772"/>
      <c r="HW3" s="772"/>
      <c r="HX3" s="772"/>
      <c r="HY3" s="772"/>
      <c r="HZ3" s="772"/>
      <c r="IA3" s="772"/>
      <c r="IB3" s="772"/>
      <c r="IC3" s="772"/>
      <c r="ID3" s="772"/>
      <c r="IE3" s="772"/>
      <c r="IF3" s="772"/>
      <c r="IG3" s="772"/>
      <c r="IH3" s="772"/>
      <c r="II3" s="772"/>
      <c r="IJ3" s="772"/>
      <c r="IK3" s="772"/>
    </row>
    <row r="4" spans="1:245" s="765" customFormat="1" ht="20.100000000000001" customHeight="1" x14ac:dyDescent="0.25">
      <c r="A4" s="772"/>
      <c r="B4" s="1640">
        <f>emprunt1</f>
        <v>0</v>
      </c>
      <c r="C4" s="981">
        <f>emprunt2</f>
        <v>0</v>
      </c>
      <c r="D4" s="982">
        <f>V4</f>
        <v>0</v>
      </c>
      <c r="E4" s="983">
        <f>AB4</f>
        <v>0</v>
      </c>
      <c r="F4" s="984">
        <f>AH4</f>
        <v>0</v>
      </c>
      <c r="G4" s="1641">
        <f>SUM(B4:F4)</f>
        <v>0</v>
      </c>
      <c r="H4" s="776"/>
      <c r="I4" s="1611" t="s">
        <v>339</v>
      </c>
      <c r="J4" s="976"/>
      <c r="K4" s="3279" t="s">
        <v>760</v>
      </c>
      <c r="L4" s="3280"/>
      <c r="M4" s="1612"/>
      <c r="N4" s="776"/>
      <c r="O4" s="1611" t="s">
        <v>339</v>
      </c>
      <c r="P4" s="976"/>
      <c r="Q4" s="3279" t="s">
        <v>760</v>
      </c>
      <c r="R4" s="3280"/>
      <c r="S4" s="1612"/>
      <c r="T4" s="779"/>
      <c r="U4" s="1611" t="s">
        <v>339</v>
      </c>
      <c r="V4" s="976"/>
      <c r="W4" s="3279" t="s">
        <v>760</v>
      </c>
      <c r="X4" s="3280"/>
      <c r="Y4" s="1612"/>
      <c r="Z4" s="779"/>
      <c r="AA4" s="1611" t="s">
        <v>339</v>
      </c>
      <c r="AB4" s="976"/>
      <c r="AC4" s="3279" t="s">
        <v>760</v>
      </c>
      <c r="AD4" s="3280"/>
      <c r="AE4" s="1612"/>
      <c r="AF4" s="779"/>
      <c r="AG4" s="1611" t="s">
        <v>339</v>
      </c>
      <c r="AH4" s="976"/>
      <c r="AI4" s="3279" t="s">
        <v>760</v>
      </c>
      <c r="AJ4" s="3280"/>
      <c r="AK4" s="161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c r="BR4" s="772"/>
      <c r="BS4" s="772"/>
      <c r="BT4" s="772"/>
      <c r="BU4" s="772"/>
      <c r="BV4" s="772"/>
      <c r="BW4" s="772"/>
      <c r="BX4" s="772"/>
      <c r="BY4" s="772"/>
      <c r="BZ4" s="772"/>
      <c r="CA4" s="772"/>
      <c r="CB4" s="772"/>
      <c r="CC4" s="772"/>
      <c r="CD4" s="772"/>
      <c r="CE4" s="772"/>
      <c r="CF4" s="772"/>
      <c r="CG4" s="772"/>
      <c r="CH4" s="772"/>
      <c r="CI4" s="772"/>
      <c r="CJ4" s="772"/>
      <c r="CK4" s="772"/>
      <c r="CL4" s="772"/>
      <c r="CM4" s="772"/>
      <c r="CN4" s="772"/>
      <c r="CO4" s="772"/>
      <c r="CP4" s="772"/>
      <c r="CQ4" s="772"/>
      <c r="CR4" s="772"/>
      <c r="CS4" s="772"/>
      <c r="CT4" s="772"/>
      <c r="CU4" s="772"/>
      <c r="CV4" s="772"/>
      <c r="CW4" s="772"/>
      <c r="CX4" s="772"/>
      <c r="CY4" s="772"/>
      <c r="CZ4" s="772"/>
      <c r="DA4" s="772"/>
      <c r="DB4" s="772"/>
      <c r="DC4" s="772"/>
      <c r="DD4" s="772"/>
      <c r="DE4" s="772"/>
      <c r="DF4" s="772"/>
      <c r="DG4" s="772"/>
      <c r="DH4" s="772"/>
      <c r="DI4" s="772"/>
      <c r="DJ4" s="772"/>
      <c r="DK4" s="772"/>
      <c r="DL4" s="772"/>
      <c r="DM4" s="772"/>
      <c r="DN4" s="772"/>
      <c r="DO4" s="772"/>
      <c r="DP4" s="772"/>
      <c r="DQ4" s="772"/>
      <c r="DR4" s="772"/>
      <c r="DS4" s="772"/>
      <c r="DT4" s="772"/>
      <c r="DU4" s="772"/>
      <c r="DV4" s="772"/>
      <c r="DW4" s="772"/>
      <c r="DX4" s="772"/>
      <c r="DY4" s="772"/>
      <c r="DZ4" s="772"/>
      <c r="EA4" s="772"/>
      <c r="EB4" s="772"/>
      <c r="EC4" s="772"/>
      <c r="ED4" s="772"/>
      <c r="EE4" s="772"/>
      <c r="EF4" s="772"/>
      <c r="EG4" s="772"/>
      <c r="EH4" s="772"/>
      <c r="EI4" s="772"/>
      <c r="EJ4" s="772"/>
      <c r="EK4" s="772"/>
      <c r="EL4" s="772"/>
      <c r="EM4" s="772"/>
      <c r="EN4" s="772"/>
      <c r="EO4" s="772"/>
      <c r="EP4" s="772"/>
      <c r="EQ4" s="772"/>
      <c r="ER4" s="772"/>
      <c r="ES4" s="772"/>
      <c r="ET4" s="772"/>
      <c r="EU4" s="772"/>
      <c r="EV4" s="772"/>
      <c r="EW4" s="772"/>
      <c r="EX4" s="772"/>
      <c r="EY4" s="772"/>
      <c r="EZ4" s="772"/>
      <c r="FA4" s="772"/>
      <c r="FB4" s="772"/>
      <c r="FC4" s="772"/>
      <c r="FD4" s="772"/>
      <c r="FE4" s="772"/>
      <c r="FF4" s="772"/>
      <c r="FG4" s="772"/>
      <c r="FH4" s="772"/>
      <c r="FI4" s="772"/>
      <c r="FJ4" s="772"/>
      <c r="FK4" s="772"/>
      <c r="FL4" s="772"/>
      <c r="FM4" s="772"/>
      <c r="FN4" s="772"/>
      <c r="FO4" s="772"/>
      <c r="FP4" s="772"/>
      <c r="FQ4" s="772"/>
      <c r="FR4" s="772"/>
      <c r="FS4" s="772"/>
      <c r="FT4" s="772"/>
      <c r="FU4" s="772"/>
      <c r="FV4" s="772"/>
      <c r="FW4" s="772"/>
      <c r="FX4" s="772"/>
      <c r="FY4" s="772"/>
      <c r="FZ4" s="772"/>
      <c r="GA4" s="772"/>
      <c r="GB4" s="772"/>
      <c r="GC4" s="772"/>
      <c r="GD4" s="772"/>
      <c r="GE4" s="772"/>
      <c r="GF4" s="772"/>
      <c r="GG4" s="772"/>
      <c r="GH4" s="772"/>
      <c r="GI4" s="772"/>
      <c r="GJ4" s="772"/>
      <c r="GK4" s="772"/>
      <c r="GL4" s="772"/>
      <c r="GM4" s="772"/>
      <c r="GN4" s="772"/>
      <c r="GO4" s="772"/>
      <c r="GP4" s="772"/>
      <c r="GQ4" s="772"/>
      <c r="GR4" s="772"/>
      <c r="GS4" s="772"/>
      <c r="GT4" s="772"/>
      <c r="GU4" s="772"/>
      <c r="GV4" s="772"/>
      <c r="GW4" s="772"/>
      <c r="GX4" s="772"/>
      <c r="GY4" s="772"/>
      <c r="GZ4" s="772"/>
      <c r="HA4" s="772"/>
      <c r="HB4" s="772"/>
      <c r="HC4" s="772"/>
      <c r="HD4" s="772"/>
      <c r="HE4" s="772"/>
      <c r="HF4" s="772"/>
      <c r="HG4" s="772"/>
      <c r="HH4" s="772"/>
      <c r="HI4" s="772"/>
      <c r="HJ4" s="772"/>
      <c r="HK4" s="772"/>
      <c r="HL4" s="772"/>
      <c r="HM4" s="772"/>
      <c r="HN4" s="772"/>
      <c r="HO4" s="772"/>
      <c r="HP4" s="772"/>
      <c r="HQ4" s="772"/>
      <c r="HR4" s="772"/>
      <c r="HS4" s="772"/>
      <c r="HT4" s="772"/>
      <c r="HU4" s="772"/>
      <c r="HV4" s="772"/>
      <c r="HW4" s="772"/>
      <c r="HX4" s="772"/>
      <c r="HY4" s="772"/>
      <c r="HZ4" s="772"/>
      <c r="IA4" s="772"/>
      <c r="IB4" s="772"/>
      <c r="IC4" s="772"/>
      <c r="ID4" s="772"/>
      <c r="IE4" s="772"/>
      <c r="IF4" s="772"/>
      <c r="IG4" s="772"/>
      <c r="IH4" s="772"/>
      <c r="II4" s="772"/>
      <c r="IJ4" s="772"/>
      <c r="IK4" s="772"/>
    </row>
    <row r="5" spans="1:245" s="765" customFormat="1" ht="20.100000000000001" customHeight="1" x14ac:dyDescent="0.25">
      <c r="A5" s="772"/>
      <c r="B5" s="1642">
        <f>J5</f>
        <v>0</v>
      </c>
      <c r="C5" s="985">
        <f>P5</f>
        <v>0</v>
      </c>
      <c r="D5" s="985">
        <f>V5</f>
        <v>0</v>
      </c>
      <c r="E5" s="985">
        <f>AB5</f>
        <v>0</v>
      </c>
      <c r="F5" s="986">
        <f>AH5</f>
        <v>0</v>
      </c>
      <c r="G5" s="1643" t="s">
        <v>761</v>
      </c>
      <c r="H5" s="772"/>
      <c r="I5" s="1613" t="s">
        <v>84</v>
      </c>
      <c r="J5" s="977"/>
      <c r="K5" s="3283" t="s">
        <v>762</v>
      </c>
      <c r="L5" s="3284"/>
      <c r="M5" s="1614"/>
      <c r="N5" s="772"/>
      <c r="O5" s="1613" t="s">
        <v>84</v>
      </c>
      <c r="P5" s="977"/>
      <c r="Q5" s="3283" t="s">
        <v>762</v>
      </c>
      <c r="R5" s="3284"/>
      <c r="S5" s="1614"/>
      <c r="T5" s="772"/>
      <c r="U5" s="1613" t="s">
        <v>84</v>
      </c>
      <c r="V5" s="977"/>
      <c r="W5" s="3283" t="s">
        <v>762</v>
      </c>
      <c r="X5" s="3284"/>
      <c r="Y5" s="1614"/>
      <c r="Z5" s="772"/>
      <c r="AA5" s="1613" t="s">
        <v>84</v>
      </c>
      <c r="AB5" s="977"/>
      <c r="AC5" s="3283" t="s">
        <v>762</v>
      </c>
      <c r="AD5" s="3284"/>
      <c r="AE5" s="1614"/>
      <c r="AF5" s="772"/>
      <c r="AG5" s="1613" t="s">
        <v>84</v>
      </c>
      <c r="AH5" s="977"/>
      <c r="AI5" s="3283" t="s">
        <v>762</v>
      </c>
      <c r="AJ5" s="3284"/>
      <c r="AK5" s="1614"/>
      <c r="AL5" s="772"/>
      <c r="AM5" s="772"/>
      <c r="AN5" s="772"/>
      <c r="AO5" s="772"/>
      <c r="AP5" s="772"/>
      <c r="AQ5" s="772"/>
      <c r="AR5" s="772"/>
      <c r="AS5" s="772"/>
      <c r="AT5" s="772"/>
      <c r="AU5" s="772"/>
      <c r="AV5" s="772"/>
      <c r="AW5" s="772"/>
      <c r="AX5" s="772"/>
      <c r="AY5" s="772"/>
      <c r="AZ5" s="772"/>
      <c r="BA5" s="772"/>
      <c r="BB5" s="772"/>
      <c r="BC5" s="772"/>
      <c r="BD5" s="772"/>
      <c r="BE5" s="772"/>
      <c r="BF5" s="772"/>
      <c r="BG5" s="772"/>
      <c r="BH5" s="772"/>
      <c r="BI5" s="772"/>
      <c r="BJ5" s="772"/>
      <c r="BK5" s="772"/>
      <c r="BL5" s="772"/>
      <c r="BM5" s="772"/>
      <c r="BN5" s="772"/>
      <c r="BO5" s="772"/>
      <c r="BP5" s="772"/>
      <c r="BQ5" s="772"/>
      <c r="BR5" s="772"/>
      <c r="BS5" s="772"/>
      <c r="BT5" s="772"/>
      <c r="BU5" s="772"/>
      <c r="BV5" s="772"/>
      <c r="BW5" s="772"/>
      <c r="BX5" s="772"/>
      <c r="BY5" s="772"/>
      <c r="BZ5" s="772"/>
      <c r="CA5" s="772"/>
      <c r="CB5" s="772"/>
      <c r="CC5" s="772"/>
      <c r="CD5" s="772"/>
      <c r="CE5" s="772"/>
      <c r="CF5" s="772"/>
      <c r="CG5" s="772"/>
      <c r="CH5" s="772"/>
      <c r="CI5" s="772"/>
      <c r="CJ5" s="772"/>
      <c r="CK5" s="772"/>
      <c r="CL5" s="772"/>
      <c r="CM5" s="772"/>
      <c r="CN5" s="772"/>
      <c r="CO5" s="772"/>
      <c r="CP5" s="772"/>
      <c r="CQ5" s="772"/>
      <c r="CR5" s="772"/>
      <c r="CS5" s="772"/>
      <c r="CT5" s="772"/>
      <c r="CU5" s="772"/>
      <c r="CV5" s="772"/>
      <c r="CW5" s="772"/>
      <c r="CX5" s="772"/>
      <c r="CY5" s="772"/>
      <c r="CZ5" s="772"/>
      <c r="DA5" s="772"/>
      <c r="DB5" s="772"/>
      <c r="DC5" s="772"/>
      <c r="DD5" s="772"/>
      <c r="DE5" s="772"/>
      <c r="DF5" s="772"/>
      <c r="DG5" s="772"/>
      <c r="DH5" s="772"/>
      <c r="DI5" s="772"/>
      <c r="DJ5" s="772"/>
      <c r="DK5" s="772"/>
      <c r="DL5" s="772"/>
      <c r="DM5" s="772"/>
      <c r="DN5" s="772"/>
      <c r="DO5" s="772"/>
      <c r="DP5" s="772"/>
      <c r="DQ5" s="772"/>
      <c r="DR5" s="772"/>
      <c r="DS5" s="772"/>
      <c r="DT5" s="772"/>
      <c r="DU5" s="772"/>
      <c r="DV5" s="772"/>
      <c r="DW5" s="772"/>
      <c r="DX5" s="772"/>
      <c r="DY5" s="772"/>
      <c r="DZ5" s="772"/>
      <c r="EA5" s="772"/>
      <c r="EB5" s="772"/>
      <c r="EC5" s="772"/>
      <c r="ED5" s="772"/>
      <c r="EE5" s="772"/>
      <c r="EF5" s="772"/>
      <c r="EG5" s="772"/>
      <c r="EH5" s="772"/>
      <c r="EI5" s="772"/>
      <c r="EJ5" s="772"/>
      <c r="EK5" s="772"/>
      <c r="EL5" s="772"/>
      <c r="EM5" s="772"/>
      <c r="EN5" s="772"/>
      <c r="EO5" s="772"/>
      <c r="EP5" s="772"/>
      <c r="EQ5" s="772"/>
      <c r="ER5" s="772"/>
      <c r="ES5" s="772"/>
      <c r="ET5" s="772"/>
      <c r="EU5" s="772"/>
      <c r="EV5" s="772"/>
      <c r="EW5" s="772"/>
      <c r="EX5" s="772"/>
      <c r="EY5" s="772"/>
      <c r="EZ5" s="772"/>
      <c r="FA5" s="772"/>
      <c r="FB5" s="772"/>
      <c r="FC5" s="772"/>
      <c r="FD5" s="772"/>
      <c r="FE5" s="772"/>
      <c r="FF5" s="772"/>
      <c r="FG5" s="772"/>
      <c r="FH5" s="772"/>
      <c r="FI5" s="772"/>
      <c r="FJ5" s="772"/>
      <c r="FK5" s="772"/>
      <c r="FL5" s="772"/>
      <c r="FM5" s="772"/>
      <c r="FN5" s="772"/>
      <c r="FO5" s="772"/>
      <c r="FP5" s="772"/>
      <c r="FQ5" s="772"/>
      <c r="FR5" s="772"/>
      <c r="FS5" s="772"/>
      <c r="FT5" s="772"/>
      <c r="FU5" s="772"/>
      <c r="FV5" s="772"/>
      <c r="FW5" s="772"/>
      <c r="FX5" s="772"/>
      <c r="FY5" s="772"/>
      <c r="FZ5" s="772"/>
      <c r="GA5" s="772"/>
      <c r="GB5" s="772"/>
      <c r="GC5" s="772"/>
      <c r="GD5" s="772"/>
      <c r="GE5" s="772"/>
      <c r="GF5" s="772"/>
      <c r="GG5" s="772"/>
      <c r="GH5" s="772"/>
      <c r="GI5" s="772"/>
      <c r="GJ5" s="772"/>
      <c r="GK5" s="772"/>
      <c r="GL5" s="772"/>
      <c r="GM5" s="772"/>
      <c r="GN5" s="772"/>
      <c r="GO5" s="772"/>
      <c r="GP5" s="772"/>
      <c r="GQ5" s="772"/>
      <c r="GR5" s="772"/>
      <c r="GS5" s="772"/>
      <c r="GT5" s="772"/>
      <c r="GU5" s="772"/>
      <c r="GV5" s="772"/>
      <c r="GW5" s="772"/>
      <c r="GX5" s="772"/>
      <c r="GY5" s="772"/>
      <c r="GZ5" s="772"/>
      <c r="HA5" s="772"/>
      <c r="HB5" s="772"/>
      <c r="HC5" s="772"/>
      <c r="HD5" s="772"/>
      <c r="HE5" s="772"/>
      <c r="HF5" s="772"/>
      <c r="HG5" s="772"/>
      <c r="HH5" s="772"/>
      <c r="HI5" s="772"/>
      <c r="HJ5" s="772"/>
      <c r="HK5" s="772"/>
      <c r="HL5" s="772"/>
      <c r="HM5" s="772"/>
      <c r="HN5" s="772"/>
      <c r="HO5" s="772"/>
      <c r="HP5" s="772"/>
      <c r="HQ5" s="772"/>
      <c r="HR5" s="772"/>
      <c r="HS5" s="772"/>
      <c r="HT5" s="772"/>
      <c r="HU5" s="772"/>
      <c r="HV5" s="772"/>
      <c r="HW5" s="772"/>
      <c r="HX5" s="772"/>
      <c r="HY5" s="772"/>
      <c r="HZ5" s="772"/>
      <c r="IA5" s="772"/>
      <c r="IB5" s="772"/>
      <c r="IC5" s="772"/>
      <c r="ID5" s="772"/>
      <c r="IE5" s="772"/>
      <c r="IF5" s="772"/>
      <c r="IG5" s="772"/>
      <c r="IH5" s="772"/>
      <c r="II5" s="772"/>
      <c r="IJ5" s="772"/>
      <c r="IK5" s="772"/>
    </row>
    <row r="6" spans="1:245" s="765" customFormat="1" ht="20.100000000000001" customHeight="1" x14ac:dyDescent="0.25">
      <c r="A6" s="772"/>
      <c r="B6" s="1644">
        <f>taux_emprunt1</f>
        <v>0</v>
      </c>
      <c r="C6" s="987">
        <f>taux_emprunt2</f>
        <v>0</v>
      </c>
      <c r="D6" s="987">
        <f>Y4</f>
        <v>0</v>
      </c>
      <c r="E6" s="987">
        <f>AE4</f>
        <v>0</v>
      </c>
      <c r="F6" s="988">
        <f>AK4</f>
        <v>0</v>
      </c>
      <c r="G6" s="1645">
        <f>SUM(D8:D22)</f>
        <v>0</v>
      </c>
      <c r="H6" s="772"/>
      <c r="I6" s="3277" t="s">
        <v>763</v>
      </c>
      <c r="J6" s="3278"/>
      <c r="K6" s="3278"/>
      <c r="L6" s="978" t="s">
        <v>947</v>
      </c>
      <c r="M6" s="1615">
        <f>IF(ISERROR(IF(L6="mensuel",J5*12,IF(L6="trimestriel",J5*4,IF(L6="semestriel",J5*2,IF(L6="annuel",J5)))))," ",IF(L6="mensuel",J5*12,IF(L6="trimestriel",J5*4,IF(L6="semestriel",J5*2,IF(L6="annuel",J5,0)))))</f>
        <v>0</v>
      </c>
      <c r="N6" s="772"/>
      <c r="O6" s="3277" t="s">
        <v>763</v>
      </c>
      <c r="P6" s="3278"/>
      <c r="Q6" s="3278"/>
      <c r="R6" s="978"/>
      <c r="S6" s="1615">
        <f>IF(ISERROR(IF(R6="mensuel",P5*12,IF(R6="trimestriel",P5*4,IF(R6="semestriel",P5*2,IF(R6="annuel",P5)))))," ",IF(R6="mensuel",P5*12,IF(R6="trimestriel",P5*4,IF(R6="semestriel",P5*2,IF(R6="annuel",P5,0)))))</f>
        <v>0</v>
      </c>
      <c r="T6" s="772"/>
      <c r="U6" s="3277" t="s">
        <v>763</v>
      </c>
      <c r="V6" s="3278"/>
      <c r="W6" s="3278"/>
      <c r="X6" s="978"/>
      <c r="Y6" s="1615">
        <f>IF(ISERROR(IF(X6="mensuel",V5*12,IF(X6="trimestriel",V5*4,IF(X6="semestriel",V5*2,IF(X6="annuel",V5)))))," ",IF(X6="mensuel",V5*12,IF(X6="trimestriel",V5*4,IF(X6="semestriel",V5*2,IF(X6="annuel",V5,0)))))</f>
        <v>0</v>
      </c>
      <c r="Z6" s="772"/>
      <c r="AA6" s="3277" t="s">
        <v>763</v>
      </c>
      <c r="AB6" s="3278"/>
      <c r="AC6" s="3278"/>
      <c r="AD6" s="978"/>
      <c r="AE6" s="1615">
        <f>IF(ISERROR(IF(AD6="mensuel",AB5*12,IF(AD6="trimestriel",AB5*4,IF(AD6="semestriel",AB5*2,IF(AD6="annuel",AB5)))))," ",IF(AD6="mensuel",AB5*12,IF(AD6="trimestriel",AB5*4,IF(AD6="semestriel",AB5*2,IF(AD6="annuel",AB5,0)))))</f>
        <v>0</v>
      </c>
      <c r="AF6" s="772"/>
      <c r="AG6" s="3277" t="s">
        <v>763</v>
      </c>
      <c r="AH6" s="3278"/>
      <c r="AI6" s="3278"/>
      <c r="AJ6" s="978"/>
      <c r="AK6" s="1615">
        <f>IF(ISERROR(IF(AJ6="mensuel",AH5*12,IF(AJ6="trimestriel",AH5*4,IF(AJ6="semestriel",AH5*2,IF(AJ6="annuel",AH5)))))," ",IF(AJ6="mensuel",AH5*12,IF(AJ6="trimestriel",AH5*4,IF(AJ6="semestriel",AH5*2,IF(AJ6="annuel",AH5,0)))))</f>
        <v>0</v>
      </c>
      <c r="AL6" s="772"/>
      <c r="AM6" s="772"/>
      <c r="AN6" s="772"/>
      <c r="AO6" s="772"/>
      <c r="AP6" s="772"/>
      <c r="AQ6" s="772"/>
      <c r="AR6" s="772"/>
      <c r="AS6" s="772"/>
      <c r="AT6" s="772"/>
      <c r="AU6" s="772"/>
      <c r="AV6" s="772"/>
      <c r="AW6" s="772"/>
      <c r="AX6" s="772"/>
      <c r="AY6" s="772"/>
      <c r="AZ6" s="772"/>
      <c r="BA6" s="772"/>
      <c r="BB6" s="772"/>
      <c r="BC6" s="772"/>
      <c r="BD6" s="772"/>
      <c r="BE6" s="772"/>
      <c r="BF6" s="772"/>
      <c r="BG6" s="772"/>
      <c r="BH6" s="772"/>
      <c r="BI6" s="772"/>
      <c r="BJ6" s="772"/>
      <c r="BK6" s="772"/>
      <c r="BL6" s="772"/>
      <c r="BM6" s="772"/>
      <c r="BN6" s="772"/>
      <c r="BO6" s="772"/>
      <c r="BP6" s="772"/>
      <c r="BQ6" s="772"/>
      <c r="BR6" s="772"/>
      <c r="BS6" s="772"/>
      <c r="BT6" s="772"/>
      <c r="BU6" s="772"/>
      <c r="BV6" s="772"/>
      <c r="BW6" s="772"/>
      <c r="BX6" s="772"/>
      <c r="BY6" s="772"/>
      <c r="BZ6" s="772"/>
      <c r="CA6" s="772"/>
      <c r="CB6" s="772"/>
      <c r="CC6" s="772"/>
      <c r="CD6" s="772"/>
      <c r="CE6" s="772"/>
      <c r="CF6" s="772"/>
      <c r="CG6" s="772"/>
      <c r="CH6" s="772"/>
      <c r="CI6" s="772"/>
      <c r="CJ6" s="772"/>
      <c r="CK6" s="772"/>
      <c r="CL6" s="772"/>
      <c r="CM6" s="772"/>
      <c r="CN6" s="772"/>
      <c r="CO6" s="772"/>
      <c r="CP6" s="772"/>
      <c r="CQ6" s="772"/>
      <c r="CR6" s="772"/>
      <c r="CS6" s="772"/>
      <c r="CT6" s="772"/>
      <c r="CU6" s="772"/>
      <c r="CV6" s="772"/>
      <c r="CW6" s="772"/>
      <c r="CX6" s="772"/>
      <c r="CY6" s="772"/>
      <c r="CZ6" s="772"/>
      <c r="DA6" s="772"/>
      <c r="DB6" s="772"/>
      <c r="DC6" s="772"/>
      <c r="DD6" s="772"/>
      <c r="DE6" s="772"/>
      <c r="DF6" s="772"/>
      <c r="DG6" s="772"/>
      <c r="DH6" s="772"/>
      <c r="DI6" s="772"/>
      <c r="DJ6" s="772"/>
      <c r="DK6" s="772"/>
      <c r="DL6" s="772"/>
      <c r="DM6" s="772"/>
      <c r="DN6" s="772"/>
      <c r="DO6" s="772"/>
      <c r="DP6" s="772"/>
      <c r="DQ6" s="772"/>
      <c r="DR6" s="772"/>
      <c r="DS6" s="772"/>
      <c r="DT6" s="772"/>
      <c r="DU6" s="772"/>
      <c r="DV6" s="772"/>
      <c r="DW6" s="772"/>
      <c r="DX6" s="772"/>
      <c r="DY6" s="772"/>
      <c r="DZ6" s="772"/>
      <c r="EA6" s="772"/>
      <c r="EB6" s="772"/>
      <c r="EC6" s="772"/>
      <c r="ED6" s="772"/>
      <c r="EE6" s="772"/>
      <c r="EF6" s="772"/>
      <c r="EG6" s="772"/>
      <c r="EH6" s="772"/>
      <c r="EI6" s="772"/>
      <c r="EJ6" s="772"/>
      <c r="EK6" s="772"/>
      <c r="EL6" s="772"/>
      <c r="EM6" s="772"/>
      <c r="EN6" s="772"/>
      <c r="EO6" s="772"/>
      <c r="EP6" s="772"/>
      <c r="EQ6" s="772"/>
      <c r="ER6" s="772"/>
      <c r="ES6" s="772"/>
      <c r="ET6" s="772"/>
      <c r="EU6" s="772"/>
      <c r="EV6" s="772"/>
      <c r="EW6" s="772"/>
      <c r="EX6" s="772"/>
      <c r="EY6" s="772"/>
      <c r="EZ6" s="772"/>
      <c r="FA6" s="772"/>
      <c r="FB6" s="772"/>
      <c r="FC6" s="772"/>
      <c r="FD6" s="772"/>
      <c r="FE6" s="772"/>
      <c r="FF6" s="772"/>
      <c r="FG6" s="772"/>
      <c r="FH6" s="772"/>
      <c r="FI6" s="772"/>
      <c r="FJ6" s="772"/>
      <c r="FK6" s="772"/>
      <c r="FL6" s="772"/>
      <c r="FM6" s="772"/>
      <c r="FN6" s="772"/>
      <c r="FO6" s="772"/>
      <c r="FP6" s="772"/>
      <c r="FQ6" s="772"/>
      <c r="FR6" s="772"/>
      <c r="FS6" s="772"/>
      <c r="FT6" s="772"/>
      <c r="FU6" s="772"/>
      <c r="FV6" s="772"/>
      <c r="FW6" s="772"/>
      <c r="FX6" s="772"/>
      <c r="FY6" s="772"/>
      <c r="FZ6" s="772"/>
      <c r="GA6" s="772"/>
      <c r="GB6" s="772"/>
      <c r="GC6" s="772"/>
      <c r="GD6" s="772"/>
      <c r="GE6" s="772"/>
      <c r="GF6" s="772"/>
      <c r="GG6" s="772"/>
      <c r="GH6" s="772"/>
      <c r="GI6" s="772"/>
      <c r="GJ6" s="772"/>
      <c r="GK6" s="772"/>
      <c r="GL6" s="772"/>
      <c r="GM6" s="772"/>
      <c r="GN6" s="772"/>
      <c r="GO6" s="772"/>
      <c r="GP6" s="772"/>
      <c r="GQ6" s="772"/>
      <c r="GR6" s="772"/>
      <c r="GS6" s="772"/>
      <c r="GT6" s="772"/>
      <c r="GU6" s="772"/>
      <c r="GV6" s="772"/>
      <c r="GW6" s="772"/>
      <c r="GX6" s="772"/>
      <c r="GY6" s="772"/>
      <c r="GZ6" s="772"/>
      <c r="HA6" s="772"/>
      <c r="HB6" s="772"/>
      <c r="HC6" s="772"/>
      <c r="HD6" s="772"/>
      <c r="HE6" s="772"/>
      <c r="HF6" s="772"/>
      <c r="HG6" s="772"/>
      <c r="HH6" s="772"/>
      <c r="HI6" s="772"/>
      <c r="HJ6" s="772"/>
      <c r="HK6" s="772"/>
      <c r="HL6" s="772"/>
      <c r="HM6" s="772"/>
      <c r="HN6" s="772"/>
      <c r="HO6" s="772"/>
      <c r="HP6" s="772"/>
      <c r="HQ6" s="772"/>
      <c r="HR6" s="772"/>
      <c r="HS6" s="772"/>
      <c r="HT6" s="772"/>
      <c r="HU6" s="772"/>
      <c r="HV6" s="772"/>
      <c r="HW6" s="772"/>
      <c r="HX6" s="772"/>
      <c r="HY6" s="772"/>
      <c r="HZ6" s="772"/>
      <c r="IA6" s="772"/>
      <c r="IB6" s="772"/>
      <c r="IC6" s="772"/>
      <c r="ID6" s="772"/>
      <c r="IE6" s="772"/>
      <c r="IF6" s="772"/>
      <c r="IG6" s="772"/>
      <c r="IH6" s="772"/>
      <c r="II6" s="772"/>
      <c r="IJ6" s="772"/>
      <c r="IK6" s="772"/>
    </row>
    <row r="7" spans="1:245" s="765" customFormat="1" ht="20.100000000000001" customHeight="1" x14ac:dyDescent="0.25">
      <c r="A7" s="772"/>
      <c r="B7" s="1646" t="s">
        <v>764</v>
      </c>
      <c r="C7" s="1647" t="s">
        <v>765</v>
      </c>
      <c r="D7" s="1648" t="s">
        <v>766</v>
      </c>
      <c r="E7" s="1649" t="s">
        <v>767</v>
      </c>
      <c r="F7" s="1648" t="s">
        <v>768</v>
      </c>
      <c r="G7" s="1650"/>
      <c r="H7" s="777"/>
      <c r="I7" s="1628" t="s">
        <v>764</v>
      </c>
      <c r="J7" s="1629" t="s">
        <v>765</v>
      </c>
      <c r="K7" s="1630" t="s">
        <v>766</v>
      </c>
      <c r="L7" s="1631" t="s">
        <v>767</v>
      </c>
      <c r="M7" s="1632" t="s">
        <v>768</v>
      </c>
      <c r="N7" s="777"/>
      <c r="O7" s="1628" t="s">
        <v>764</v>
      </c>
      <c r="P7" s="1629" t="s">
        <v>765</v>
      </c>
      <c r="Q7" s="1630" t="s">
        <v>766</v>
      </c>
      <c r="R7" s="1631" t="s">
        <v>767</v>
      </c>
      <c r="S7" s="1632" t="s">
        <v>768</v>
      </c>
      <c r="T7" s="777"/>
      <c r="U7" s="1628" t="s">
        <v>764</v>
      </c>
      <c r="V7" s="1629" t="s">
        <v>765</v>
      </c>
      <c r="W7" s="1630" t="s">
        <v>766</v>
      </c>
      <c r="X7" s="1631" t="s">
        <v>767</v>
      </c>
      <c r="Y7" s="1632" t="s">
        <v>768</v>
      </c>
      <c r="Z7" s="777"/>
      <c r="AA7" s="1628" t="s">
        <v>764</v>
      </c>
      <c r="AB7" s="1629" t="s">
        <v>765</v>
      </c>
      <c r="AC7" s="1630" t="s">
        <v>766</v>
      </c>
      <c r="AD7" s="1631" t="s">
        <v>767</v>
      </c>
      <c r="AE7" s="1632" t="s">
        <v>768</v>
      </c>
      <c r="AF7" s="777"/>
      <c r="AG7" s="1628" t="s">
        <v>764</v>
      </c>
      <c r="AH7" s="1629" t="s">
        <v>765</v>
      </c>
      <c r="AI7" s="1630" t="s">
        <v>766</v>
      </c>
      <c r="AJ7" s="1631" t="s">
        <v>767</v>
      </c>
      <c r="AK7" s="1632" t="s">
        <v>768</v>
      </c>
      <c r="AL7" s="772"/>
      <c r="AM7" s="772"/>
      <c r="AN7" s="772"/>
      <c r="AO7" s="772"/>
      <c r="AP7" s="772"/>
      <c r="AQ7" s="772"/>
      <c r="AR7" s="772"/>
      <c r="AS7" s="772"/>
      <c r="AT7" s="772"/>
      <c r="AU7" s="772"/>
      <c r="AV7" s="772"/>
      <c r="AW7" s="772"/>
      <c r="AX7" s="772"/>
      <c r="AY7" s="772"/>
      <c r="AZ7" s="772"/>
      <c r="BA7" s="772"/>
      <c r="BB7" s="772"/>
      <c r="BC7" s="772"/>
      <c r="BD7" s="772"/>
      <c r="BE7" s="772"/>
      <c r="BF7" s="772"/>
      <c r="BG7" s="772"/>
      <c r="BH7" s="772"/>
      <c r="BI7" s="772"/>
      <c r="BJ7" s="772"/>
      <c r="BK7" s="772"/>
      <c r="BL7" s="772"/>
      <c r="BM7" s="772"/>
      <c r="BN7" s="772"/>
      <c r="BO7" s="772"/>
      <c r="BP7" s="772"/>
      <c r="BQ7" s="772"/>
      <c r="BR7" s="772"/>
      <c r="BS7" s="772"/>
      <c r="BT7" s="772"/>
      <c r="BU7" s="772"/>
      <c r="BV7" s="772"/>
      <c r="BW7" s="772"/>
      <c r="BX7" s="772"/>
      <c r="BY7" s="772"/>
      <c r="BZ7" s="772"/>
      <c r="CA7" s="772"/>
      <c r="CB7" s="772"/>
      <c r="CC7" s="772"/>
      <c r="CD7" s="772"/>
      <c r="CE7" s="772"/>
      <c r="CF7" s="772"/>
      <c r="CG7" s="772"/>
      <c r="CH7" s="772"/>
      <c r="CI7" s="772"/>
      <c r="CJ7" s="772"/>
      <c r="CK7" s="772"/>
      <c r="CL7" s="772"/>
      <c r="CM7" s="772"/>
      <c r="CN7" s="772"/>
      <c r="CO7" s="772"/>
      <c r="CP7" s="772"/>
      <c r="CQ7" s="772"/>
      <c r="CR7" s="772"/>
      <c r="CS7" s="772"/>
      <c r="CT7" s="772"/>
      <c r="CU7" s="772"/>
      <c r="CV7" s="772"/>
      <c r="CW7" s="772"/>
      <c r="CX7" s="772"/>
      <c r="CY7" s="772"/>
      <c r="CZ7" s="772"/>
      <c r="DA7" s="772"/>
      <c r="DB7" s="772"/>
      <c r="DC7" s="772"/>
      <c r="DD7" s="772"/>
      <c r="DE7" s="772"/>
      <c r="DF7" s="772"/>
      <c r="DG7" s="772"/>
      <c r="DH7" s="772"/>
      <c r="DI7" s="772"/>
      <c r="DJ7" s="772"/>
      <c r="DK7" s="772"/>
      <c r="DL7" s="772"/>
      <c r="DM7" s="772"/>
      <c r="DN7" s="772"/>
      <c r="DO7" s="772"/>
      <c r="DP7" s="772"/>
      <c r="DQ7" s="772"/>
      <c r="DR7" s="772"/>
      <c r="DS7" s="772"/>
      <c r="DT7" s="772"/>
      <c r="DU7" s="772"/>
      <c r="DV7" s="772"/>
      <c r="DW7" s="772"/>
      <c r="DX7" s="772"/>
      <c r="DY7" s="772"/>
      <c r="DZ7" s="772"/>
      <c r="EA7" s="772"/>
      <c r="EB7" s="772"/>
      <c r="EC7" s="772"/>
      <c r="ED7" s="772"/>
      <c r="EE7" s="772"/>
      <c r="EF7" s="772"/>
      <c r="EG7" s="772"/>
      <c r="EH7" s="772"/>
      <c r="EI7" s="772"/>
      <c r="EJ7" s="772"/>
      <c r="EK7" s="772"/>
      <c r="EL7" s="772"/>
      <c r="EM7" s="772"/>
      <c r="EN7" s="772"/>
      <c r="EO7" s="772"/>
      <c r="EP7" s="772"/>
      <c r="EQ7" s="772"/>
      <c r="ER7" s="772"/>
      <c r="ES7" s="772"/>
      <c r="ET7" s="772"/>
      <c r="EU7" s="772"/>
      <c r="EV7" s="772"/>
      <c r="EW7" s="772"/>
      <c r="EX7" s="772"/>
      <c r="EY7" s="772"/>
      <c r="EZ7" s="772"/>
      <c r="FA7" s="772"/>
      <c r="FB7" s="772"/>
      <c r="FC7" s="772"/>
      <c r="FD7" s="772"/>
      <c r="FE7" s="772"/>
      <c r="FF7" s="772"/>
      <c r="FG7" s="772"/>
      <c r="FH7" s="772"/>
      <c r="FI7" s="772"/>
      <c r="FJ7" s="772"/>
      <c r="FK7" s="772"/>
      <c r="FL7" s="772"/>
      <c r="FM7" s="772"/>
      <c r="FN7" s="772"/>
      <c r="FO7" s="772"/>
      <c r="FP7" s="772"/>
      <c r="FQ7" s="772"/>
      <c r="FR7" s="772"/>
      <c r="FS7" s="772"/>
      <c r="FT7" s="772"/>
      <c r="FU7" s="772"/>
      <c r="FV7" s="772"/>
      <c r="FW7" s="772"/>
      <c r="FX7" s="772"/>
      <c r="FY7" s="772"/>
      <c r="FZ7" s="772"/>
      <c r="GA7" s="772"/>
      <c r="GB7" s="772"/>
      <c r="GC7" s="772"/>
      <c r="GD7" s="772"/>
      <c r="GE7" s="772"/>
      <c r="GF7" s="772"/>
      <c r="GG7" s="772"/>
      <c r="GH7" s="772"/>
      <c r="GI7" s="772"/>
      <c r="GJ7" s="772"/>
      <c r="GK7" s="772"/>
      <c r="GL7" s="772"/>
      <c r="GM7" s="772"/>
      <c r="GN7" s="772"/>
      <c r="GO7" s="772"/>
      <c r="GP7" s="772"/>
      <c r="GQ7" s="772"/>
      <c r="GR7" s="772"/>
      <c r="GS7" s="772"/>
      <c r="GT7" s="772"/>
      <c r="GU7" s="772"/>
      <c r="GV7" s="772"/>
      <c r="GW7" s="772"/>
      <c r="GX7" s="772"/>
      <c r="GY7" s="772"/>
      <c r="GZ7" s="772"/>
      <c r="HA7" s="772"/>
      <c r="HB7" s="772"/>
      <c r="HC7" s="772"/>
      <c r="HD7" s="772"/>
      <c r="HE7" s="772"/>
      <c r="HF7" s="772"/>
      <c r="HG7" s="772"/>
      <c r="HH7" s="772"/>
      <c r="HI7" s="772"/>
      <c r="HJ7" s="772"/>
      <c r="HK7" s="772"/>
      <c r="HL7" s="772"/>
      <c r="HM7" s="772"/>
      <c r="HN7" s="772"/>
      <c r="HO7" s="772"/>
      <c r="HP7" s="772"/>
      <c r="HQ7" s="772"/>
      <c r="HR7" s="772"/>
      <c r="HS7" s="772"/>
      <c r="HT7" s="772"/>
      <c r="HU7" s="772"/>
      <c r="HV7" s="772"/>
      <c r="HW7" s="772"/>
      <c r="HX7" s="772"/>
      <c r="HY7" s="772"/>
      <c r="HZ7" s="772"/>
      <c r="IA7" s="772"/>
      <c r="IB7" s="772"/>
      <c r="IC7" s="772"/>
      <c r="ID7" s="772"/>
      <c r="IE7" s="772"/>
      <c r="IF7" s="772"/>
      <c r="IG7" s="772"/>
      <c r="IH7" s="772"/>
      <c r="II7" s="772"/>
      <c r="IJ7" s="772"/>
      <c r="IK7" s="772"/>
    </row>
    <row r="8" spans="1:245" s="765" customFormat="1" ht="20.100000000000001" customHeight="1" x14ac:dyDescent="0.25">
      <c r="A8" s="772"/>
      <c r="B8" s="1624">
        <v>1</v>
      </c>
      <c r="C8" s="1651">
        <f>J8+P8+V8+AB8+AH8</f>
        <v>0</v>
      </c>
      <c r="D8" s="1626">
        <f t="shared" ref="D8:F22" si="0">K8+Q8+W8+AC8+AI8</f>
        <v>0</v>
      </c>
      <c r="E8" s="1627">
        <f t="shared" si="0"/>
        <v>0</v>
      </c>
      <c r="F8" s="1651">
        <f t="shared" si="0"/>
        <v>0</v>
      </c>
      <c r="G8" s="1652"/>
      <c r="H8" s="772"/>
      <c r="I8" s="1624">
        <v>1</v>
      </c>
      <c r="J8" s="1625">
        <f>SUM(K8:L8)</f>
        <v>0</v>
      </c>
      <c r="K8" s="1626">
        <f>IF(L6="mensuel",SUM(K25:K36),IF(L6="trimestriel",SUM(K25:K28),IF(L6="semestriel",SUM(K25:K26),IF(L6="annuel",K25,0))))</f>
        <v>0</v>
      </c>
      <c r="L8" s="1627">
        <f>IF(L6="mensuel",SUM(L25:L36),IF(L6="trimestriel",SUM(L25:L28),IF(L6="semestriel",SUM(L25:L26),IF(L6="annuel",L25,0))))</f>
        <v>0</v>
      </c>
      <c r="M8" s="1625">
        <f>J4-L8</f>
        <v>0</v>
      </c>
      <c r="N8" s="772"/>
      <c r="O8" s="1624">
        <v>1</v>
      </c>
      <c r="P8" s="1625">
        <f>SUM(Q8:R8)</f>
        <v>0</v>
      </c>
      <c r="Q8" s="1626">
        <f>IF(R6="mensuel",SUM(Q25:Q36),IF(R6="trimestriel",SUM(Q25:Q28),IF(R6="semestriel",SUM(Q25:Q26),IF(R6="annuel",Q25,0))))</f>
        <v>0</v>
      </c>
      <c r="R8" s="1627">
        <f>IF(R6="mensuel",SUM(R25:R36),IF(R6="trimestriel",SUM(R25:R28),IF(R6="semestriel",SUM(R25:R26),IF(R6="annuel",R25,0))))</f>
        <v>0</v>
      </c>
      <c r="S8" s="1625">
        <f>P4-R8</f>
        <v>0</v>
      </c>
      <c r="T8" s="772"/>
      <c r="U8" s="1624">
        <v>1</v>
      </c>
      <c r="V8" s="1625">
        <f>SUM(W8:X8)</f>
        <v>0</v>
      </c>
      <c r="W8" s="1626">
        <f>IF(X6="mensuel",SUM(W25:W36),IF(X6="trimestriel",SUM(W25:W28),IF(X6="semestriel",SUM(W25:W26),IF(X6="annuel",W25,0))))</f>
        <v>0</v>
      </c>
      <c r="X8" s="1627">
        <f>IF(X6="mensuel",SUM(X25:X36),IF(X6="trimestriel",SUM(X25:X28),IF(X6="semestriel",SUM(X25:X26),IF(X6="annuel",X25,0))))</f>
        <v>0</v>
      </c>
      <c r="Y8" s="1625">
        <f>V4-X8</f>
        <v>0</v>
      </c>
      <c r="Z8" s="772"/>
      <c r="AA8" s="1624">
        <v>1</v>
      </c>
      <c r="AB8" s="1625">
        <f>SUM(AC8:AD8)</f>
        <v>0</v>
      </c>
      <c r="AC8" s="1626">
        <f>IF(AD6="mensuel",SUM(AC25:AC36),IF(AD6="trimestriel",SUM(AC25:AC28),IF(AD6="semestriel",SUM(AC25:AC26),IF(AD6="annuel",AC25,0))))</f>
        <v>0</v>
      </c>
      <c r="AD8" s="1627">
        <f>IF(AD6="mensuel",SUM(AD25:AD36),IF(AD6="trimestriel",SUM(AD25:AD28),IF(AD6="semestriel",SUM(AD25:AD26),IF(AD6="annuel",AD25,0))))</f>
        <v>0</v>
      </c>
      <c r="AE8" s="1625">
        <f>AB4-AD8</f>
        <v>0</v>
      </c>
      <c r="AF8" s="772"/>
      <c r="AG8" s="1624">
        <v>1</v>
      </c>
      <c r="AH8" s="1625">
        <f>SUM(AI8:AJ8)</f>
        <v>0</v>
      </c>
      <c r="AI8" s="1626">
        <f>IF(AJ6="mensuel",SUM(AI25:AI36),IF(AJ6="trimestriel",SUM(AI25:AI28),IF(AJ6="semestriel",SUM(AI25:AI26),IF(AJ6="annuel",AI25,0))))</f>
        <v>0</v>
      </c>
      <c r="AJ8" s="1627">
        <f>IF(AJ6="mensuel",SUM(AJ25:AJ36),IF(AJ6="trimestriel",SUM(AJ25:AJ28),IF(AJ6="semestriel",SUM(AJ25:AJ26),IF(AJ6="annuel",AJ25,0))))</f>
        <v>0</v>
      </c>
      <c r="AK8" s="1625">
        <f>AH4-AJ8</f>
        <v>0</v>
      </c>
      <c r="AL8" s="772"/>
      <c r="AM8" s="772"/>
      <c r="AN8" s="772"/>
      <c r="AO8" s="772"/>
      <c r="AP8" s="772"/>
      <c r="AQ8" s="772"/>
      <c r="AR8" s="772"/>
      <c r="AS8" s="772"/>
      <c r="AT8" s="772"/>
      <c r="AU8" s="772"/>
      <c r="AV8" s="772"/>
      <c r="AW8" s="772"/>
      <c r="AX8" s="772"/>
      <c r="AY8" s="772"/>
      <c r="AZ8" s="772"/>
      <c r="BA8" s="772"/>
      <c r="BB8" s="772"/>
      <c r="BC8" s="772"/>
      <c r="BD8" s="772"/>
      <c r="BE8" s="772"/>
      <c r="BF8" s="772"/>
      <c r="BG8" s="772"/>
      <c r="BH8" s="772"/>
      <c r="BI8" s="772"/>
      <c r="BJ8" s="772"/>
      <c r="BK8" s="772"/>
      <c r="BL8" s="772"/>
      <c r="BM8" s="772"/>
      <c r="BN8" s="772"/>
      <c r="BO8" s="772"/>
      <c r="BP8" s="772"/>
      <c r="BQ8" s="772"/>
      <c r="BR8" s="772"/>
      <c r="BS8" s="772"/>
      <c r="BT8" s="772"/>
      <c r="BU8" s="772"/>
      <c r="BV8" s="772"/>
      <c r="BW8" s="772"/>
      <c r="BX8" s="772"/>
      <c r="BY8" s="772"/>
      <c r="BZ8" s="772"/>
      <c r="CA8" s="772"/>
      <c r="CB8" s="772"/>
      <c r="CC8" s="772"/>
      <c r="CD8" s="772"/>
      <c r="CE8" s="772"/>
      <c r="CF8" s="772"/>
      <c r="CG8" s="772"/>
      <c r="CH8" s="772"/>
      <c r="CI8" s="772"/>
      <c r="CJ8" s="772"/>
      <c r="CK8" s="772"/>
      <c r="CL8" s="772"/>
      <c r="CM8" s="772"/>
      <c r="CN8" s="772"/>
      <c r="CO8" s="772"/>
      <c r="CP8" s="772"/>
      <c r="CQ8" s="772"/>
      <c r="CR8" s="772"/>
      <c r="CS8" s="772"/>
      <c r="CT8" s="772"/>
      <c r="CU8" s="772"/>
      <c r="CV8" s="772"/>
      <c r="CW8" s="772"/>
      <c r="CX8" s="772"/>
      <c r="CY8" s="772"/>
      <c r="CZ8" s="772"/>
      <c r="DA8" s="772"/>
      <c r="DB8" s="772"/>
      <c r="DC8" s="772"/>
      <c r="DD8" s="772"/>
      <c r="DE8" s="772"/>
      <c r="DF8" s="772"/>
      <c r="DG8" s="772"/>
      <c r="DH8" s="772"/>
      <c r="DI8" s="772"/>
      <c r="DJ8" s="772"/>
      <c r="DK8" s="772"/>
      <c r="DL8" s="772"/>
      <c r="DM8" s="772"/>
      <c r="DN8" s="772"/>
      <c r="DO8" s="772"/>
      <c r="DP8" s="772"/>
      <c r="DQ8" s="772"/>
      <c r="DR8" s="772"/>
      <c r="DS8" s="772"/>
      <c r="DT8" s="772"/>
      <c r="DU8" s="772"/>
      <c r="DV8" s="772"/>
      <c r="DW8" s="772"/>
      <c r="DX8" s="772"/>
      <c r="DY8" s="772"/>
      <c r="DZ8" s="772"/>
      <c r="EA8" s="772"/>
      <c r="EB8" s="772"/>
      <c r="EC8" s="772"/>
      <c r="ED8" s="772"/>
      <c r="EE8" s="772"/>
      <c r="EF8" s="772"/>
      <c r="EG8" s="772"/>
      <c r="EH8" s="772"/>
      <c r="EI8" s="772"/>
      <c r="EJ8" s="772"/>
      <c r="EK8" s="772"/>
      <c r="EL8" s="772"/>
      <c r="EM8" s="772"/>
      <c r="EN8" s="772"/>
      <c r="EO8" s="772"/>
      <c r="EP8" s="772"/>
      <c r="EQ8" s="772"/>
      <c r="ER8" s="772"/>
      <c r="ES8" s="772"/>
      <c r="ET8" s="772"/>
      <c r="EU8" s="772"/>
      <c r="EV8" s="772"/>
      <c r="EW8" s="772"/>
      <c r="EX8" s="772"/>
      <c r="EY8" s="772"/>
      <c r="EZ8" s="772"/>
      <c r="FA8" s="772"/>
      <c r="FB8" s="772"/>
      <c r="FC8" s="772"/>
      <c r="FD8" s="772"/>
      <c r="FE8" s="772"/>
      <c r="FF8" s="772"/>
      <c r="FG8" s="772"/>
      <c r="FH8" s="772"/>
      <c r="FI8" s="772"/>
      <c r="FJ8" s="772"/>
      <c r="FK8" s="772"/>
      <c r="FL8" s="772"/>
      <c r="FM8" s="772"/>
      <c r="FN8" s="772"/>
      <c r="FO8" s="772"/>
      <c r="FP8" s="772"/>
      <c r="FQ8" s="772"/>
      <c r="FR8" s="772"/>
      <c r="FS8" s="772"/>
      <c r="FT8" s="772"/>
      <c r="FU8" s="772"/>
      <c r="FV8" s="772"/>
      <c r="FW8" s="772"/>
      <c r="FX8" s="772"/>
      <c r="FY8" s="772"/>
      <c r="FZ8" s="772"/>
      <c r="GA8" s="772"/>
      <c r="GB8" s="772"/>
      <c r="GC8" s="772"/>
      <c r="GD8" s="772"/>
      <c r="GE8" s="772"/>
      <c r="GF8" s="772"/>
      <c r="GG8" s="772"/>
      <c r="GH8" s="772"/>
      <c r="GI8" s="772"/>
      <c r="GJ8" s="772"/>
      <c r="GK8" s="772"/>
      <c r="GL8" s="772"/>
      <c r="GM8" s="772"/>
      <c r="GN8" s="772"/>
      <c r="GO8" s="772"/>
      <c r="GP8" s="772"/>
      <c r="GQ8" s="772"/>
      <c r="GR8" s="772"/>
      <c r="GS8" s="772"/>
      <c r="GT8" s="772"/>
      <c r="GU8" s="772"/>
      <c r="GV8" s="772"/>
      <c r="GW8" s="772"/>
      <c r="GX8" s="772"/>
      <c r="GY8" s="772"/>
      <c r="GZ8" s="772"/>
      <c r="HA8" s="772"/>
      <c r="HB8" s="772"/>
      <c r="HC8" s="772"/>
      <c r="HD8" s="772"/>
      <c r="HE8" s="772"/>
      <c r="HF8" s="772"/>
      <c r="HG8" s="772"/>
      <c r="HH8" s="772"/>
      <c r="HI8" s="772"/>
      <c r="HJ8" s="772"/>
      <c r="HK8" s="772"/>
      <c r="HL8" s="772"/>
      <c r="HM8" s="772"/>
      <c r="HN8" s="772"/>
      <c r="HO8" s="772"/>
      <c r="HP8" s="772"/>
      <c r="HQ8" s="772"/>
      <c r="HR8" s="772"/>
      <c r="HS8" s="772"/>
      <c r="HT8" s="772"/>
      <c r="HU8" s="772"/>
      <c r="HV8" s="772"/>
      <c r="HW8" s="772"/>
      <c r="HX8" s="772"/>
      <c r="HY8" s="772"/>
      <c r="HZ8" s="772"/>
      <c r="IA8" s="772"/>
      <c r="IB8" s="772"/>
      <c r="IC8" s="772"/>
      <c r="ID8" s="772"/>
      <c r="IE8" s="772"/>
      <c r="IF8" s="772"/>
      <c r="IG8" s="772"/>
      <c r="IH8" s="772"/>
      <c r="II8" s="772"/>
      <c r="IJ8" s="772"/>
      <c r="IK8" s="772"/>
    </row>
    <row r="9" spans="1:245" s="765" customFormat="1" ht="20.100000000000001" customHeight="1" x14ac:dyDescent="0.25">
      <c r="A9" s="772"/>
      <c r="B9" s="1616">
        <v>2</v>
      </c>
      <c r="C9" s="1621">
        <f t="shared" ref="C9:C22" si="1">J9+P9+V9+AB9+AH9</f>
        <v>0</v>
      </c>
      <c r="D9" s="767">
        <f t="shared" si="0"/>
        <v>0</v>
      </c>
      <c r="E9" s="766">
        <f t="shared" si="0"/>
        <v>0</v>
      </c>
      <c r="F9" s="1621">
        <f t="shared" si="0"/>
        <v>0</v>
      </c>
      <c r="G9" s="1652"/>
      <c r="H9" s="772"/>
      <c r="I9" s="1616">
        <v>2</v>
      </c>
      <c r="J9" s="1621">
        <f t="shared" ref="J9:J22" si="2">SUM(K9:L9)</f>
        <v>0</v>
      </c>
      <c r="K9" s="767">
        <f>IF(L6="mensuel",SUM(K37:K48),IF(L6="trimestriel",SUM(K29:K32),IF(L6="semestriel",SUM(K27:K28),IF(L6="annuel",K26,0))))</f>
        <v>0</v>
      </c>
      <c r="L9" s="766">
        <f>IF(L6="mensuel",SUM(L37:L48),IF(L6="trimestriel",SUM(L29:L32),IF(L6="semestriel",SUM(L27:L28),IF(L6="annuel",L26,0))))</f>
        <v>0</v>
      </c>
      <c r="M9" s="1621">
        <f>M8-L9</f>
        <v>0</v>
      </c>
      <c r="N9" s="772"/>
      <c r="O9" s="1616">
        <v>2</v>
      </c>
      <c r="P9" s="1621">
        <f t="shared" ref="P9:P13" si="3">SUM(Q9:R9)</f>
        <v>0</v>
      </c>
      <c r="Q9" s="767">
        <f>IF(R6="mensuel",SUM(Q37:Q48),IF(R6="trimestriel",SUM(Q29:Q32),IF(R6="semestriel",SUM(Q27:Q28),IF(R6="annuel",Q26,0))))</f>
        <v>0</v>
      </c>
      <c r="R9" s="766">
        <f>IF(R6="mensuel",SUM(R37:R48),IF(R6="trimestriel",SUM(R29:R32),IF(R6="semestriel",SUM(R27:R28),IF(R6="annuel",R26,0))))</f>
        <v>0</v>
      </c>
      <c r="S9" s="1621">
        <f>S8-R9</f>
        <v>0</v>
      </c>
      <c r="T9" s="772"/>
      <c r="U9" s="1616">
        <v>2</v>
      </c>
      <c r="V9" s="1621">
        <f t="shared" ref="V9:V13" si="4">SUM(W9:X9)</f>
        <v>0</v>
      </c>
      <c r="W9" s="767">
        <f>IF(X6="mensuel",SUM(W37:W48),IF(X6="trimestriel",SUM(W29:W32),IF(X6="semestriel",SUM(W27:W28),IF(X6="annuel",W26,0))))</f>
        <v>0</v>
      </c>
      <c r="X9" s="766">
        <f>IF(X6="mensuel",SUM(X37:X48),IF(X6="trimestriel",SUM(X29:X32),IF(X6="semestriel",SUM(X27:X28),IF(X6="annuel",X26,0))))</f>
        <v>0</v>
      </c>
      <c r="Y9" s="1621">
        <f>Y8-X9</f>
        <v>0</v>
      </c>
      <c r="Z9" s="772"/>
      <c r="AA9" s="1616">
        <v>2</v>
      </c>
      <c r="AB9" s="1621">
        <f t="shared" ref="AB9:AB13" si="5">SUM(AC9:AD9)</f>
        <v>0</v>
      </c>
      <c r="AC9" s="767">
        <f>IF(AD6="mensuel",SUM(AC37:AC48),IF(AD6="trimestriel",SUM(AC29:AC32),IF(AD6="semestriel",SUM(AC27:AC28),IF(AD6="annuel",AC26,0))))</f>
        <v>0</v>
      </c>
      <c r="AD9" s="766">
        <f>IF(AD6="mensuel",SUM(AD37:AD48),IF(AD6="trimestriel",SUM(AD29:AD32),IF(AD6="semestriel",SUM(AD27:AD28),IF(AD6="annuel",AD26,0))))</f>
        <v>0</v>
      </c>
      <c r="AE9" s="1621">
        <f>AE8-AD9</f>
        <v>0</v>
      </c>
      <c r="AF9" s="772"/>
      <c r="AG9" s="1616">
        <v>2</v>
      </c>
      <c r="AH9" s="1621">
        <f t="shared" ref="AH9:AH13" si="6">SUM(AI9:AJ9)</f>
        <v>0</v>
      </c>
      <c r="AI9" s="767">
        <f>IF(AJ6="mensuel",SUM(AI37:AI48),IF(AJ6="trimestriel",SUM(AI29:AI32),IF(AJ6="semestriel",SUM(AI27:AI28),IF(AJ6="annuel",AI26,0))))</f>
        <v>0</v>
      </c>
      <c r="AJ9" s="766">
        <f>IF(AJ6="mensuel",SUM(AJ37:AJ48),IF(AJ6="trimestriel",SUM(AJ29:AJ32),IF(AJ6="semestriel",SUM(AJ27:AJ28),IF(AJ6="annuel",AJ26,0))))</f>
        <v>0</v>
      </c>
      <c r="AK9" s="1621">
        <f>AK8-AJ9</f>
        <v>0</v>
      </c>
      <c r="AL9" s="772"/>
      <c r="AM9" s="772"/>
      <c r="AN9" s="772"/>
      <c r="AO9" s="772"/>
      <c r="AP9" s="772"/>
      <c r="AQ9" s="772"/>
      <c r="AR9" s="772"/>
      <c r="AS9" s="772"/>
      <c r="AT9" s="772"/>
      <c r="AU9" s="772"/>
      <c r="AV9" s="772"/>
      <c r="AW9" s="772"/>
      <c r="AX9" s="772"/>
      <c r="AY9" s="772"/>
      <c r="AZ9" s="772"/>
      <c r="BA9" s="772"/>
      <c r="BB9" s="772"/>
      <c r="BC9" s="772"/>
      <c r="BD9" s="772"/>
      <c r="BE9" s="772"/>
      <c r="BF9" s="772"/>
      <c r="BG9" s="772"/>
      <c r="BH9" s="772"/>
      <c r="BI9" s="772"/>
      <c r="BJ9" s="772"/>
      <c r="BK9" s="772"/>
      <c r="BL9" s="772"/>
      <c r="BM9" s="772"/>
      <c r="BN9" s="772"/>
      <c r="BO9" s="772"/>
      <c r="BP9" s="772"/>
      <c r="BQ9" s="772"/>
      <c r="BR9" s="772"/>
      <c r="BS9" s="772"/>
      <c r="BT9" s="772"/>
      <c r="BU9" s="772"/>
      <c r="BV9" s="772"/>
      <c r="BW9" s="772"/>
      <c r="BX9" s="772"/>
      <c r="BY9" s="772"/>
      <c r="BZ9" s="772"/>
      <c r="CA9" s="772"/>
      <c r="CB9" s="772"/>
      <c r="CC9" s="772"/>
      <c r="CD9" s="772"/>
      <c r="CE9" s="772"/>
      <c r="CF9" s="772"/>
      <c r="CG9" s="772"/>
      <c r="CH9" s="772"/>
      <c r="CI9" s="772"/>
      <c r="CJ9" s="772"/>
      <c r="CK9" s="772"/>
      <c r="CL9" s="772"/>
      <c r="CM9" s="772"/>
      <c r="CN9" s="772"/>
      <c r="CO9" s="772"/>
      <c r="CP9" s="772"/>
      <c r="CQ9" s="772"/>
      <c r="CR9" s="772"/>
      <c r="CS9" s="772"/>
      <c r="CT9" s="772"/>
      <c r="CU9" s="772"/>
      <c r="CV9" s="772"/>
      <c r="CW9" s="772"/>
      <c r="CX9" s="772"/>
      <c r="CY9" s="772"/>
      <c r="CZ9" s="772"/>
      <c r="DA9" s="772"/>
      <c r="DB9" s="772"/>
      <c r="DC9" s="772"/>
      <c r="DD9" s="772"/>
      <c r="DE9" s="772"/>
      <c r="DF9" s="772"/>
      <c r="DG9" s="772"/>
      <c r="DH9" s="772"/>
      <c r="DI9" s="772"/>
      <c r="DJ9" s="772"/>
      <c r="DK9" s="772"/>
      <c r="DL9" s="772"/>
      <c r="DM9" s="772"/>
      <c r="DN9" s="772"/>
      <c r="DO9" s="772"/>
      <c r="DP9" s="772"/>
      <c r="DQ9" s="772"/>
      <c r="DR9" s="772"/>
      <c r="DS9" s="772"/>
      <c r="DT9" s="772"/>
      <c r="DU9" s="772"/>
      <c r="DV9" s="772"/>
      <c r="DW9" s="772"/>
      <c r="DX9" s="772"/>
      <c r="DY9" s="772"/>
      <c r="DZ9" s="772"/>
      <c r="EA9" s="772"/>
      <c r="EB9" s="772"/>
      <c r="EC9" s="772"/>
      <c r="ED9" s="772"/>
      <c r="EE9" s="772"/>
      <c r="EF9" s="772"/>
      <c r="EG9" s="772"/>
      <c r="EH9" s="772"/>
      <c r="EI9" s="772"/>
      <c r="EJ9" s="772"/>
      <c r="EK9" s="772"/>
      <c r="EL9" s="772"/>
      <c r="EM9" s="772"/>
      <c r="EN9" s="772"/>
      <c r="EO9" s="772"/>
      <c r="EP9" s="772"/>
      <c r="EQ9" s="772"/>
      <c r="ER9" s="772"/>
      <c r="ES9" s="772"/>
      <c r="ET9" s="772"/>
      <c r="EU9" s="772"/>
      <c r="EV9" s="772"/>
      <c r="EW9" s="772"/>
      <c r="EX9" s="772"/>
      <c r="EY9" s="772"/>
      <c r="EZ9" s="772"/>
      <c r="FA9" s="772"/>
      <c r="FB9" s="772"/>
      <c r="FC9" s="772"/>
      <c r="FD9" s="772"/>
      <c r="FE9" s="772"/>
      <c r="FF9" s="772"/>
      <c r="FG9" s="772"/>
      <c r="FH9" s="772"/>
      <c r="FI9" s="772"/>
      <c r="FJ9" s="772"/>
      <c r="FK9" s="772"/>
      <c r="FL9" s="772"/>
      <c r="FM9" s="772"/>
      <c r="FN9" s="772"/>
      <c r="FO9" s="772"/>
      <c r="FP9" s="772"/>
      <c r="FQ9" s="772"/>
      <c r="FR9" s="772"/>
      <c r="FS9" s="772"/>
      <c r="FT9" s="772"/>
      <c r="FU9" s="772"/>
      <c r="FV9" s="772"/>
      <c r="FW9" s="772"/>
      <c r="FX9" s="772"/>
      <c r="FY9" s="772"/>
      <c r="FZ9" s="772"/>
      <c r="GA9" s="772"/>
      <c r="GB9" s="772"/>
      <c r="GC9" s="772"/>
      <c r="GD9" s="772"/>
      <c r="GE9" s="772"/>
      <c r="GF9" s="772"/>
      <c r="GG9" s="772"/>
      <c r="GH9" s="772"/>
      <c r="GI9" s="772"/>
      <c r="GJ9" s="772"/>
      <c r="GK9" s="772"/>
      <c r="GL9" s="772"/>
      <c r="GM9" s="772"/>
      <c r="GN9" s="772"/>
      <c r="GO9" s="772"/>
      <c r="GP9" s="772"/>
      <c r="GQ9" s="772"/>
      <c r="GR9" s="772"/>
      <c r="GS9" s="772"/>
      <c r="GT9" s="772"/>
      <c r="GU9" s="772"/>
      <c r="GV9" s="772"/>
      <c r="GW9" s="772"/>
      <c r="GX9" s="772"/>
      <c r="GY9" s="772"/>
      <c r="GZ9" s="772"/>
      <c r="HA9" s="772"/>
      <c r="HB9" s="772"/>
      <c r="HC9" s="772"/>
      <c r="HD9" s="772"/>
      <c r="HE9" s="772"/>
      <c r="HF9" s="772"/>
      <c r="HG9" s="772"/>
      <c r="HH9" s="772"/>
      <c r="HI9" s="772"/>
      <c r="HJ9" s="772"/>
      <c r="HK9" s="772"/>
      <c r="HL9" s="772"/>
      <c r="HM9" s="772"/>
      <c r="HN9" s="772"/>
      <c r="HO9" s="772"/>
      <c r="HP9" s="772"/>
      <c r="HQ9" s="772"/>
      <c r="HR9" s="772"/>
      <c r="HS9" s="772"/>
      <c r="HT9" s="772"/>
      <c r="HU9" s="772"/>
      <c r="HV9" s="772"/>
      <c r="HW9" s="772"/>
      <c r="HX9" s="772"/>
      <c r="HY9" s="772"/>
      <c r="HZ9" s="772"/>
      <c r="IA9" s="772"/>
      <c r="IB9" s="772"/>
      <c r="IC9" s="772"/>
      <c r="ID9" s="772"/>
      <c r="IE9" s="772"/>
      <c r="IF9" s="772"/>
      <c r="IG9" s="772"/>
      <c r="IH9" s="772"/>
      <c r="II9" s="772"/>
      <c r="IJ9" s="772"/>
      <c r="IK9" s="772"/>
    </row>
    <row r="10" spans="1:245" s="765" customFormat="1" ht="20.100000000000001" customHeight="1" x14ac:dyDescent="0.25">
      <c r="A10" s="772"/>
      <c r="B10" s="1616">
        <v>3</v>
      </c>
      <c r="C10" s="1621">
        <f t="shared" si="1"/>
        <v>0</v>
      </c>
      <c r="D10" s="767">
        <f t="shared" si="0"/>
        <v>0</v>
      </c>
      <c r="E10" s="766">
        <f t="shared" si="0"/>
        <v>0</v>
      </c>
      <c r="F10" s="1621">
        <f t="shared" si="0"/>
        <v>0</v>
      </c>
      <c r="G10" s="1652"/>
      <c r="H10" s="772"/>
      <c r="I10" s="1616">
        <v>3</v>
      </c>
      <c r="J10" s="1621">
        <f t="shared" si="2"/>
        <v>0</v>
      </c>
      <c r="K10" s="767">
        <f>IF(L6="mensuel",SUM(K49:K60),IF(L6="trimestriel",SUM(K33:K36),IF(L6="semestriel",SUM(K29:K30),IF(L6="annuel",K27,0))))</f>
        <v>0</v>
      </c>
      <c r="L10" s="766">
        <f>IF(L6="mensuel",SUM(L49:L60),IF(L6="trimestriel",SUM(L33:L36),IF(L6="semestriel",SUM(L29:L30),IF(L6="annuel",L27,0))))</f>
        <v>0</v>
      </c>
      <c r="M10" s="1621">
        <f t="shared" ref="M10:M22" si="7">M9-L10</f>
        <v>0</v>
      </c>
      <c r="N10" s="772"/>
      <c r="O10" s="1616">
        <v>3</v>
      </c>
      <c r="P10" s="1621">
        <f t="shared" si="3"/>
        <v>0</v>
      </c>
      <c r="Q10" s="767">
        <f>IF(R6="mensuel",SUM(Q49:Q60),IF(R6="trimestriel",SUM(Q33:Q36),IF(R6="semestriel",SUM(Q29:Q30),IF(R6="annuel",Q27,0))))</f>
        <v>0</v>
      </c>
      <c r="R10" s="766">
        <f>IF(R6="mensuel",SUM(R49:R60),IF(R6="trimestriel",SUM(R33:R36),IF(R6="semestriel",SUM(R29:R30),IF(R6="annuel",R27,0))))</f>
        <v>0</v>
      </c>
      <c r="S10" s="1621">
        <f t="shared" ref="S10:S22" si="8">S9-R10</f>
        <v>0</v>
      </c>
      <c r="T10" s="772"/>
      <c r="U10" s="1616">
        <v>3</v>
      </c>
      <c r="V10" s="1621">
        <f t="shared" si="4"/>
        <v>0</v>
      </c>
      <c r="W10" s="767">
        <f>IF(X6="mensuel",SUM(W49:W60),IF(X6="trimestriel",SUM(W33:W36),IF(X6="semestriel",SUM(W29:W30),IF(X6="annuel",W27,0))))</f>
        <v>0</v>
      </c>
      <c r="X10" s="766">
        <f>IF(X6="mensuel",SUM(X49:X60),IF(X6="trimestriel",SUM(X33:X36),IF(X6="semestriel",SUM(X29:X30),IF(X6="annuel",X27,0))))</f>
        <v>0</v>
      </c>
      <c r="Y10" s="1621">
        <f t="shared" ref="Y10:Y22" si="9">Y9-X10</f>
        <v>0</v>
      </c>
      <c r="Z10" s="772"/>
      <c r="AA10" s="1616">
        <v>3</v>
      </c>
      <c r="AB10" s="1621">
        <f t="shared" si="5"/>
        <v>0</v>
      </c>
      <c r="AC10" s="767">
        <f>IF(AD6="mensuel",SUM(AC49:AC60),IF(AD6="trimestriel",SUM(AC33:AC36),IF(AD6="semestriel",SUM(AC29:AC30),IF(AD6="annuel",AC27,0))))</f>
        <v>0</v>
      </c>
      <c r="AD10" s="766">
        <f>IF(AD6="mensuel",SUM(AD49:AD60),IF(AD6="trimestriel",SUM(AD33:AD36),IF(AD6="semestriel",SUM(AD29:AD30),IF(AD6="annuel",AD27,0))))</f>
        <v>0</v>
      </c>
      <c r="AE10" s="1621">
        <f t="shared" ref="AE10:AE22" si="10">AE9-AD10</f>
        <v>0</v>
      </c>
      <c r="AF10" s="772"/>
      <c r="AG10" s="1616">
        <v>3</v>
      </c>
      <c r="AH10" s="1621">
        <f t="shared" si="6"/>
        <v>0</v>
      </c>
      <c r="AI10" s="767">
        <f>IF(AJ6="mensuel",SUM(AI49:AI60),IF(AJ6="trimestriel",SUM(AI33:AI36),IF(AJ6="semestriel",SUM(AI29:AI30),IF(AJ6="annuel",AI27,0))))</f>
        <v>0</v>
      </c>
      <c r="AJ10" s="766">
        <f>IF(AJ6="mensuel",SUM(AJ49:AJ60),IF(AJ6="trimestriel",SUM(AJ33:AJ36),IF(AJ6="semestriel",SUM(AJ29:AJ30),IF(AJ6="annuel",AJ27,0))))</f>
        <v>0</v>
      </c>
      <c r="AK10" s="1621">
        <f t="shared" ref="AK10:AK22" si="11">AK9-AJ10</f>
        <v>0</v>
      </c>
      <c r="AL10" s="772"/>
      <c r="AM10" s="772"/>
      <c r="AN10" s="772"/>
      <c r="AO10" s="772"/>
      <c r="AP10" s="772"/>
      <c r="AQ10" s="772"/>
      <c r="AR10" s="772"/>
      <c r="AS10" s="772"/>
      <c r="AT10" s="772"/>
      <c r="AU10" s="772"/>
      <c r="AV10" s="772"/>
      <c r="AW10" s="772"/>
      <c r="AX10" s="772"/>
      <c r="AY10" s="772"/>
      <c r="AZ10" s="772"/>
      <c r="BA10" s="772"/>
      <c r="BB10" s="772"/>
      <c r="BC10" s="772"/>
      <c r="BD10" s="772"/>
      <c r="BE10" s="772"/>
      <c r="BF10" s="772"/>
      <c r="BG10" s="772"/>
      <c r="BH10" s="772"/>
      <c r="BI10" s="772"/>
      <c r="BJ10" s="772"/>
      <c r="BK10" s="772"/>
      <c r="BL10" s="772"/>
      <c r="BM10" s="772"/>
      <c r="BN10" s="772"/>
      <c r="BO10" s="772"/>
      <c r="BP10" s="772"/>
      <c r="BQ10" s="772"/>
      <c r="BR10" s="772"/>
      <c r="BS10" s="772"/>
      <c r="BT10" s="772"/>
      <c r="BU10" s="772"/>
      <c r="BV10" s="772"/>
      <c r="BW10" s="772"/>
      <c r="BX10" s="772"/>
      <c r="BY10" s="772"/>
      <c r="BZ10" s="772"/>
      <c r="CA10" s="772"/>
      <c r="CB10" s="772"/>
      <c r="CC10" s="772"/>
      <c r="CD10" s="772"/>
      <c r="CE10" s="772"/>
      <c r="CF10" s="772"/>
      <c r="CG10" s="772"/>
      <c r="CH10" s="772"/>
      <c r="CI10" s="772"/>
      <c r="CJ10" s="772"/>
      <c r="CK10" s="772"/>
      <c r="CL10" s="772"/>
      <c r="CM10" s="772"/>
      <c r="CN10" s="772"/>
      <c r="CO10" s="772"/>
      <c r="CP10" s="772"/>
      <c r="CQ10" s="772"/>
      <c r="CR10" s="772"/>
      <c r="CS10" s="772"/>
      <c r="CT10" s="772"/>
      <c r="CU10" s="772"/>
      <c r="CV10" s="772"/>
      <c r="CW10" s="772"/>
      <c r="CX10" s="772"/>
      <c r="CY10" s="772"/>
      <c r="CZ10" s="772"/>
      <c r="DA10" s="772"/>
      <c r="DB10" s="772"/>
      <c r="DC10" s="772"/>
      <c r="DD10" s="772"/>
      <c r="DE10" s="772"/>
      <c r="DF10" s="772"/>
      <c r="DG10" s="772"/>
      <c r="DH10" s="772"/>
      <c r="DI10" s="772"/>
      <c r="DJ10" s="772"/>
      <c r="DK10" s="772"/>
      <c r="DL10" s="772"/>
      <c r="DM10" s="772"/>
      <c r="DN10" s="772"/>
      <c r="DO10" s="772"/>
      <c r="DP10" s="772"/>
      <c r="DQ10" s="772"/>
      <c r="DR10" s="772"/>
      <c r="DS10" s="772"/>
      <c r="DT10" s="772"/>
      <c r="DU10" s="772"/>
      <c r="DV10" s="772"/>
      <c r="DW10" s="772"/>
      <c r="DX10" s="772"/>
      <c r="DY10" s="772"/>
      <c r="DZ10" s="772"/>
      <c r="EA10" s="772"/>
      <c r="EB10" s="772"/>
      <c r="EC10" s="772"/>
      <c r="ED10" s="772"/>
      <c r="EE10" s="772"/>
      <c r="EF10" s="772"/>
      <c r="EG10" s="772"/>
      <c r="EH10" s="772"/>
      <c r="EI10" s="772"/>
      <c r="EJ10" s="772"/>
      <c r="EK10" s="772"/>
      <c r="EL10" s="772"/>
      <c r="EM10" s="772"/>
      <c r="EN10" s="772"/>
      <c r="EO10" s="772"/>
      <c r="EP10" s="772"/>
      <c r="EQ10" s="772"/>
      <c r="ER10" s="772"/>
      <c r="ES10" s="772"/>
      <c r="ET10" s="772"/>
      <c r="EU10" s="772"/>
      <c r="EV10" s="772"/>
      <c r="EW10" s="772"/>
      <c r="EX10" s="772"/>
      <c r="EY10" s="772"/>
      <c r="EZ10" s="772"/>
      <c r="FA10" s="772"/>
      <c r="FB10" s="772"/>
      <c r="FC10" s="772"/>
      <c r="FD10" s="772"/>
      <c r="FE10" s="772"/>
      <c r="FF10" s="772"/>
      <c r="FG10" s="772"/>
      <c r="FH10" s="772"/>
      <c r="FI10" s="772"/>
      <c r="FJ10" s="772"/>
      <c r="FK10" s="772"/>
      <c r="FL10" s="772"/>
      <c r="FM10" s="772"/>
      <c r="FN10" s="772"/>
      <c r="FO10" s="772"/>
      <c r="FP10" s="772"/>
      <c r="FQ10" s="772"/>
      <c r="FR10" s="772"/>
      <c r="FS10" s="772"/>
      <c r="FT10" s="772"/>
      <c r="FU10" s="772"/>
      <c r="FV10" s="772"/>
      <c r="FW10" s="772"/>
      <c r="FX10" s="772"/>
      <c r="FY10" s="772"/>
      <c r="FZ10" s="772"/>
      <c r="GA10" s="772"/>
      <c r="GB10" s="772"/>
      <c r="GC10" s="772"/>
      <c r="GD10" s="772"/>
      <c r="GE10" s="772"/>
      <c r="GF10" s="772"/>
      <c r="GG10" s="772"/>
      <c r="GH10" s="772"/>
      <c r="GI10" s="772"/>
      <c r="GJ10" s="772"/>
      <c r="GK10" s="772"/>
      <c r="GL10" s="772"/>
      <c r="GM10" s="772"/>
      <c r="GN10" s="772"/>
      <c r="GO10" s="772"/>
      <c r="GP10" s="772"/>
      <c r="GQ10" s="772"/>
      <c r="GR10" s="772"/>
      <c r="GS10" s="772"/>
      <c r="GT10" s="772"/>
      <c r="GU10" s="772"/>
      <c r="GV10" s="772"/>
      <c r="GW10" s="772"/>
      <c r="GX10" s="772"/>
      <c r="GY10" s="772"/>
      <c r="GZ10" s="772"/>
      <c r="HA10" s="772"/>
      <c r="HB10" s="772"/>
      <c r="HC10" s="772"/>
      <c r="HD10" s="772"/>
      <c r="HE10" s="772"/>
      <c r="HF10" s="772"/>
      <c r="HG10" s="772"/>
      <c r="HH10" s="772"/>
      <c r="HI10" s="772"/>
      <c r="HJ10" s="772"/>
      <c r="HK10" s="772"/>
      <c r="HL10" s="772"/>
      <c r="HM10" s="772"/>
      <c r="HN10" s="772"/>
      <c r="HO10" s="772"/>
      <c r="HP10" s="772"/>
      <c r="HQ10" s="772"/>
      <c r="HR10" s="772"/>
      <c r="HS10" s="772"/>
      <c r="HT10" s="772"/>
      <c r="HU10" s="772"/>
      <c r="HV10" s="772"/>
      <c r="HW10" s="772"/>
      <c r="HX10" s="772"/>
      <c r="HY10" s="772"/>
      <c r="HZ10" s="772"/>
      <c r="IA10" s="772"/>
      <c r="IB10" s="772"/>
      <c r="IC10" s="772"/>
      <c r="ID10" s="772"/>
      <c r="IE10" s="772"/>
      <c r="IF10" s="772"/>
      <c r="IG10" s="772"/>
      <c r="IH10" s="772"/>
      <c r="II10" s="772"/>
      <c r="IJ10" s="772"/>
      <c r="IK10" s="772"/>
    </row>
    <row r="11" spans="1:245" s="765" customFormat="1" ht="20.100000000000001" customHeight="1" x14ac:dyDescent="0.25">
      <c r="A11" s="772"/>
      <c r="B11" s="1616">
        <v>4</v>
      </c>
      <c r="C11" s="1621">
        <f t="shared" si="1"/>
        <v>0</v>
      </c>
      <c r="D11" s="767">
        <f t="shared" si="0"/>
        <v>0</v>
      </c>
      <c r="E11" s="766">
        <f t="shared" si="0"/>
        <v>0</v>
      </c>
      <c r="F11" s="1621">
        <f t="shared" si="0"/>
        <v>0</v>
      </c>
      <c r="G11" s="1652"/>
      <c r="H11" s="772"/>
      <c r="I11" s="1616">
        <v>4</v>
      </c>
      <c r="J11" s="1621">
        <f t="shared" si="2"/>
        <v>0</v>
      </c>
      <c r="K11" s="767">
        <f>IF(L6="mensuel",SUM(K61:K72),IF(L6="trimestriel",SUM(K37:K40),IF(L6="semestriel",SUM(K31:K32),IF(L6="annuel",K28,0))))</f>
        <v>0</v>
      </c>
      <c r="L11" s="766">
        <f>IF(L6="mensuel",SUM(L61:L72),IF(L6="trimestriel",SUM(L37:L40),IF(L6="semestriel",SUM(L31:L32),IF(L6="annuel",L28,0))))</f>
        <v>0</v>
      </c>
      <c r="M11" s="1621">
        <f t="shared" si="7"/>
        <v>0</v>
      </c>
      <c r="N11" s="772"/>
      <c r="O11" s="1616">
        <v>4</v>
      </c>
      <c r="P11" s="1621">
        <f t="shared" si="3"/>
        <v>0</v>
      </c>
      <c r="Q11" s="767">
        <f>IF(R6="mensuel",SUM(Q61:Q72),IF(R6="trimestriel",SUM(Q37:Q40),IF(R6="semestriel",SUM(Q31:Q32),IF(R6="annuel",Q28,0))))</f>
        <v>0</v>
      </c>
      <c r="R11" s="766">
        <f>IF(R6="mensuel",SUM(R61:R72),IF(R6="trimestriel",SUM(R37:R40),IF(R6="semestriel",SUM(R31:R32),IF(R6="annuel",R28,0))))</f>
        <v>0</v>
      </c>
      <c r="S11" s="1621">
        <f t="shared" si="8"/>
        <v>0</v>
      </c>
      <c r="T11" s="772"/>
      <c r="U11" s="1616">
        <v>4</v>
      </c>
      <c r="V11" s="1621">
        <f t="shared" si="4"/>
        <v>0</v>
      </c>
      <c r="W11" s="767">
        <f>IF(X6="mensuel",SUM(W61:W72),IF(X6="trimestriel",SUM(W37:W40),IF(X6="semestriel",SUM(W31:W32),IF(X6="annuel",W28,0))))</f>
        <v>0</v>
      </c>
      <c r="X11" s="766">
        <f>IF(X6="mensuel",SUM(X61:X72),IF(X6="trimestriel",SUM(X37:X40),IF(X6="semestriel",SUM(X31:X32),IF(X6="annuel",X28,0))))</f>
        <v>0</v>
      </c>
      <c r="Y11" s="1621">
        <f t="shared" si="9"/>
        <v>0</v>
      </c>
      <c r="Z11" s="772"/>
      <c r="AA11" s="1616">
        <v>4</v>
      </c>
      <c r="AB11" s="1621">
        <f t="shared" si="5"/>
        <v>0</v>
      </c>
      <c r="AC11" s="767">
        <f>IF(AD6="mensuel",SUM(AC61:AC72),IF(AD6="trimestriel",SUM(AC37:AC40),IF(AD6="semestriel",SUM(AC31:AC32),IF(AD6="annuel",AC28,0))))</f>
        <v>0</v>
      </c>
      <c r="AD11" s="766">
        <f>IF(AD6="mensuel",SUM(AD61:AD72),IF(AD6="trimestriel",SUM(AD37:AD40),IF(AD6="semestriel",SUM(AD31:AD32),IF(AD6="annuel",AD28,0))))</f>
        <v>0</v>
      </c>
      <c r="AE11" s="1621">
        <f t="shared" si="10"/>
        <v>0</v>
      </c>
      <c r="AF11" s="772"/>
      <c r="AG11" s="1616">
        <v>4</v>
      </c>
      <c r="AH11" s="1621">
        <f t="shared" si="6"/>
        <v>0</v>
      </c>
      <c r="AI11" s="767">
        <f>IF(AJ6="mensuel",SUM(AI61:AI72),IF(AJ6="trimestriel",SUM(AI37:AI40),IF(AJ6="semestriel",SUM(AI31:AI32),IF(AJ6="annuel",AI28,0))))</f>
        <v>0</v>
      </c>
      <c r="AJ11" s="766">
        <f>IF(AJ6="mensuel",SUM(AJ61:AJ72),IF(AJ6="trimestriel",SUM(AJ37:AJ40),IF(AJ6="semestriel",SUM(AJ31:AJ32),IF(AJ6="annuel",AJ28,0))))</f>
        <v>0</v>
      </c>
      <c r="AK11" s="1621">
        <f t="shared" si="11"/>
        <v>0</v>
      </c>
      <c r="AL11" s="772"/>
      <c r="AM11" s="772"/>
      <c r="AN11" s="772"/>
      <c r="AO11" s="772"/>
      <c r="AP11" s="772"/>
      <c r="AQ11" s="772"/>
      <c r="AR11" s="772"/>
      <c r="AS11" s="772"/>
      <c r="AT11" s="772"/>
      <c r="AU11" s="772"/>
      <c r="AV11" s="772"/>
      <c r="AW11" s="772"/>
      <c r="AX11" s="772"/>
      <c r="AY11" s="772"/>
      <c r="AZ11" s="772"/>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2"/>
      <c r="CG11" s="772"/>
      <c r="CH11" s="772"/>
      <c r="CI11" s="772"/>
      <c r="CJ11" s="772"/>
      <c r="CK11" s="772"/>
      <c r="CL11" s="772"/>
      <c r="CM11" s="772"/>
      <c r="CN11" s="772"/>
      <c r="CO11" s="772"/>
      <c r="CP11" s="772"/>
      <c r="CQ11" s="772"/>
      <c r="CR11" s="772"/>
      <c r="CS11" s="772"/>
      <c r="CT11" s="772"/>
      <c r="CU11" s="772"/>
      <c r="CV11" s="772"/>
      <c r="CW11" s="772"/>
      <c r="CX11" s="772"/>
      <c r="CY11" s="772"/>
      <c r="CZ11" s="772"/>
      <c r="DA11" s="772"/>
      <c r="DB11" s="772"/>
      <c r="DC11" s="772"/>
      <c r="DD11" s="772"/>
      <c r="DE11" s="772"/>
      <c r="DF11" s="772"/>
      <c r="DG11" s="772"/>
      <c r="DH11" s="772"/>
      <c r="DI11" s="772"/>
      <c r="DJ11" s="772"/>
      <c r="DK11" s="772"/>
      <c r="DL11" s="772"/>
      <c r="DM11" s="772"/>
      <c r="DN11" s="772"/>
      <c r="DO11" s="772"/>
      <c r="DP11" s="772"/>
      <c r="DQ11" s="772"/>
      <c r="DR11" s="772"/>
      <c r="DS11" s="772"/>
      <c r="DT11" s="772"/>
      <c r="DU11" s="772"/>
      <c r="DV11" s="772"/>
      <c r="DW11" s="772"/>
      <c r="DX11" s="772"/>
      <c r="DY11" s="772"/>
      <c r="DZ11" s="772"/>
      <c r="EA11" s="772"/>
      <c r="EB11" s="772"/>
      <c r="EC11" s="772"/>
      <c r="ED11" s="772"/>
      <c r="EE11" s="772"/>
      <c r="EF11" s="772"/>
      <c r="EG11" s="772"/>
      <c r="EH11" s="772"/>
      <c r="EI11" s="772"/>
      <c r="EJ11" s="772"/>
      <c r="EK11" s="772"/>
      <c r="EL11" s="772"/>
      <c r="EM11" s="772"/>
      <c r="EN11" s="772"/>
      <c r="EO11" s="772"/>
      <c r="EP11" s="772"/>
      <c r="EQ11" s="772"/>
      <c r="ER11" s="772"/>
      <c r="ES11" s="772"/>
      <c r="ET11" s="772"/>
      <c r="EU11" s="772"/>
      <c r="EV11" s="772"/>
      <c r="EW11" s="772"/>
      <c r="EX11" s="772"/>
      <c r="EY11" s="772"/>
      <c r="EZ11" s="772"/>
      <c r="FA11" s="772"/>
      <c r="FB11" s="772"/>
      <c r="FC11" s="772"/>
      <c r="FD11" s="772"/>
      <c r="FE11" s="772"/>
      <c r="FF11" s="772"/>
      <c r="FG11" s="772"/>
      <c r="FH11" s="772"/>
      <c r="FI11" s="772"/>
      <c r="FJ11" s="772"/>
      <c r="FK11" s="772"/>
      <c r="FL11" s="772"/>
      <c r="FM11" s="772"/>
      <c r="FN11" s="772"/>
      <c r="FO11" s="772"/>
      <c r="FP11" s="772"/>
      <c r="FQ11" s="772"/>
      <c r="FR11" s="772"/>
      <c r="FS11" s="772"/>
      <c r="FT11" s="772"/>
      <c r="FU11" s="772"/>
      <c r="FV11" s="772"/>
      <c r="FW11" s="772"/>
      <c r="FX11" s="772"/>
      <c r="FY11" s="772"/>
      <c r="FZ11" s="772"/>
      <c r="GA11" s="772"/>
      <c r="GB11" s="772"/>
      <c r="GC11" s="772"/>
      <c r="GD11" s="772"/>
      <c r="GE11" s="772"/>
      <c r="GF11" s="772"/>
      <c r="GG11" s="772"/>
      <c r="GH11" s="772"/>
      <c r="GI11" s="772"/>
      <c r="GJ11" s="772"/>
      <c r="GK11" s="772"/>
      <c r="GL11" s="772"/>
      <c r="GM11" s="772"/>
      <c r="GN11" s="772"/>
      <c r="GO11" s="772"/>
      <c r="GP11" s="772"/>
      <c r="GQ11" s="772"/>
      <c r="GR11" s="772"/>
      <c r="GS11" s="772"/>
      <c r="GT11" s="772"/>
      <c r="GU11" s="772"/>
      <c r="GV11" s="772"/>
      <c r="GW11" s="772"/>
      <c r="GX11" s="772"/>
      <c r="GY11" s="772"/>
      <c r="GZ11" s="772"/>
      <c r="HA11" s="772"/>
      <c r="HB11" s="772"/>
      <c r="HC11" s="772"/>
      <c r="HD11" s="772"/>
      <c r="HE11" s="772"/>
      <c r="HF11" s="772"/>
      <c r="HG11" s="772"/>
      <c r="HH11" s="772"/>
      <c r="HI11" s="772"/>
      <c r="HJ11" s="772"/>
      <c r="HK11" s="772"/>
      <c r="HL11" s="772"/>
      <c r="HM11" s="772"/>
      <c r="HN11" s="772"/>
      <c r="HO11" s="772"/>
      <c r="HP11" s="772"/>
      <c r="HQ11" s="772"/>
      <c r="HR11" s="772"/>
      <c r="HS11" s="772"/>
      <c r="HT11" s="772"/>
      <c r="HU11" s="772"/>
      <c r="HV11" s="772"/>
      <c r="HW11" s="772"/>
      <c r="HX11" s="772"/>
      <c r="HY11" s="772"/>
      <c r="HZ11" s="772"/>
      <c r="IA11" s="772"/>
      <c r="IB11" s="772"/>
      <c r="IC11" s="772"/>
      <c r="ID11" s="772"/>
      <c r="IE11" s="772"/>
      <c r="IF11" s="772"/>
      <c r="IG11" s="772"/>
      <c r="IH11" s="772"/>
      <c r="II11" s="772"/>
      <c r="IJ11" s="772"/>
      <c r="IK11" s="772"/>
    </row>
    <row r="12" spans="1:245" s="765" customFormat="1" ht="20.100000000000001" customHeight="1" x14ac:dyDescent="0.25">
      <c r="A12" s="772"/>
      <c r="B12" s="1616">
        <v>5</v>
      </c>
      <c r="C12" s="1621">
        <f t="shared" si="1"/>
        <v>0</v>
      </c>
      <c r="D12" s="767">
        <f t="shared" si="0"/>
        <v>0</v>
      </c>
      <c r="E12" s="766">
        <f t="shared" si="0"/>
        <v>0</v>
      </c>
      <c r="F12" s="1621">
        <f t="shared" si="0"/>
        <v>0</v>
      </c>
      <c r="G12" s="1652"/>
      <c r="H12" s="772"/>
      <c r="I12" s="1616">
        <v>5</v>
      </c>
      <c r="J12" s="1621">
        <f t="shared" si="2"/>
        <v>0</v>
      </c>
      <c r="K12" s="767">
        <f>IF(L6="mensuel",SUM(K73:K84),IF(L6="trimestriel",SUM(K41:K44),IF(L6="semestriel",SUM(K33:K34),IF(L6="annuel",K29,0))))</f>
        <v>0</v>
      </c>
      <c r="L12" s="766">
        <f>IF(L6="mensuel",SUM(L73:L84),IF(L6="trimestriel",SUM(L41:L44),IF(L6="semestriel",SUM(L33:L34),IF(L6="annuel",L29,0))))</f>
        <v>0</v>
      </c>
      <c r="M12" s="1621">
        <f t="shared" si="7"/>
        <v>0</v>
      </c>
      <c r="N12" s="772"/>
      <c r="O12" s="1616">
        <v>5</v>
      </c>
      <c r="P12" s="1621">
        <f t="shared" si="3"/>
        <v>0</v>
      </c>
      <c r="Q12" s="767">
        <f>IF(R6="mensuel",SUM(Q73:Q84),IF(R6="trimestriel",SUM(Q41:Q44),IF(R6="semestriel",SUM(Q33:Q34),IF(R6="annuel",Q29,0))))</f>
        <v>0</v>
      </c>
      <c r="R12" s="766">
        <f>IF(R6="mensuel",SUM(R73:R84),IF(R6="trimestriel",SUM(R41:R44),IF(R6="semestriel",SUM(R33:R34),IF(R6="annuel",R29,0))))</f>
        <v>0</v>
      </c>
      <c r="S12" s="1621">
        <f t="shared" si="8"/>
        <v>0</v>
      </c>
      <c r="T12" s="772"/>
      <c r="U12" s="1616">
        <v>5</v>
      </c>
      <c r="V12" s="1621">
        <f t="shared" si="4"/>
        <v>0</v>
      </c>
      <c r="W12" s="767">
        <f>IF(X6="mensuel",SUM(W73:W84),IF(X6="trimestriel",SUM(W41:W44),IF(X6="semestriel",SUM(W33:W34),IF(X6="annuel",W29,0))))</f>
        <v>0</v>
      </c>
      <c r="X12" s="766">
        <f>IF(X6="mensuel",SUM(X73:X84),IF(X6="trimestriel",SUM(X41:X44),IF(X6="semestriel",SUM(X33:X34),IF(X6="annuel",X29,0))))</f>
        <v>0</v>
      </c>
      <c r="Y12" s="1621">
        <f t="shared" si="9"/>
        <v>0</v>
      </c>
      <c r="Z12" s="772"/>
      <c r="AA12" s="1616">
        <v>5</v>
      </c>
      <c r="AB12" s="1621">
        <f t="shared" si="5"/>
        <v>0</v>
      </c>
      <c r="AC12" s="767">
        <f>IF(AD6="mensuel",SUM(AC73:AC84),IF(AD6="trimestriel",SUM(AC41:AC44),IF(AD6="semestriel",SUM(AC33:AC34),IF(AD6="annuel",AC29,0))))</f>
        <v>0</v>
      </c>
      <c r="AD12" s="766">
        <f>IF(AD6="mensuel",SUM(AD73:AD84),IF(AD6="trimestriel",SUM(AD41:AD44),IF(AD6="semestriel",SUM(AD33:AD34),IF(AD6="annuel",AD29,0))))</f>
        <v>0</v>
      </c>
      <c r="AE12" s="1621">
        <f t="shared" si="10"/>
        <v>0</v>
      </c>
      <c r="AF12" s="772"/>
      <c r="AG12" s="1616">
        <v>5</v>
      </c>
      <c r="AH12" s="1621">
        <f t="shared" si="6"/>
        <v>0</v>
      </c>
      <c r="AI12" s="767">
        <f>IF(AJ6="mensuel",SUM(AI73:AI84),IF(AJ6="trimestriel",SUM(AI41:AI44),IF(AJ6="semestriel",SUM(AI33:AI34),IF(AJ6="annuel",AI29,0))))</f>
        <v>0</v>
      </c>
      <c r="AJ12" s="766">
        <f>IF(AJ6="mensuel",SUM(AJ73:AJ84),IF(AJ6="trimestriel",SUM(AJ41:AJ44),IF(AJ6="semestriel",SUM(AJ33:AJ34),IF(AJ6="annuel",AJ29,0))))</f>
        <v>0</v>
      </c>
      <c r="AK12" s="1621">
        <f t="shared" si="11"/>
        <v>0</v>
      </c>
      <c r="AL12" s="772"/>
      <c r="AM12" s="772"/>
      <c r="AN12" s="772"/>
      <c r="AO12" s="772"/>
      <c r="AP12" s="772"/>
      <c r="AQ12" s="772"/>
      <c r="AR12" s="772"/>
      <c r="AS12" s="772"/>
      <c r="AT12" s="772"/>
      <c r="AU12" s="772"/>
      <c r="AV12" s="772"/>
      <c r="AW12" s="772"/>
      <c r="AX12" s="772"/>
      <c r="AY12" s="772"/>
      <c r="AZ12" s="772"/>
      <c r="BA12" s="772"/>
      <c r="BB12" s="772"/>
      <c r="BC12" s="772"/>
      <c r="BD12" s="772"/>
      <c r="BE12" s="772"/>
      <c r="BF12" s="772"/>
      <c r="BG12" s="772"/>
      <c r="BH12" s="772"/>
      <c r="BI12" s="772"/>
      <c r="BJ12" s="772"/>
      <c r="BK12" s="772"/>
      <c r="BL12" s="772"/>
      <c r="BM12" s="772"/>
      <c r="BN12" s="772"/>
      <c r="BO12" s="772"/>
      <c r="BP12" s="772"/>
      <c r="BQ12" s="772"/>
      <c r="BR12" s="772"/>
      <c r="BS12" s="772"/>
      <c r="BT12" s="772"/>
      <c r="BU12" s="772"/>
      <c r="BV12" s="772"/>
      <c r="BW12" s="772"/>
      <c r="BX12" s="772"/>
      <c r="BY12" s="772"/>
      <c r="BZ12" s="772"/>
      <c r="CA12" s="772"/>
      <c r="CB12" s="772"/>
      <c r="CC12" s="772"/>
      <c r="CD12" s="772"/>
      <c r="CE12" s="772"/>
      <c r="CF12" s="772"/>
      <c r="CG12" s="772"/>
      <c r="CH12" s="772"/>
      <c r="CI12" s="772"/>
      <c r="CJ12" s="772"/>
      <c r="CK12" s="772"/>
      <c r="CL12" s="772"/>
      <c r="CM12" s="772"/>
      <c r="CN12" s="772"/>
      <c r="CO12" s="772"/>
      <c r="CP12" s="772"/>
      <c r="CQ12" s="772"/>
      <c r="CR12" s="772"/>
      <c r="CS12" s="772"/>
      <c r="CT12" s="772"/>
      <c r="CU12" s="772"/>
      <c r="CV12" s="772"/>
      <c r="CW12" s="772"/>
      <c r="CX12" s="772"/>
      <c r="CY12" s="772"/>
      <c r="CZ12" s="772"/>
      <c r="DA12" s="772"/>
      <c r="DB12" s="772"/>
      <c r="DC12" s="772"/>
      <c r="DD12" s="772"/>
      <c r="DE12" s="772"/>
      <c r="DF12" s="772"/>
      <c r="DG12" s="772"/>
      <c r="DH12" s="772"/>
      <c r="DI12" s="772"/>
      <c r="DJ12" s="772"/>
      <c r="DK12" s="772"/>
      <c r="DL12" s="772"/>
      <c r="DM12" s="772"/>
      <c r="DN12" s="772"/>
      <c r="DO12" s="772"/>
      <c r="DP12" s="772"/>
      <c r="DQ12" s="772"/>
      <c r="DR12" s="772"/>
      <c r="DS12" s="772"/>
      <c r="DT12" s="772"/>
      <c r="DU12" s="772"/>
      <c r="DV12" s="772"/>
      <c r="DW12" s="772"/>
      <c r="DX12" s="772"/>
      <c r="DY12" s="772"/>
      <c r="DZ12" s="772"/>
      <c r="EA12" s="772"/>
      <c r="EB12" s="772"/>
      <c r="EC12" s="772"/>
      <c r="ED12" s="772"/>
      <c r="EE12" s="772"/>
      <c r="EF12" s="772"/>
      <c r="EG12" s="772"/>
      <c r="EH12" s="772"/>
      <c r="EI12" s="772"/>
      <c r="EJ12" s="772"/>
      <c r="EK12" s="772"/>
      <c r="EL12" s="772"/>
      <c r="EM12" s="772"/>
      <c r="EN12" s="772"/>
      <c r="EO12" s="772"/>
      <c r="EP12" s="772"/>
      <c r="EQ12" s="772"/>
      <c r="ER12" s="772"/>
      <c r="ES12" s="772"/>
      <c r="ET12" s="772"/>
      <c r="EU12" s="772"/>
      <c r="EV12" s="772"/>
      <c r="EW12" s="772"/>
      <c r="EX12" s="772"/>
      <c r="EY12" s="772"/>
      <c r="EZ12" s="772"/>
      <c r="FA12" s="772"/>
      <c r="FB12" s="772"/>
      <c r="FC12" s="772"/>
      <c r="FD12" s="772"/>
      <c r="FE12" s="772"/>
      <c r="FF12" s="772"/>
      <c r="FG12" s="772"/>
      <c r="FH12" s="772"/>
      <c r="FI12" s="772"/>
      <c r="FJ12" s="772"/>
      <c r="FK12" s="772"/>
      <c r="FL12" s="772"/>
      <c r="FM12" s="772"/>
      <c r="FN12" s="772"/>
      <c r="FO12" s="772"/>
      <c r="FP12" s="772"/>
      <c r="FQ12" s="772"/>
      <c r="FR12" s="772"/>
      <c r="FS12" s="772"/>
      <c r="FT12" s="772"/>
      <c r="FU12" s="772"/>
      <c r="FV12" s="772"/>
      <c r="FW12" s="772"/>
      <c r="FX12" s="772"/>
      <c r="FY12" s="772"/>
      <c r="FZ12" s="772"/>
      <c r="GA12" s="772"/>
      <c r="GB12" s="772"/>
      <c r="GC12" s="772"/>
      <c r="GD12" s="772"/>
      <c r="GE12" s="772"/>
      <c r="GF12" s="772"/>
      <c r="GG12" s="772"/>
      <c r="GH12" s="772"/>
      <c r="GI12" s="772"/>
      <c r="GJ12" s="772"/>
      <c r="GK12" s="772"/>
      <c r="GL12" s="772"/>
      <c r="GM12" s="772"/>
      <c r="GN12" s="772"/>
      <c r="GO12" s="772"/>
      <c r="GP12" s="772"/>
      <c r="GQ12" s="772"/>
      <c r="GR12" s="772"/>
      <c r="GS12" s="772"/>
      <c r="GT12" s="772"/>
      <c r="GU12" s="772"/>
      <c r="GV12" s="772"/>
      <c r="GW12" s="772"/>
      <c r="GX12" s="772"/>
      <c r="GY12" s="772"/>
      <c r="GZ12" s="772"/>
      <c r="HA12" s="772"/>
      <c r="HB12" s="772"/>
      <c r="HC12" s="772"/>
      <c r="HD12" s="772"/>
      <c r="HE12" s="772"/>
      <c r="HF12" s="772"/>
      <c r="HG12" s="772"/>
      <c r="HH12" s="772"/>
      <c r="HI12" s="772"/>
      <c r="HJ12" s="772"/>
      <c r="HK12" s="772"/>
      <c r="HL12" s="772"/>
      <c r="HM12" s="772"/>
      <c r="HN12" s="772"/>
      <c r="HO12" s="772"/>
      <c r="HP12" s="772"/>
      <c r="HQ12" s="772"/>
      <c r="HR12" s="772"/>
      <c r="HS12" s="772"/>
      <c r="HT12" s="772"/>
      <c r="HU12" s="772"/>
      <c r="HV12" s="772"/>
      <c r="HW12" s="772"/>
      <c r="HX12" s="772"/>
      <c r="HY12" s="772"/>
      <c r="HZ12" s="772"/>
      <c r="IA12" s="772"/>
      <c r="IB12" s="772"/>
      <c r="IC12" s="772"/>
      <c r="ID12" s="772"/>
      <c r="IE12" s="772"/>
      <c r="IF12" s="772"/>
      <c r="IG12" s="772"/>
      <c r="IH12" s="772"/>
      <c r="II12" s="772"/>
      <c r="IJ12" s="772"/>
      <c r="IK12" s="772"/>
    </row>
    <row r="13" spans="1:245" s="765" customFormat="1" ht="20.100000000000001" customHeight="1" x14ac:dyDescent="0.25">
      <c r="A13" s="772"/>
      <c r="B13" s="1616">
        <v>6</v>
      </c>
      <c r="C13" s="1621">
        <f t="shared" si="1"/>
        <v>0</v>
      </c>
      <c r="D13" s="767">
        <f t="shared" si="0"/>
        <v>0</v>
      </c>
      <c r="E13" s="766">
        <f t="shared" si="0"/>
        <v>0</v>
      </c>
      <c r="F13" s="1621">
        <f t="shared" si="0"/>
        <v>0</v>
      </c>
      <c r="G13" s="1652"/>
      <c r="H13" s="772"/>
      <c r="I13" s="1616">
        <v>6</v>
      </c>
      <c r="J13" s="1621">
        <f t="shared" si="2"/>
        <v>0</v>
      </c>
      <c r="K13" s="767">
        <f>IF(L6="mensuel",SUM(K85:K96),IF(L6="trimestriel",SUM(K45:K48),IF(L6="semestriel",SUM(K35:K36),IF(L6="annuel",K30,0))))</f>
        <v>0</v>
      </c>
      <c r="L13" s="766">
        <f>IF(L6="mensuel",SUM(L85:L96),IF(L6="trimestriel",SUM(L45:L48),IF(L6="semestriel",SUM(L35:L36),IF(L6="annuel",L30,0))))</f>
        <v>0</v>
      </c>
      <c r="M13" s="1621">
        <f t="shared" si="7"/>
        <v>0</v>
      </c>
      <c r="N13" s="772"/>
      <c r="O13" s="1616">
        <v>6</v>
      </c>
      <c r="P13" s="1621">
        <f t="shared" si="3"/>
        <v>0</v>
      </c>
      <c r="Q13" s="767">
        <f>IF(R6="mensuel",SUM(Q85:Q96),IF(R6="trimestriel",SUM(Q45:Q48),IF(R6="semestriel",SUM(Q35:Q36),IF(R6="annuel",Q30,0))))</f>
        <v>0</v>
      </c>
      <c r="R13" s="766">
        <f>IF(R6="mensuel",SUM(R85:R96),IF(R6="trimestriel",SUM(R45:R48),IF(R6="semestriel",SUM(R35:R36),IF(R6="annuel",R30,0))))</f>
        <v>0</v>
      </c>
      <c r="S13" s="1621">
        <f t="shared" si="8"/>
        <v>0</v>
      </c>
      <c r="T13" s="772"/>
      <c r="U13" s="1616">
        <v>6</v>
      </c>
      <c r="V13" s="1621">
        <f t="shared" si="4"/>
        <v>0</v>
      </c>
      <c r="W13" s="767">
        <f>IF(X6="mensuel",SUM(W85:W96),IF(X6="trimestriel",SUM(W45:W48),IF(X6="semestriel",SUM(W35:W36),IF(X6="annuel",W30,0))))</f>
        <v>0</v>
      </c>
      <c r="X13" s="766">
        <f>IF(X6="mensuel",SUM(X85:X96),IF(X6="trimestriel",SUM(X45:X48),IF(X6="semestriel",SUM(X35:X36),IF(X6="annuel",X30,0))))</f>
        <v>0</v>
      </c>
      <c r="Y13" s="1621">
        <f t="shared" si="9"/>
        <v>0</v>
      </c>
      <c r="Z13" s="772"/>
      <c r="AA13" s="1616">
        <v>6</v>
      </c>
      <c r="AB13" s="1621">
        <f t="shared" si="5"/>
        <v>0</v>
      </c>
      <c r="AC13" s="767">
        <f>IF(AD6="mensuel",SUM(AC85:AC96),IF(AD6="trimestriel",SUM(AC45:AC48),IF(AD6="semestriel",SUM(AC35:AC36),IF(AD6="annuel",AC30,0))))</f>
        <v>0</v>
      </c>
      <c r="AD13" s="766">
        <f>IF(AD6="mensuel",SUM(AD85:AD96),IF(AD6="trimestriel",SUM(AD45:AD48),IF(AD6="semestriel",SUM(AD35:AD36),IF(AD6="annuel",AD30,0))))</f>
        <v>0</v>
      </c>
      <c r="AE13" s="1621">
        <f t="shared" si="10"/>
        <v>0</v>
      </c>
      <c r="AF13" s="772"/>
      <c r="AG13" s="1616">
        <v>6</v>
      </c>
      <c r="AH13" s="1621">
        <f t="shared" si="6"/>
        <v>0</v>
      </c>
      <c r="AI13" s="767">
        <f>IF(AJ6="mensuel",SUM(AI85:AI96),IF(AJ6="trimestriel",SUM(AI45:AI48),IF(AJ6="semestriel",SUM(AI35:AI36),IF(AJ6="annuel",AI30,0))))</f>
        <v>0</v>
      </c>
      <c r="AJ13" s="766">
        <f>IF(AJ6="mensuel",SUM(AJ85:AJ96),IF(AJ6="trimestriel",SUM(AJ45:AJ48),IF(AJ6="semestriel",SUM(AJ35:AJ36),IF(AJ6="annuel",AJ30,0))))</f>
        <v>0</v>
      </c>
      <c r="AK13" s="1621">
        <f t="shared" si="11"/>
        <v>0</v>
      </c>
      <c r="AL13" s="772"/>
      <c r="AM13" s="772"/>
      <c r="AN13" s="772"/>
      <c r="AO13" s="772"/>
      <c r="AP13" s="772"/>
      <c r="AQ13" s="772"/>
      <c r="AR13" s="772"/>
      <c r="AS13" s="772"/>
      <c r="AT13" s="772"/>
      <c r="AU13" s="772"/>
      <c r="AV13" s="772"/>
      <c r="AW13" s="772"/>
      <c r="AX13" s="772"/>
      <c r="AY13" s="772"/>
      <c r="AZ13" s="772"/>
      <c r="BA13" s="772"/>
      <c r="BB13" s="772"/>
      <c r="BC13" s="772"/>
      <c r="BD13" s="772"/>
      <c r="BE13" s="772"/>
      <c r="BF13" s="772"/>
      <c r="BG13" s="772"/>
      <c r="BH13" s="772"/>
      <c r="BI13" s="772"/>
      <c r="BJ13" s="772"/>
      <c r="BK13" s="772"/>
      <c r="BL13" s="772"/>
      <c r="BM13" s="772"/>
      <c r="BN13" s="772"/>
      <c r="BO13" s="772"/>
      <c r="BP13" s="772"/>
      <c r="BQ13" s="772"/>
      <c r="BR13" s="772"/>
      <c r="BS13" s="772"/>
      <c r="BT13" s="772"/>
      <c r="BU13" s="772"/>
      <c r="BV13" s="772"/>
      <c r="BW13" s="772"/>
      <c r="BX13" s="772"/>
      <c r="BY13" s="772"/>
      <c r="BZ13" s="772"/>
      <c r="CA13" s="772"/>
      <c r="CB13" s="772"/>
      <c r="CC13" s="772"/>
      <c r="CD13" s="772"/>
      <c r="CE13" s="772"/>
      <c r="CF13" s="772"/>
      <c r="CG13" s="772"/>
      <c r="CH13" s="772"/>
      <c r="CI13" s="772"/>
      <c r="CJ13" s="772"/>
      <c r="CK13" s="772"/>
      <c r="CL13" s="772"/>
      <c r="CM13" s="772"/>
      <c r="CN13" s="772"/>
      <c r="CO13" s="772"/>
      <c r="CP13" s="772"/>
      <c r="CQ13" s="772"/>
      <c r="CR13" s="772"/>
      <c r="CS13" s="772"/>
      <c r="CT13" s="772"/>
      <c r="CU13" s="772"/>
      <c r="CV13" s="772"/>
      <c r="CW13" s="772"/>
      <c r="CX13" s="772"/>
      <c r="CY13" s="772"/>
      <c r="CZ13" s="772"/>
      <c r="DA13" s="772"/>
      <c r="DB13" s="772"/>
      <c r="DC13" s="772"/>
      <c r="DD13" s="772"/>
      <c r="DE13" s="772"/>
      <c r="DF13" s="772"/>
      <c r="DG13" s="772"/>
      <c r="DH13" s="772"/>
      <c r="DI13" s="772"/>
      <c r="DJ13" s="772"/>
      <c r="DK13" s="772"/>
      <c r="DL13" s="772"/>
      <c r="DM13" s="772"/>
      <c r="DN13" s="772"/>
      <c r="DO13" s="772"/>
      <c r="DP13" s="772"/>
      <c r="DQ13" s="772"/>
      <c r="DR13" s="772"/>
      <c r="DS13" s="772"/>
      <c r="DT13" s="772"/>
      <c r="DU13" s="772"/>
      <c r="DV13" s="772"/>
      <c r="DW13" s="772"/>
      <c r="DX13" s="772"/>
      <c r="DY13" s="772"/>
      <c r="DZ13" s="772"/>
      <c r="EA13" s="772"/>
      <c r="EB13" s="772"/>
      <c r="EC13" s="772"/>
      <c r="ED13" s="772"/>
      <c r="EE13" s="772"/>
      <c r="EF13" s="772"/>
      <c r="EG13" s="772"/>
      <c r="EH13" s="772"/>
      <c r="EI13" s="772"/>
      <c r="EJ13" s="772"/>
      <c r="EK13" s="772"/>
      <c r="EL13" s="772"/>
      <c r="EM13" s="772"/>
      <c r="EN13" s="772"/>
      <c r="EO13" s="772"/>
      <c r="EP13" s="772"/>
      <c r="EQ13" s="772"/>
      <c r="ER13" s="772"/>
      <c r="ES13" s="772"/>
      <c r="ET13" s="772"/>
      <c r="EU13" s="772"/>
      <c r="EV13" s="772"/>
      <c r="EW13" s="772"/>
      <c r="EX13" s="772"/>
      <c r="EY13" s="772"/>
      <c r="EZ13" s="772"/>
      <c r="FA13" s="772"/>
      <c r="FB13" s="772"/>
      <c r="FC13" s="772"/>
      <c r="FD13" s="772"/>
      <c r="FE13" s="772"/>
      <c r="FF13" s="772"/>
      <c r="FG13" s="772"/>
      <c r="FH13" s="772"/>
      <c r="FI13" s="772"/>
      <c r="FJ13" s="772"/>
      <c r="FK13" s="772"/>
      <c r="FL13" s="772"/>
      <c r="FM13" s="772"/>
      <c r="FN13" s="772"/>
      <c r="FO13" s="772"/>
      <c r="FP13" s="772"/>
      <c r="FQ13" s="772"/>
      <c r="FR13" s="772"/>
      <c r="FS13" s="772"/>
      <c r="FT13" s="772"/>
      <c r="FU13" s="772"/>
      <c r="FV13" s="772"/>
      <c r="FW13" s="772"/>
      <c r="FX13" s="772"/>
      <c r="FY13" s="772"/>
      <c r="FZ13" s="772"/>
      <c r="GA13" s="772"/>
      <c r="GB13" s="772"/>
      <c r="GC13" s="772"/>
      <c r="GD13" s="772"/>
      <c r="GE13" s="772"/>
      <c r="GF13" s="772"/>
      <c r="GG13" s="772"/>
      <c r="GH13" s="772"/>
      <c r="GI13" s="772"/>
      <c r="GJ13" s="772"/>
      <c r="GK13" s="772"/>
      <c r="GL13" s="772"/>
      <c r="GM13" s="772"/>
      <c r="GN13" s="772"/>
      <c r="GO13" s="772"/>
      <c r="GP13" s="772"/>
      <c r="GQ13" s="772"/>
      <c r="GR13" s="772"/>
      <c r="GS13" s="772"/>
      <c r="GT13" s="772"/>
      <c r="GU13" s="772"/>
      <c r="GV13" s="772"/>
      <c r="GW13" s="772"/>
      <c r="GX13" s="772"/>
      <c r="GY13" s="772"/>
      <c r="GZ13" s="772"/>
      <c r="HA13" s="772"/>
      <c r="HB13" s="772"/>
      <c r="HC13" s="772"/>
      <c r="HD13" s="772"/>
      <c r="HE13" s="772"/>
      <c r="HF13" s="772"/>
      <c r="HG13" s="772"/>
      <c r="HH13" s="772"/>
      <c r="HI13" s="772"/>
      <c r="HJ13" s="772"/>
      <c r="HK13" s="772"/>
      <c r="HL13" s="772"/>
      <c r="HM13" s="772"/>
      <c r="HN13" s="772"/>
      <c r="HO13" s="772"/>
      <c r="HP13" s="772"/>
      <c r="HQ13" s="772"/>
      <c r="HR13" s="772"/>
      <c r="HS13" s="772"/>
      <c r="HT13" s="772"/>
      <c r="HU13" s="772"/>
      <c r="HV13" s="772"/>
      <c r="HW13" s="772"/>
      <c r="HX13" s="772"/>
      <c r="HY13" s="772"/>
      <c r="HZ13" s="772"/>
      <c r="IA13" s="772"/>
      <c r="IB13" s="772"/>
      <c r="IC13" s="772"/>
      <c r="ID13" s="772"/>
      <c r="IE13" s="772"/>
      <c r="IF13" s="772"/>
      <c r="IG13" s="772"/>
      <c r="IH13" s="772"/>
      <c r="II13" s="772"/>
      <c r="IJ13" s="772"/>
      <c r="IK13" s="772"/>
    </row>
    <row r="14" spans="1:245" s="765" customFormat="1" ht="20.100000000000001" customHeight="1" x14ac:dyDescent="0.25">
      <c r="A14" s="772"/>
      <c r="B14" s="1617">
        <v>7</v>
      </c>
      <c r="C14" s="1622">
        <f t="shared" si="1"/>
        <v>0</v>
      </c>
      <c r="D14" s="768">
        <f t="shared" si="0"/>
        <v>0</v>
      </c>
      <c r="E14" s="769">
        <f t="shared" si="0"/>
        <v>0</v>
      </c>
      <c r="F14" s="1622">
        <f t="shared" si="0"/>
        <v>0</v>
      </c>
      <c r="G14" s="1652"/>
      <c r="H14" s="772"/>
      <c r="I14" s="1617">
        <v>7</v>
      </c>
      <c r="J14" s="1622">
        <f t="shared" si="2"/>
        <v>0</v>
      </c>
      <c r="K14" s="768">
        <f>IF(L6="mensuel",SUM(K97:K108),IF(L6="trimestriel",SUM(K49:K52),IF(L6="semestriel",SUM(K37:K38),IF(L6="annuel",K31,0))))</f>
        <v>0</v>
      </c>
      <c r="L14" s="769">
        <f>IF(L6="mensuel",SUM(L97:L108),IF(L6="trimestriel",SUM(L49:L52),IF(L6="semestriel",SUM(L37:L38),IF(L6="annuel",L31,0))))</f>
        <v>0</v>
      </c>
      <c r="M14" s="1622">
        <f t="shared" si="7"/>
        <v>0</v>
      </c>
      <c r="N14" s="772"/>
      <c r="O14" s="1617">
        <v>7</v>
      </c>
      <c r="P14" s="1622">
        <f t="shared" ref="P14:P22" si="12">SUM(Q14:R14)</f>
        <v>0</v>
      </c>
      <c r="Q14" s="768">
        <f>IF(R6="mensuel",SUM(Q97:Q108),IF(R6="trimestriel",SUM(Q49:Q52),IF(R6="semestriel",SUM(Q37:Q38),IF(R6="annuel",Q31,0))))</f>
        <v>0</v>
      </c>
      <c r="R14" s="769">
        <f>IF(R6="mensuel",SUM(R97:R108),IF(R6="trimestriel",SUM(R49:R52),IF(R6="semestriel",SUM(R37:R38),IF(R6="annuel",R31,0))))</f>
        <v>0</v>
      </c>
      <c r="S14" s="1622">
        <f t="shared" si="8"/>
        <v>0</v>
      </c>
      <c r="T14" s="772"/>
      <c r="U14" s="1617">
        <v>7</v>
      </c>
      <c r="V14" s="1622">
        <f t="shared" ref="V14:V22" si="13">SUM(W14:X14)</f>
        <v>0</v>
      </c>
      <c r="W14" s="768">
        <f>IF(X6="mensuel",SUM(W97:W108),IF(X6="trimestriel",SUM(W49:W52),IF(X6="semestriel",SUM(W37:W38),IF(X6="annuel",W31,0))))</f>
        <v>0</v>
      </c>
      <c r="X14" s="769">
        <f>IF(X6="mensuel",SUM(X97:X108),IF(X6="trimestriel",SUM(X49:X52),IF(X6="semestriel",SUM(X37:X38),IF(X6="annuel",X31,0))))</f>
        <v>0</v>
      </c>
      <c r="Y14" s="1622">
        <f t="shared" si="9"/>
        <v>0</v>
      </c>
      <c r="Z14" s="772"/>
      <c r="AA14" s="1617">
        <v>7</v>
      </c>
      <c r="AB14" s="1622">
        <f t="shared" ref="AB14:AB22" si="14">SUM(AC14:AD14)</f>
        <v>0</v>
      </c>
      <c r="AC14" s="768">
        <f>IF(AD6="mensuel",SUM(AC97:AC108),IF(AD6="trimestriel",SUM(AC49:AC52),IF(AD6="semestriel",SUM(AC37:AC38),IF(AD6="annuel",AC31,0))))</f>
        <v>0</v>
      </c>
      <c r="AD14" s="769">
        <f>IF(AD6="mensuel",SUM(AD97:AD108),IF(AD6="trimestriel",SUM(AD49:AD52),IF(AD6="semestriel",SUM(AD37:AD38),IF(AD6="annuel",AD31,0))))</f>
        <v>0</v>
      </c>
      <c r="AE14" s="1622">
        <f t="shared" si="10"/>
        <v>0</v>
      </c>
      <c r="AF14" s="772"/>
      <c r="AG14" s="1617">
        <v>7</v>
      </c>
      <c r="AH14" s="1622">
        <f t="shared" ref="AH14:AH22" si="15">SUM(AI14:AJ14)</f>
        <v>0</v>
      </c>
      <c r="AI14" s="768">
        <f>IF(AJ6="mensuel",SUM(AI97:AI108),IF(AJ6="trimestriel",SUM(AI49:AI52),IF(AJ6="semestriel",SUM(AI37:AI38),IF(AJ6="annuel",AI31,0))))</f>
        <v>0</v>
      </c>
      <c r="AJ14" s="769">
        <f>IF(AJ6="mensuel",SUM(AJ97:AJ108),IF(AJ6="trimestriel",SUM(AJ49:AJ52),IF(AJ6="semestriel",SUM(AJ37:AJ38),IF(AJ6="annuel",AJ31,0))))</f>
        <v>0</v>
      </c>
      <c r="AK14" s="1622">
        <f t="shared" si="11"/>
        <v>0</v>
      </c>
      <c r="AL14" s="772"/>
      <c r="AM14" s="772"/>
      <c r="AN14" s="772"/>
      <c r="AO14" s="772"/>
      <c r="AP14" s="772"/>
      <c r="AQ14" s="772"/>
      <c r="AR14" s="772"/>
      <c r="AS14" s="772"/>
      <c r="AT14" s="772"/>
      <c r="AU14" s="772"/>
      <c r="AV14" s="772"/>
      <c r="AW14" s="772"/>
      <c r="AX14" s="772"/>
      <c r="AY14" s="772"/>
      <c r="AZ14" s="772"/>
      <c r="BA14" s="772"/>
      <c r="BB14" s="772"/>
      <c r="BC14" s="772"/>
      <c r="BD14" s="772"/>
      <c r="BE14" s="772"/>
      <c r="BF14" s="772"/>
      <c r="BG14" s="772"/>
      <c r="BH14" s="772"/>
      <c r="BI14" s="772"/>
      <c r="BJ14" s="772"/>
      <c r="BK14" s="772"/>
      <c r="BL14" s="772"/>
      <c r="BM14" s="772"/>
      <c r="BN14" s="772"/>
      <c r="BO14" s="772"/>
      <c r="BP14" s="772"/>
      <c r="BQ14" s="772"/>
      <c r="BR14" s="772"/>
      <c r="BS14" s="772"/>
      <c r="BT14" s="772"/>
      <c r="BU14" s="772"/>
      <c r="BV14" s="772"/>
      <c r="BW14" s="772"/>
      <c r="BX14" s="772"/>
      <c r="BY14" s="772"/>
      <c r="BZ14" s="772"/>
      <c r="CA14" s="772"/>
      <c r="CB14" s="772"/>
      <c r="CC14" s="772"/>
      <c r="CD14" s="772"/>
      <c r="CE14" s="772"/>
      <c r="CF14" s="772"/>
      <c r="CG14" s="772"/>
      <c r="CH14" s="772"/>
      <c r="CI14" s="772"/>
      <c r="CJ14" s="772"/>
      <c r="CK14" s="772"/>
      <c r="CL14" s="772"/>
      <c r="CM14" s="772"/>
      <c r="CN14" s="772"/>
      <c r="CO14" s="772"/>
      <c r="CP14" s="772"/>
      <c r="CQ14" s="772"/>
      <c r="CR14" s="772"/>
      <c r="CS14" s="772"/>
      <c r="CT14" s="772"/>
      <c r="CU14" s="772"/>
      <c r="CV14" s="772"/>
      <c r="CW14" s="772"/>
      <c r="CX14" s="772"/>
      <c r="CY14" s="772"/>
      <c r="CZ14" s="772"/>
      <c r="DA14" s="772"/>
      <c r="DB14" s="772"/>
      <c r="DC14" s="772"/>
      <c r="DD14" s="772"/>
      <c r="DE14" s="772"/>
      <c r="DF14" s="772"/>
      <c r="DG14" s="772"/>
      <c r="DH14" s="772"/>
      <c r="DI14" s="772"/>
      <c r="DJ14" s="772"/>
      <c r="DK14" s="772"/>
      <c r="DL14" s="772"/>
      <c r="DM14" s="772"/>
      <c r="DN14" s="772"/>
      <c r="DO14" s="772"/>
      <c r="DP14" s="772"/>
      <c r="DQ14" s="772"/>
      <c r="DR14" s="772"/>
      <c r="DS14" s="772"/>
      <c r="DT14" s="772"/>
      <c r="DU14" s="772"/>
      <c r="DV14" s="772"/>
      <c r="DW14" s="772"/>
      <c r="DX14" s="772"/>
      <c r="DY14" s="772"/>
      <c r="DZ14" s="772"/>
      <c r="EA14" s="772"/>
      <c r="EB14" s="772"/>
      <c r="EC14" s="772"/>
      <c r="ED14" s="772"/>
      <c r="EE14" s="772"/>
      <c r="EF14" s="772"/>
      <c r="EG14" s="772"/>
      <c r="EH14" s="772"/>
      <c r="EI14" s="772"/>
      <c r="EJ14" s="772"/>
      <c r="EK14" s="772"/>
      <c r="EL14" s="772"/>
      <c r="EM14" s="772"/>
      <c r="EN14" s="772"/>
      <c r="EO14" s="772"/>
      <c r="EP14" s="772"/>
      <c r="EQ14" s="772"/>
      <c r="ER14" s="772"/>
      <c r="ES14" s="772"/>
      <c r="ET14" s="772"/>
      <c r="EU14" s="772"/>
      <c r="EV14" s="772"/>
      <c r="EW14" s="772"/>
      <c r="EX14" s="772"/>
      <c r="EY14" s="772"/>
      <c r="EZ14" s="772"/>
      <c r="FA14" s="772"/>
      <c r="FB14" s="772"/>
      <c r="FC14" s="772"/>
      <c r="FD14" s="772"/>
      <c r="FE14" s="772"/>
      <c r="FF14" s="772"/>
      <c r="FG14" s="772"/>
      <c r="FH14" s="772"/>
      <c r="FI14" s="772"/>
      <c r="FJ14" s="772"/>
      <c r="FK14" s="772"/>
      <c r="FL14" s="772"/>
      <c r="FM14" s="772"/>
      <c r="FN14" s="772"/>
      <c r="FO14" s="772"/>
      <c r="FP14" s="772"/>
      <c r="FQ14" s="772"/>
      <c r="FR14" s="772"/>
      <c r="FS14" s="772"/>
      <c r="FT14" s="772"/>
      <c r="FU14" s="772"/>
      <c r="FV14" s="772"/>
      <c r="FW14" s="772"/>
      <c r="FX14" s="772"/>
      <c r="FY14" s="772"/>
      <c r="FZ14" s="772"/>
      <c r="GA14" s="772"/>
      <c r="GB14" s="772"/>
      <c r="GC14" s="772"/>
      <c r="GD14" s="772"/>
      <c r="GE14" s="772"/>
      <c r="GF14" s="772"/>
      <c r="GG14" s="772"/>
      <c r="GH14" s="772"/>
      <c r="GI14" s="772"/>
      <c r="GJ14" s="772"/>
      <c r="GK14" s="772"/>
      <c r="GL14" s="772"/>
      <c r="GM14" s="772"/>
      <c r="GN14" s="772"/>
      <c r="GO14" s="772"/>
      <c r="GP14" s="772"/>
      <c r="GQ14" s="772"/>
      <c r="GR14" s="772"/>
      <c r="GS14" s="772"/>
      <c r="GT14" s="772"/>
      <c r="GU14" s="772"/>
      <c r="GV14" s="772"/>
      <c r="GW14" s="772"/>
      <c r="GX14" s="772"/>
      <c r="GY14" s="772"/>
      <c r="GZ14" s="772"/>
      <c r="HA14" s="772"/>
      <c r="HB14" s="772"/>
      <c r="HC14" s="772"/>
      <c r="HD14" s="772"/>
      <c r="HE14" s="772"/>
      <c r="HF14" s="772"/>
      <c r="HG14" s="772"/>
      <c r="HH14" s="772"/>
      <c r="HI14" s="772"/>
      <c r="HJ14" s="772"/>
      <c r="HK14" s="772"/>
      <c r="HL14" s="772"/>
      <c r="HM14" s="772"/>
      <c r="HN14" s="772"/>
      <c r="HO14" s="772"/>
      <c r="HP14" s="772"/>
      <c r="HQ14" s="772"/>
      <c r="HR14" s="772"/>
      <c r="HS14" s="772"/>
      <c r="HT14" s="772"/>
      <c r="HU14" s="772"/>
      <c r="HV14" s="772"/>
      <c r="HW14" s="772"/>
      <c r="HX14" s="772"/>
      <c r="HY14" s="772"/>
      <c r="HZ14" s="772"/>
      <c r="IA14" s="772"/>
      <c r="IB14" s="772"/>
      <c r="IC14" s="772"/>
      <c r="ID14" s="772"/>
      <c r="IE14" s="772"/>
      <c r="IF14" s="772"/>
      <c r="IG14" s="772"/>
      <c r="IH14" s="772"/>
      <c r="II14" s="772"/>
      <c r="IJ14" s="772"/>
      <c r="IK14" s="772"/>
    </row>
    <row r="15" spans="1:245" s="765" customFormat="1" ht="20.100000000000001" customHeight="1" x14ac:dyDescent="0.25">
      <c r="A15" s="772"/>
      <c r="B15" s="1616">
        <v>8</v>
      </c>
      <c r="C15" s="1622">
        <f t="shared" si="1"/>
        <v>0</v>
      </c>
      <c r="D15" s="768">
        <f t="shared" si="0"/>
        <v>0</v>
      </c>
      <c r="E15" s="769">
        <f t="shared" si="0"/>
        <v>0</v>
      </c>
      <c r="F15" s="1622">
        <f t="shared" si="0"/>
        <v>0</v>
      </c>
      <c r="G15" s="1652"/>
      <c r="H15" s="772"/>
      <c r="I15" s="1616">
        <v>8</v>
      </c>
      <c r="J15" s="1621">
        <f t="shared" si="2"/>
        <v>0</v>
      </c>
      <c r="K15" s="767">
        <f>IF(L6="mensuel",SUM(K109:K120),IF(L6="trimestriel",SUM(K53:K56),IF(L6="semestriel",SUM(K39:K40),IF(L6="annuel",K32,0))))</f>
        <v>0</v>
      </c>
      <c r="L15" s="766">
        <f>IF(L6="mensuel",SUM(L109:L120),IF(L6="trimestriel",SUM(L53:L56),IF(L6="semestriel",SUM(L39:L40),IF(L6="annuel",L32,0))))</f>
        <v>0</v>
      </c>
      <c r="M15" s="1622">
        <f t="shared" si="7"/>
        <v>0</v>
      </c>
      <c r="N15" s="1636"/>
      <c r="O15" s="1616">
        <v>8</v>
      </c>
      <c r="P15" s="1621">
        <f t="shared" si="12"/>
        <v>0</v>
      </c>
      <c r="Q15" s="767">
        <f>IF(R6="mensuel",SUM(Q109:Q120),IF(R6="trimestriel",SUM(Q53:Q56),IF(R6="semestriel",SUM(Q39:Q40),IF(R6="annuel",Q32,0))))</f>
        <v>0</v>
      </c>
      <c r="R15" s="766">
        <f>IF(R6="mensuel",SUM(R109:R120),IF(R6="trimestriel",SUM(R53:R56),IF(R6="semestriel",SUM(R39:R40),IF(R6="annuel",R32,0))))</f>
        <v>0</v>
      </c>
      <c r="S15" s="1622">
        <f t="shared" si="8"/>
        <v>0</v>
      </c>
      <c r="T15" s="1636"/>
      <c r="U15" s="1634">
        <v>8</v>
      </c>
      <c r="V15" s="1621">
        <f t="shared" si="13"/>
        <v>0</v>
      </c>
      <c r="W15" s="767">
        <f>IF(X6="mensuel",SUM(W109:W120),IF(X6="trimestriel",SUM(W53:W56),IF(X6="semestriel",SUM(W39:W40),IF(X6="annuel",W32,0))))</f>
        <v>0</v>
      </c>
      <c r="X15" s="766">
        <f>IF(X6="mensuel",SUM(X109:X120),IF(X6="trimestriel",SUM(X53:X56),IF(X6="semestriel",SUM(X39:X40),IF(X6="annuel",X32,0))))</f>
        <v>0</v>
      </c>
      <c r="Y15" s="1622">
        <f t="shared" si="9"/>
        <v>0</v>
      </c>
      <c r="Z15" s="772"/>
      <c r="AA15" s="1616">
        <v>8</v>
      </c>
      <c r="AB15" s="1621">
        <f t="shared" si="14"/>
        <v>0</v>
      </c>
      <c r="AC15" s="767">
        <f>IF(AD6="mensuel",SUM(AC109:AC120),IF(AD6="trimestriel",SUM(AC53:AC56),IF(AD6="semestriel",SUM(AC39:AC40),IF(AD6="annuel",AC32,0))))</f>
        <v>0</v>
      </c>
      <c r="AD15" s="766">
        <f>IF(AD6="mensuel",SUM(AD109:AD120),IF(AD6="trimestriel",SUM(AD53:AD56),IF(AD6="semestriel",SUM(AD39:AD40),IF(AD6="annuel",AD32,0))))</f>
        <v>0</v>
      </c>
      <c r="AE15" s="1622">
        <f t="shared" si="10"/>
        <v>0</v>
      </c>
      <c r="AF15" s="772"/>
      <c r="AG15" s="1616">
        <v>8</v>
      </c>
      <c r="AH15" s="1621">
        <f t="shared" si="15"/>
        <v>0</v>
      </c>
      <c r="AI15" s="767">
        <f>IF(AJ6="mensuel",SUM(AI109:AI120),IF(AJ6="trimestriel",SUM(AI53:AI56),IF(AJ6="semestriel",SUM(AI39:AI40),IF(AJ6="annuel",AI32,0))))</f>
        <v>0</v>
      </c>
      <c r="AJ15" s="766">
        <f>IF(AJ6="mensuel",SUM(AJ109:AJ120),IF(AJ6="trimestriel",SUM(AJ53:AJ56),IF(AJ6="semestriel",SUM(AJ39:AJ40),IF(AJ6="annuel",AJ32,0))))</f>
        <v>0</v>
      </c>
      <c r="AK15" s="1622">
        <f t="shared" si="11"/>
        <v>0</v>
      </c>
      <c r="AL15" s="772"/>
      <c r="AM15" s="772"/>
      <c r="AN15" s="772"/>
      <c r="AO15" s="772"/>
      <c r="AP15" s="772"/>
      <c r="AQ15" s="772"/>
      <c r="AR15" s="772"/>
      <c r="AS15" s="772"/>
      <c r="AT15" s="772"/>
      <c r="AU15" s="772"/>
      <c r="AV15" s="772"/>
      <c r="AW15" s="772"/>
      <c r="AX15" s="772"/>
      <c r="AY15" s="772"/>
      <c r="AZ15" s="772"/>
      <c r="BA15" s="772"/>
      <c r="BB15" s="772"/>
      <c r="BC15" s="772"/>
      <c r="BD15" s="772"/>
      <c r="BE15" s="772"/>
      <c r="BF15" s="772"/>
      <c r="BG15" s="772"/>
      <c r="BH15" s="772"/>
      <c r="BI15" s="772"/>
      <c r="BJ15" s="772"/>
      <c r="BK15" s="772"/>
      <c r="BL15" s="772"/>
      <c r="BM15" s="772"/>
      <c r="BN15" s="772"/>
      <c r="BO15" s="772"/>
      <c r="BP15" s="772"/>
      <c r="BQ15" s="772"/>
      <c r="BR15" s="772"/>
      <c r="BS15" s="772"/>
      <c r="BT15" s="772"/>
      <c r="BU15" s="772"/>
      <c r="BV15" s="772"/>
      <c r="BW15" s="772"/>
      <c r="BX15" s="772"/>
      <c r="BY15" s="772"/>
      <c r="BZ15" s="772"/>
      <c r="CA15" s="772"/>
      <c r="CB15" s="772"/>
      <c r="CC15" s="772"/>
      <c r="CD15" s="772"/>
      <c r="CE15" s="772"/>
      <c r="CF15" s="772"/>
      <c r="CG15" s="772"/>
      <c r="CH15" s="772"/>
      <c r="CI15" s="772"/>
      <c r="CJ15" s="772"/>
      <c r="CK15" s="772"/>
      <c r="CL15" s="772"/>
      <c r="CM15" s="772"/>
      <c r="CN15" s="772"/>
      <c r="CO15" s="772"/>
      <c r="CP15" s="772"/>
      <c r="CQ15" s="772"/>
      <c r="CR15" s="772"/>
      <c r="CS15" s="772"/>
      <c r="CT15" s="772"/>
      <c r="CU15" s="772"/>
      <c r="CV15" s="772"/>
      <c r="CW15" s="772"/>
      <c r="CX15" s="772"/>
      <c r="CY15" s="772"/>
      <c r="CZ15" s="772"/>
      <c r="DA15" s="772"/>
      <c r="DB15" s="772"/>
      <c r="DC15" s="772"/>
      <c r="DD15" s="772"/>
      <c r="DE15" s="772"/>
      <c r="DF15" s="772"/>
      <c r="DG15" s="772"/>
      <c r="DH15" s="772"/>
      <c r="DI15" s="772"/>
      <c r="DJ15" s="772"/>
      <c r="DK15" s="772"/>
      <c r="DL15" s="772"/>
      <c r="DM15" s="772"/>
      <c r="DN15" s="772"/>
      <c r="DO15" s="772"/>
      <c r="DP15" s="772"/>
      <c r="DQ15" s="772"/>
      <c r="DR15" s="772"/>
      <c r="DS15" s="772"/>
      <c r="DT15" s="772"/>
      <c r="DU15" s="772"/>
      <c r="DV15" s="772"/>
      <c r="DW15" s="772"/>
      <c r="DX15" s="772"/>
      <c r="DY15" s="772"/>
      <c r="DZ15" s="772"/>
      <c r="EA15" s="772"/>
      <c r="EB15" s="772"/>
      <c r="EC15" s="772"/>
      <c r="ED15" s="772"/>
      <c r="EE15" s="772"/>
      <c r="EF15" s="772"/>
      <c r="EG15" s="772"/>
      <c r="EH15" s="772"/>
      <c r="EI15" s="772"/>
      <c r="EJ15" s="772"/>
      <c r="EK15" s="772"/>
      <c r="EL15" s="772"/>
      <c r="EM15" s="772"/>
      <c r="EN15" s="772"/>
      <c r="EO15" s="772"/>
      <c r="EP15" s="772"/>
      <c r="EQ15" s="772"/>
      <c r="ER15" s="772"/>
      <c r="ES15" s="772"/>
      <c r="ET15" s="772"/>
      <c r="EU15" s="772"/>
      <c r="EV15" s="772"/>
      <c r="EW15" s="772"/>
      <c r="EX15" s="772"/>
      <c r="EY15" s="772"/>
      <c r="EZ15" s="772"/>
      <c r="FA15" s="772"/>
      <c r="FB15" s="772"/>
      <c r="FC15" s="772"/>
      <c r="FD15" s="772"/>
      <c r="FE15" s="772"/>
      <c r="FF15" s="772"/>
      <c r="FG15" s="772"/>
      <c r="FH15" s="772"/>
      <c r="FI15" s="772"/>
      <c r="FJ15" s="772"/>
      <c r="FK15" s="772"/>
      <c r="FL15" s="772"/>
      <c r="FM15" s="772"/>
      <c r="FN15" s="772"/>
      <c r="FO15" s="772"/>
      <c r="FP15" s="772"/>
      <c r="FQ15" s="772"/>
      <c r="FR15" s="772"/>
      <c r="FS15" s="772"/>
      <c r="FT15" s="772"/>
      <c r="FU15" s="772"/>
      <c r="FV15" s="772"/>
      <c r="FW15" s="772"/>
      <c r="FX15" s="772"/>
      <c r="FY15" s="772"/>
      <c r="FZ15" s="772"/>
      <c r="GA15" s="772"/>
      <c r="GB15" s="772"/>
      <c r="GC15" s="772"/>
      <c r="GD15" s="772"/>
      <c r="GE15" s="772"/>
      <c r="GF15" s="772"/>
      <c r="GG15" s="772"/>
      <c r="GH15" s="772"/>
      <c r="GI15" s="772"/>
      <c r="GJ15" s="772"/>
      <c r="GK15" s="772"/>
      <c r="GL15" s="772"/>
      <c r="GM15" s="772"/>
      <c r="GN15" s="772"/>
      <c r="GO15" s="772"/>
      <c r="GP15" s="772"/>
      <c r="GQ15" s="772"/>
      <c r="GR15" s="772"/>
      <c r="GS15" s="772"/>
      <c r="GT15" s="772"/>
      <c r="GU15" s="772"/>
      <c r="GV15" s="772"/>
      <c r="GW15" s="772"/>
      <c r="GX15" s="772"/>
      <c r="GY15" s="772"/>
      <c r="GZ15" s="772"/>
      <c r="HA15" s="772"/>
      <c r="HB15" s="772"/>
      <c r="HC15" s="772"/>
      <c r="HD15" s="772"/>
      <c r="HE15" s="772"/>
      <c r="HF15" s="772"/>
      <c r="HG15" s="772"/>
      <c r="HH15" s="772"/>
      <c r="HI15" s="772"/>
      <c r="HJ15" s="772"/>
      <c r="HK15" s="772"/>
      <c r="HL15" s="772"/>
      <c r="HM15" s="772"/>
      <c r="HN15" s="772"/>
      <c r="HO15" s="772"/>
      <c r="HP15" s="772"/>
      <c r="HQ15" s="772"/>
      <c r="HR15" s="772"/>
      <c r="HS15" s="772"/>
      <c r="HT15" s="772"/>
      <c r="HU15" s="772"/>
      <c r="HV15" s="772"/>
      <c r="HW15" s="772"/>
      <c r="HX15" s="772"/>
      <c r="HY15" s="772"/>
      <c r="HZ15" s="772"/>
      <c r="IA15" s="772"/>
      <c r="IB15" s="772"/>
      <c r="IC15" s="772"/>
      <c r="ID15" s="772"/>
      <c r="IE15" s="772"/>
      <c r="IF15" s="772"/>
      <c r="IG15" s="772"/>
      <c r="IH15" s="772"/>
      <c r="II15" s="772"/>
      <c r="IJ15" s="772"/>
      <c r="IK15" s="772"/>
    </row>
    <row r="16" spans="1:245" s="765" customFormat="1" ht="20.100000000000001" customHeight="1" x14ac:dyDescent="0.25">
      <c r="A16" s="772"/>
      <c r="B16" s="1616">
        <v>9</v>
      </c>
      <c r="C16" s="1622">
        <f t="shared" si="1"/>
        <v>0</v>
      </c>
      <c r="D16" s="768">
        <f t="shared" si="0"/>
        <v>0</v>
      </c>
      <c r="E16" s="769">
        <f t="shared" si="0"/>
        <v>0</v>
      </c>
      <c r="F16" s="1622">
        <f t="shared" si="0"/>
        <v>0</v>
      </c>
      <c r="G16" s="1652"/>
      <c r="H16" s="772"/>
      <c r="I16" s="1616">
        <v>9</v>
      </c>
      <c r="J16" s="1621">
        <f t="shared" si="2"/>
        <v>0</v>
      </c>
      <c r="K16" s="767">
        <f>IF(L6="mensuel",SUM(K121:K132),IF(L6="trimestriel",SUM(K57:K60),IF(L6="semestriel",SUM(K41:K42),IF(L6="annuel",K33,0))))</f>
        <v>0</v>
      </c>
      <c r="L16" s="766">
        <f>IF(L6="mensuel",SUM(L121:L132),IF(L6="trimestriel",SUM(L57:L60),IF(L6="semestriel",SUM(L41:L42),IF(L6="annuel",L33,0))))</f>
        <v>0</v>
      </c>
      <c r="M16" s="1622">
        <f t="shared" si="7"/>
        <v>0</v>
      </c>
      <c r="N16" s="1636"/>
      <c r="O16" s="1616">
        <v>9</v>
      </c>
      <c r="P16" s="1621">
        <f t="shared" si="12"/>
        <v>0</v>
      </c>
      <c r="Q16" s="767">
        <f>IF(R6="mensuel",SUM(Q121:Q132),IF(R6="trimestriel",SUM(Q57:Q60),IF(R6="semestriel",SUM(Q41:Q42),IF(R6="annuel",Q33,0))))</f>
        <v>0</v>
      </c>
      <c r="R16" s="766">
        <f>IF(R6="mensuel",SUM(R121:R132),IF(R6="trimestriel",SUM(R57:R60),IF(R6="semestriel",SUM(R41:R42),IF(R6="annuel",R33,0))))</f>
        <v>0</v>
      </c>
      <c r="S16" s="1622">
        <f t="shared" si="8"/>
        <v>0</v>
      </c>
      <c r="T16" s="1636"/>
      <c r="U16" s="1634">
        <v>9</v>
      </c>
      <c r="V16" s="1621">
        <f t="shared" si="13"/>
        <v>0</v>
      </c>
      <c r="W16" s="767">
        <f>IF(X6="mensuel",SUM(W121:W132),IF(X6="trimestriel",SUM(W57:W60),IF(X6="semestriel",SUM(W41:W42),IF(X6="annuel",W33,0))))</f>
        <v>0</v>
      </c>
      <c r="X16" s="766">
        <f>IF(X6="mensuel",SUM(X121:X132),IF(X6="trimestriel",SUM(X57:X60),IF(X6="semestriel",SUM(X41:X42),IF(X6="annuel",X33,0))))</f>
        <v>0</v>
      </c>
      <c r="Y16" s="1622">
        <f t="shared" si="9"/>
        <v>0</v>
      </c>
      <c r="Z16" s="772"/>
      <c r="AA16" s="1616">
        <v>9</v>
      </c>
      <c r="AB16" s="1621">
        <f t="shared" si="14"/>
        <v>0</v>
      </c>
      <c r="AC16" s="767">
        <f>IF(AD6="mensuel",SUM(AC121:AC132),IF(AD6="trimestriel",SUM(AC57:AC60),IF(AD6="semestriel",SUM(AC41:AC42),IF(AD6="annuel",AC33,0))))</f>
        <v>0</v>
      </c>
      <c r="AD16" s="766">
        <f>IF(AD6="mensuel",SUM(AD121:AD132),IF(AD6="trimestriel",SUM(AD57:AD60),IF(AD6="semestriel",SUM(AD41:AD42),IF(AD6="annuel",AD33,0))))</f>
        <v>0</v>
      </c>
      <c r="AE16" s="1622">
        <f t="shared" si="10"/>
        <v>0</v>
      </c>
      <c r="AF16" s="772"/>
      <c r="AG16" s="1616">
        <v>9</v>
      </c>
      <c r="AH16" s="1621">
        <f t="shared" si="15"/>
        <v>0</v>
      </c>
      <c r="AI16" s="767">
        <f>IF(AJ6="mensuel",SUM(AI121:AI132),IF(AJ6="trimestriel",SUM(AI57:AI60),IF(AJ6="semestriel",SUM(AI41:AI42),IF(AJ6="annuel",AI33,0))))</f>
        <v>0</v>
      </c>
      <c r="AJ16" s="766">
        <f>IF(AJ6="mensuel",SUM(AJ121:AJ132),IF(AJ6="trimestriel",SUM(AJ57:AJ60),IF(AJ6="semestriel",SUM(AJ41:AJ42),IF(AJ6="annuel",AJ33,0))))</f>
        <v>0</v>
      </c>
      <c r="AK16" s="1622">
        <f t="shared" si="11"/>
        <v>0</v>
      </c>
      <c r="AL16" s="772"/>
      <c r="AM16" s="772"/>
      <c r="AN16" s="772"/>
      <c r="AO16" s="772"/>
      <c r="AP16" s="772"/>
      <c r="AQ16" s="772"/>
      <c r="AR16" s="772"/>
      <c r="AS16" s="772"/>
      <c r="AT16" s="772"/>
      <c r="AU16" s="772"/>
      <c r="AV16" s="772"/>
      <c r="AW16" s="772"/>
      <c r="AX16" s="772"/>
      <c r="AY16" s="772"/>
      <c r="AZ16" s="772"/>
      <c r="BA16" s="772"/>
      <c r="BB16" s="772"/>
      <c r="BC16" s="772"/>
      <c r="BD16" s="772"/>
      <c r="BE16" s="772"/>
      <c r="BF16" s="772"/>
      <c r="BG16" s="772"/>
      <c r="BH16" s="772"/>
      <c r="BI16" s="772"/>
      <c r="BJ16" s="772"/>
      <c r="BK16" s="772"/>
      <c r="BL16" s="772"/>
      <c r="BM16" s="772"/>
      <c r="BN16" s="772"/>
      <c r="BO16" s="772"/>
      <c r="BP16" s="772"/>
      <c r="BQ16" s="772"/>
      <c r="BR16" s="772"/>
      <c r="BS16" s="772"/>
      <c r="BT16" s="772"/>
      <c r="BU16" s="772"/>
      <c r="BV16" s="772"/>
      <c r="BW16" s="772"/>
      <c r="BX16" s="772"/>
      <c r="BY16" s="772"/>
      <c r="BZ16" s="772"/>
      <c r="CA16" s="772"/>
      <c r="CB16" s="772"/>
      <c r="CC16" s="772"/>
      <c r="CD16" s="772"/>
      <c r="CE16" s="772"/>
      <c r="CF16" s="772"/>
      <c r="CG16" s="772"/>
      <c r="CH16" s="772"/>
      <c r="CI16" s="772"/>
      <c r="CJ16" s="772"/>
      <c r="CK16" s="772"/>
      <c r="CL16" s="772"/>
      <c r="CM16" s="772"/>
      <c r="CN16" s="772"/>
      <c r="CO16" s="772"/>
      <c r="CP16" s="772"/>
      <c r="CQ16" s="772"/>
      <c r="CR16" s="772"/>
      <c r="CS16" s="772"/>
      <c r="CT16" s="772"/>
      <c r="CU16" s="772"/>
      <c r="CV16" s="772"/>
      <c r="CW16" s="772"/>
      <c r="CX16" s="772"/>
      <c r="CY16" s="772"/>
      <c r="CZ16" s="772"/>
      <c r="DA16" s="772"/>
      <c r="DB16" s="772"/>
      <c r="DC16" s="772"/>
      <c r="DD16" s="772"/>
      <c r="DE16" s="772"/>
      <c r="DF16" s="772"/>
      <c r="DG16" s="772"/>
      <c r="DH16" s="772"/>
      <c r="DI16" s="772"/>
      <c r="DJ16" s="772"/>
      <c r="DK16" s="772"/>
      <c r="DL16" s="772"/>
      <c r="DM16" s="772"/>
      <c r="DN16" s="772"/>
      <c r="DO16" s="772"/>
      <c r="DP16" s="772"/>
      <c r="DQ16" s="772"/>
      <c r="DR16" s="772"/>
      <c r="DS16" s="772"/>
      <c r="DT16" s="772"/>
      <c r="DU16" s="772"/>
      <c r="DV16" s="772"/>
      <c r="DW16" s="772"/>
      <c r="DX16" s="772"/>
      <c r="DY16" s="772"/>
      <c r="DZ16" s="772"/>
      <c r="EA16" s="772"/>
      <c r="EB16" s="772"/>
      <c r="EC16" s="772"/>
      <c r="ED16" s="772"/>
      <c r="EE16" s="772"/>
      <c r="EF16" s="772"/>
      <c r="EG16" s="772"/>
      <c r="EH16" s="772"/>
      <c r="EI16" s="772"/>
      <c r="EJ16" s="772"/>
      <c r="EK16" s="772"/>
      <c r="EL16" s="772"/>
      <c r="EM16" s="772"/>
      <c r="EN16" s="772"/>
      <c r="EO16" s="772"/>
      <c r="EP16" s="772"/>
      <c r="EQ16" s="772"/>
      <c r="ER16" s="772"/>
      <c r="ES16" s="772"/>
      <c r="ET16" s="772"/>
      <c r="EU16" s="772"/>
      <c r="EV16" s="772"/>
      <c r="EW16" s="772"/>
      <c r="EX16" s="772"/>
      <c r="EY16" s="772"/>
      <c r="EZ16" s="772"/>
      <c r="FA16" s="772"/>
      <c r="FB16" s="772"/>
      <c r="FC16" s="772"/>
      <c r="FD16" s="772"/>
      <c r="FE16" s="772"/>
      <c r="FF16" s="772"/>
      <c r="FG16" s="772"/>
      <c r="FH16" s="772"/>
      <c r="FI16" s="772"/>
      <c r="FJ16" s="772"/>
      <c r="FK16" s="772"/>
      <c r="FL16" s="772"/>
      <c r="FM16" s="772"/>
      <c r="FN16" s="772"/>
      <c r="FO16" s="772"/>
      <c r="FP16" s="772"/>
      <c r="FQ16" s="772"/>
      <c r="FR16" s="772"/>
      <c r="FS16" s="772"/>
      <c r="FT16" s="772"/>
      <c r="FU16" s="772"/>
      <c r="FV16" s="772"/>
      <c r="FW16" s="772"/>
      <c r="FX16" s="772"/>
      <c r="FY16" s="772"/>
      <c r="FZ16" s="772"/>
      <c r="GA16" s="772"/>
      <c r="GB16" s="772"/>
      <c r="GC16" s="772"/>
      <c r="GD16" s="772"/>
      <c r="GE16" s="772"/>
      <c r="GF16" s="772"/>
      <c r="GG16" s="772"/>
      <c r="GH16" s="772"/>
      <c r="GI16" s="772"/>
      <c r="GJ16" s="772"/>
      <c r="GK16" s="772"/>
      <c r="GL16" s="772"/>
      <c r="GM16" s="772"/>
      <c r="GN16" s="772"/>
      <c r="GO16" s="772"/>
      <c r="GP16" s="772"/>
      <c r="GQ16" s="772"/>
      <c r="GR16" s="772"/>
      <c r="GS16" s="772"/>
      <c r="GT16" s="772"/>
      <c r="GU16" s="772"/>
      <c r="GV16" s="772"/>
      <c r="GW16" s="772"/>
      <c r="GX16" s="772"/>
      <c r="GY16" s="772"/>
      <c r="GZ16" s="772"/>
      <c r="HA16" s="772"/>
      <c r="HB16" s="772"/>
      <c r="HC16" s="772"/>
      <c r="HD16" s="772"/>
      <c r="HE16" s="772"/>
      <c r="HF16" s="772"/>
      <c r="HG16" s="772"/>
      <c r="HH16" s="772"/>
      <c r="HI16" s="772"/>
      <c r="HJ16" s="772"/>
      <c r="HK16" s="772"/>
      <c r="HL16" s="772"/>
      <c r="HM16" s="772"/>
      <c r="HN16" s="772"/>
      <c r="HO16" s="772"/>
      <c r="HP16" s="772"/>
      <c r="HQ16" s="772"/>
      <c r="HR16" s="772"/>
      <c r="HS16" s="772"/>
      <c r="HT16" s="772"/>
      <c r="HU16" s="772"/>
      <c r="HV16" s="772"/>
      <c r="HW16" s="772"/>
      <c r="HX16" s="772"/>
      <c r="HY16" s="772"/>
      <c r="HZ16" s="772"/>
      <c r="IA16" s="772"/>
      <c r="IB16" s="772"/>
      <c r="IC16" s="772"/>
      <c r="ID16" s="772"/>
      <c r="IE16" s="772"/>
      <c r="IF16" s="772"/>
      <c r="IG16" s="772"/>
      <c r="IH16" s="772"/>
      <c r="II16" s="772"/>
      <c r="IJ16" s="772"/>
      <c r="IK16" s="772"/>
    </row>
    <row r="17" spans="1:245" s="765" customFormat="1" ht="20.100000000000001" customHeight="1" x14ac:dyDescent="0.25">
      <c r="A17" s="772"/>
      <c r="B17" s="1616">
        <v>10</v>
      </c>
      <c r="C17" s="1622">
        <f t="shared" si="1"/>
        <v>0</v>
      </c>
      <c r="D17" s="768">
        <f t="shared" si="0"/>
        <v>0</v>
      </c>
      <c r="E17" s="769">
        <f t="shared" si="0"/>
        <v>0</v>
      </c>
      <c r="F17" s="1622">
        <f t="shared" si="0"/>
        <v>0</v>
      </c>
      <c r="G17" s="1652"/>
      <c r="H17" s="772"/>
      <c r="I17" s="1616">
        <v>10</v>
      </c>
      <c r="J17" s="1621">
        <f t="shared" si="2"/>
        <v>0</v>
      </c>
      <c r="K17" s="767">
        <f>IF(L6="mensuel",SUM(K133:K144),IF(L6="trimestriel",SUM(K61:K64),IF(L6="semestriel",SUM(K43:K44),IF(L6="annuel",K34,0))))</f>
        <v>0</v>
      </c>
      <c r="L17" s="766">
        <f>IF(L6="mensuel",SUM(L133:L144),IF(L6="trimestriel",SUM(L61:L64),IF(L6="semestriel",SUM(L43:L44),IF(L6="annuel",L34,0))))</f>
        <v>0</v>
      </c>
      <c r="M17" s="1622">
        <f t="shared" si="7"/>
        <v>0</v>
      </c>
      <c r="N17" s="1636"/>
      <c r="O17" s="1616">
        <v>10</v>
      </c>
      <c r="P17" s="1621">
        <f t="shared" si="12"/>
        <v>0</v>
      </c>
      <c r="Q17" s="767">
        <f>IF(R6="mensuel",SUM(Q133:Q144),IF(R6="trimestriel",SUM(Q61:Q64),IF(R6="semestriel",SUM(Q43:Q44),IF(R6="annuel",Q34,0))))</f>
        <v>0</v>
      </c>
      <c r="R17" s="766">
        <f>IF(R6="mensuel",SUM(R133:R144),IF(R6="trimestriel",SUM(R61:R64),IF(R6="semestriel",SUM(R43:R44),IF(R6="annuel",R34,0))))</f>
        <v>0</v>
      </c>
      <c r="S17" s="1622">
        <f t="shared" si="8"/>
        <v>0</v>
      </c>
      <c r="T17" s="1636"/>
      <c r="U17" s="1634">
        <v>10</v>
      </c>
      <c r="V17" s="1621">
        <f t="shared" si="13"/>
        <v>0</v>
      </c>
      <c r="W17" s="767">
        <f>IF(X6="mensuel",SUM(W133:W144),IF(X6="trimestriel",SUM(W61:W64),IF(X6="semestriel",SUM(W43:W44),IF(X6="annuel",W34,0))))</f>
        <v>0</v>
      </c>
      <c r="X17" s="766">
        <f>IF(X6="mensuel",SUM(X133:X144),IF(X6="trimestriel",SUM(X61:X64),IF(X6="semestriel",SUM(X43:X44),IF(X6="annuel",X34,0))))</f>
        <v>0</v>
      </c>
      <c r="Y17" s="1622">
        <f t="shared" si="9"/>
        <v>0</v>
      </c>
      <c r="Z17" s="772"/>
      <c r="AA17" s="1616">
        <v>10</v>
      </c>
      <c r="AB17" s="1621">
        <f t="shared" si="14"/>
        <v>0</v>
      </c>
      <c r="AC17" s="767">
        <f>IF(AD6="mensuel",SUM(AC133:AC144),IF(AD6="trimestriel",SUM(AC61:AC64),IF(AD6="semestriel",SUM(AC43:AC44),IF(AD6="annuel",AC34,0))))</f>
        <v>0</v>
      </c>
      <c r="AD17" s="766">
        <f>IF(AD6="mensuel",SUM(AD133:AD144),IF(AD6="trimestriel",SUM(AD61:AD64),IF(AD6="semestriel",SUM(AD43:AD44),IF(AD6="annuel",AD34,0))))</f>
        <v>0</v>
      </c>
      <c r="AE17" s="1622">
        <f t="shared" si="10"/>
        <v>0</v>
      </c>
      <c r="AF17" s="772"/>
      <c r="AG17" s="1616">
        <v>10</v>
      </c>
      <c r="AH17" s="1621">
        <f t="shared" si="15"/>
        <v>0</v>
      </c>
      <c r="AI17" s="767">
        <f>IF(AJ6="mensuel",SUM(AI133:AI144),IF(AJ6="trimestriel",SUM(AI61:AI64),IF(AJ6="semestriel",SUM(AI43:AI44),IF(AJ6="annuel",AI34,0))))</f>
        <v>0</v>
      </c>
      <c r="AJ17" s="766">
        <f>IF(AJ6="mensuel",SUM(AJ133:AJ144),IF(AJ6="trimestriel",SUM(AJ61:AJ64),IF(AJ6="semestriel",SUM(AJ43:AJ44),IF(AJ6="annuel",AJ34,0))))</f>
        <v>0</v>
      </c>
      <c r="AK17" s="1622">
        <f t="shared" si="11"/>
        <v>0</v>
      </c>
      <c r="AL17" s="772"/>
      <c r="AM17" s="772"/>
      <c r="AN17" s="772"/>
      <c r="AO17" s="772"/>
      <c r="AP17" s="772"/>
      <c r="AQ17" s="772"/>
      <c r="AR17" s="772"/>
      <c r="AS17" s="772"/>
      <c r="AT17" s="772"/>
      <c r="AU17" s="772"/>
      <c r="AV17" s="772"/>
      <c r="AW17" s="772"/>
      <c r="AX17" s="772"/>
      <c r="AY17" s="772"/>
      <c r="AZ17" s="772"/>
      <c r="BA17" s="772"/>
      <c r="BB17" s="772"/>
      <c r="BC17" s="772"/>
      <c r="BD17" s="772"/>
      <c r="BE17" s="772"/>
      <c r="BF17" s="772"/>
      <c r="BG17" s="772"/>
      <c r="BH17" s="772"/>
      <c r="BI17" s="772"/>
      <c r="BJ17" s="772"/>
      <c r="BK17" s="772"/>
      <c r="BL17" s="772"/>
      <c r="BM17" s="772"/>
      <c r="BN17" s="772"/>
      <c r="BO17" s="772"/>
      <c r="BP17" s="772"/>
      <c r="BQ17" s="772"/>
      <c r="BR17" s="772"/>
      <c r="BS17" s="772"/>
      <c r="BT17" s="772"/>
      <c r="BU17" s="772"/>
      <c r="BV17" s="772"/>
      <c r="BW17" s="772"/>
      <c r="BX17" s="772"/>
      <c r="BY17" s="772"/>
      <c r="BZ17" s="772"/>
      <c r="CA17" s="772"/>
      <c r="CB17" s="772"/>
      <c r="CC17" s="772"/>
      <c r="CD17" s="772"/>
      <c r="CE17" s="772"/>
      <c r="CF17" s="772"/>
      <c r="CG17" s="772"/>
      <c r="CH17" s="772"/>
      <c r="CI17" s="772"/>
      <c r="CJ17" s="772"/>
      <c r="CK17" s="772"/>
      <c r="CL17" s="772"/>
      <c r="CM17" s="772"/>
      <c r="CN17" s="772"/>
      <c r="CO17" s="772"/>
      <c r="CP17" s="772"/>
      <c r="CQ17" s="772"/>
      <c r="CR17" s="772"/>
      <c r="CS17" s="772"/>
      <c r="CT17" s="772"/>
      <c r="CU17" s="772"/>
      <c r="CV17" s="772"/>
      <c r="CW17" s="772"/>
      <c r="CX17" s="772"/>
      <c r="CY17" s="772"/>
      <c r="CZ17" s="772"/>
      <c r="DA17" s="772"/>
      <c r="DB17" s="772"/>
      <c r="DC17" s="772"/>
      <c r="DD17" s="772"/>
      <c r="DE17" s="772"/>
      <c r="DF17" s="772"/>
      <c r="DG17" s="772"/>
      <c r="DH17" s="772"/>
      <c r="DI17" s="772"/>
      <c r="DJ17" s="772"/>
      <c r="DK17" s="772"/>
      <c r="DL17" s="772"/>
      <c r="DM17" s="772"/>
      <c r="DN17" s="772"/>
      <c r="DO17" s="772"/>
      <c r="DP17" s="772"/>
      <c r="DQ17" s="772"/>
      <c r="DR17" s="772"/>
      <c r="DS17" s="772"/>
      <c r="DT17" s="772"/>
      <c r="DU17" s="772"/>
      <c r="DV17" s="772"/>
      <c r="DW17" s="772"/>
      <c r="DX17" s="772"/>
      <c r="DY17" s="772"/>
      <c r="DZ17" s="772"/>
      <c r="EA17" s="772"/>
      <c r="EB17" s="772"/>
      <c r="EC17" s="772"/>
      <c r="ED17" s="772"/>
      <c r="EE17" s="772"/>
      <c r="EF17" s="772"/>
      <c r="EG17" s="772"/>
      <c r="EH17" s="772"/>
      <c r="EI17" s="772"/>
      <c r="EJ17" s="772"/>
      <c r="EK17" s="772"/>
      <c r="EL17" s="772"/>
      <c r="EM17" s="772"/>
      <c r="EN17" s="772"/>
      <c r="EO17" s="772"/>
      <c r="EP17" s="772"/>
      <c r="EQ17" s="772"/>
      <c r="ER17" s="772"/>
      <c r="ES17" s="772"/>
      <c r="ET17" s="772"/>
      <c r="EU17" s="772"/>
      <c r="EV17" s="772"/>
      <c r="EW17" s="772"/>
      <c r="EX17" s="772"/>
      <c r="EY17" s="772"/>
      <c r="EZ17" s="772"/>
      <c r="FA17" s="772"/>
      <c r="FB17" s="772"/>
      <c r="FC17" s="772"/>
      <c r="FD17" s="772"/>
      <c r="FE17" s="772"/>
      <c r="FF17" s="772"/>
      <c r="FG17" s="772"/>
      <c r="FH17" s="772"/>
      <c r="FI17" s="772"/>
      <c r="FJ17" s="772"/>
      <c r="FK17" s="772"/>
      <c r="FL17" s="772"/>
      <c r="FM17" s="772"/>
      <c r="FN17" s="772"/>
      <c r="FO17" s="772"/>
      <c r="FP17" s="772"/>
      <c r="FQ17" s="772"/>
      <c r="FR17" s="772"/>
      <c r="FS17" s="772"/>
      <c r="FT17" s="772"/>
      <c r="FU17" s="772"/>
      <c r="FV17" s="772"/>
      <c r="FW17" s="772"/>
      <c r="FX17" s="772"/>
      <c r="FY17" s="772"/>
      <c r="FZ17" s="772"/>
      <c r="GA17" s="772"/>
      <c r="GB17" s="772"/>
      <c r="GC17" s="772"/>
      <c r="GD17" s="772"/>
      <c r="GE17" s="772"/>
      <c r="GF17" s="772"/>
      <c r="GG17" s="772"/>
      <c r="GH17" s="772"/>
      <c r="GI17" s="772"/>
      <c r="GJ17" s="772"/>
      <c r="GK17" s="772"/>
      <c r="GL17" s="772"/>
      <c r="GM17" s="772"/>
      <c r="GN17" s="772"/>
      <c r="GO17" s="772"/>
      <c r="GP17" s="772"/>
      <c r="GQ17" s="772"/>
      <c r="GR17" s="772"/>
      <c r="GS17" s="772"/>
      <c r="GT17" s="772"/>
      <c r="GU17" s="772"/>
      <c r="GV17" s="772"/>
      <c r="GW17" s="772"/>
      <c r="GX17" s="772"/>
      <c r="GY17" s="772"/>
      <c r="GZ17" s="772"/>
      <c r="HA17" s="772"/>
      <c r="HB17" s="772"/>
      <c r="HC17" s="772"/>
      <c r="HD17" s="772"/>
      <c r="HE17" s="772"/>
      <c r="HF17" s="772"/>
      <c r="HG17" s="772"/>
      <c r="HH17" s="772"/>
      <c r="HI17" s="772"/>
      <c r="HJ17" s="772"/>
      <c r="HK17" s="772"/>
      <c r="HL17" s="772"/>
      <c r="HM17" s="772"/>
      <c r="HN17" s="772"/>
      <c r="HO17" s="772"/>
      <c r="HP17" s="772"/>
      <c r="HQ17" s="772"/>
      <c r="HR17" s="772"/>
      <c r="HS17" s="772"/>
      <c r="HT17" s="772"/>
      <c r="HU17" s="772"/>
      <c r="HV17" s="772"/>
      <c r="HW17" s="772"/>
      <c r="HX17" s="772"/>
      <c r="HY17" s="772"/>
      <c r="HZ17" s="772"/>
      <c r="IA17" s="772"/>
      <c r="IB17" s="772"/>
      <c r="IC17" s="772"/>
      <c r="ID17" s="772"/>
      <c r="IE17" s="772"/>
      <c r="IF17" s="772"/>
      <c r="IG17" s="772"/>
      <c r="IH17" s="772"/>
      <c r="II17" s="772"/>
      <c r="IJ17" s="772"/>
      <c r="IK17" s="772"/>
    </row>
    <row r="18" spans="1:245" s="765" customFormat="1" ht="20.100000000000001" customHeight="1" x14ac:dyDescent="0.25">
      <c r="A18" s="772"/>
      <c r="B18" s="1616">
        <v>11</v>
      </c>
      <c r="C18" s="1622">
        <f t="shared" si="1"/>
        <v>0</v>
      </c>
      <c r="D18" s="768">
        <f t="shared" si="0"/>
        <v>0</v>
      </c>
      <c r="E18" s="769">
        <f t="shared" si="0"/>
        <v>0</v>
      </c>
      <c r="F18" s="1622">
        <f t="shared" si="0"/>
        <v>0</v>
      </c>
      <c r="G18" s="1652"/>
      <c r="H18" s="772"/>
      <c r="I18" s="1616">
        <v>11</v>
      </c>
      <c r="J18" s="1621">
        <f t="shared" si="2"/>
        <v>0</v>
      </c>
      <c r="K18" s="767">
        <f>IF(L6="mensuel",SUM(K145:K156),IF(L6="trimestriel",SUM(K65:K68),IF(L6="semestriel",SUM(K45:K46),IF(L6="annuel",K35,0))))</f>
        <v>0</v>
      </c>
      <c r="L18" s="766">
        <f>IF(L6="mensuel",SUM(L145:L156),IF(L6="trimestriel",SUM(L65:L68),IF(L6="semestriel",SUM(L45:L46),IF(L6="annuel",L35,0))))</f>
        <v>0</v>
      </c>
      <c r="M18" s="1622">
        <f t="shared" si="7"/>
        <v>0</v>
      </c>
      <c r="N18" s="1636"/>
      <c r="O18" s="1616">
        <v>11</v>
      </c>
      <c r="P18" s="1621">
        <f t="shared" si="12"/>
        <v>0</v>
      </c>
      <c r="Q18" s="767">
        <f>IF(R6="mensuel",SUM(Q145:Q156),IF(R6="trimestriel",SUM(Q65:Q68),IF(R6="semestriel",SUM(Q45:Q46),IF(R6="annuel",Q35,0))))</f>
        <v>0</v>
      </c>
      <c r="R18" s="766">
        <f>IF(R6="mensuel",SUM(R145:R156),IF(R6="trimestriel",SUM(R65:R68),IF(R6="semestriel",SUM(R45:R46),IF(R6="annuel",R35,0))))</f>
        <v>0</v>
      </c>
      <c r="S18" s="1622">
        <f t="shared" si="8"/>
        <v>0</v>
      </c>
      <c r="T18" s="1636"/>
      <c r="U18" s="1634">
        <v>11</v>
      </c>
      <c r="V18" s="1621">
        <f t="shared" si="13"/>
        <v>0</v>
      </c>
      <c r="W18" s="767">
        <f>IF(X6="mensuel",SUM(W145:W156),IF(X6="trimestriel",SUM(W65:W68),IF(X6="semestriel",SUM(W45:W46),IF(X6="annuel",W35,0))))</f>
        <v>0</v>
      </c>
      <c r="X18" s="766">
        <f>IF(X6="mensuel",SUM(X145:X156),IF(X6="trimestriel",SUM(X65:X68),IF(X6="semestriel",SUM(X45:X46),IF(X6="annuel",X35,0))))</f>
        <v>0</v>
      </c>
      <c r="Y18" s="1622">
        <f t="shared" si="9"/>
        <v>0</v>
      </c>
      <c r="Z18" s="772"/>
      <c r="AA18" s="1616">
        <v>11</v>
      </c>
      <c r="AB18" s="1621">
        <f t="shared" si="14"/>
        <v>0</v>
      </c>
      <c r="AC18" s="767">
        <f>IF(AD6="mensuel",SUM(AC145:AC156),IF(AD6="trimestriel",SUM(AC65:AC68),IF(AD6="semestriel",SUM(AC45:AC46),IF(AD6="annuel",AC35,0))))</f>
        <v>0</v>
      </c>
      <c r="AD18" s="766">
        <f>IF(AD6="mensuel",SUM(AD145:AD156),IF(AD6="trimestriel",SUM(AD65:AD68),IF(AD6="semestriel",SUM(AD45:AD46),IF(AD6="annuel",AD35,0))))</f>
        <v>0</v>
      </c>
      <c r="AE18" s="1622">
        <f t="shared" si="10"/>
        <v>0</v>
      </c>
      <c r="AF18" s="772"/>
      <c r="AG18" s="1616">
        <v>11</v>
      </c>
      <c r="AH18" s="1621">
        <f t="shared" si="15"/>
        <v>0</v>
      </c>
      <c r="AI18" s="767">
        <f>IF(AJ6="mensuel",SUM(AI145:AI156),IF(AJ6="trimestriel",SUM(AI65:AI68),IF(AJ6="semestriel",SUM(AI45:AI46),IF(AJ6="annuel",AI35,0))))</f>
        <v>0</v>
      </c>
      <c r="AJ18" s="766">
        <f>IF(AJ6="mensuel",SUM(AJ145:AJ156),IF(AJ6="trimestriel",SUM(AJ65:AJ68),IF(AJ6="semestriel",SUM(AJ45:AJ46),IF(AJ6="annuel",AJ35,0))))</f>
        <v>0</v>
      </c>
      <c r="AK18" s="1622">
        <f t="shared" si="11"/>
        <v>0</v>
      </c>
      <c r="AL18" s="772"/>
      <c r="AM18" s="772"/>
      <c r="AN18" s="772"/>
      <c r="AO18" s="772"/>
      <c r="AP18" s="772"/>
      <c r="AQ18" s="772"/>
      <c r="AR18" s="772"/>
      <c r="AS18" s="772"/>
      <c r="AT18" s="772"/>
      <c r="AU18" s="772"/>
      <c r="AV18" s="772"/>
      <c r="AW18" s="772"/>
      <c r="AX18" s="772"/>
      <c r="AY18" s="772"/>
      <c r="AZ18" s="772"/>
      <c r="BA18" s="772"/>
      <c r="BB18" s="772"/>
      <c r="BC18" s="772"/>
      <c r="BD18" s="772"/>
      <c r="BE18" s="772"/>
      <c r="BF18" s="772"/>
      <c r="BG18" s="772"/>
      <c r="BH18" s="772"/>
      <c r="BI18" s="772"/>
      <c r="BJ18" s="772"/>
      <c r="BK18" s="772"/>
      <c r="BL18" s="772"/>
      <c r="BM18" s="772"/>
      <c r="BN18" s="772"/>
      <c r="BO18" s="772"/>
      <c r="BP18" s="772"/>
      <c r="BQ18" s="772"/>
      <c r="BR18" s="772"/>
      <c r="BS18" s="772"/>
      <c r="BT18" s="772"/>
      <c r="BU18" s="772"/>
      <c r="BV18" s="772"/>
      <c r="BW18" s="772"/>
      <c r="BX18" s="772"/>
      <c r="BY18" s="772"/>
      <c r="BZ18" s="772"/>
      <c r="CA18" s="772"/>
      <c r="CB18" s="772"/>
      <c r="CC18" s="772"/>
      <c r="CD18" s="772"/>
      <c r="CE18" s="772"/>
      <c r="CF18" s="772"/>
      <c r="CG18" s="772"/>
      <c r="CH18" s="772"/>
      <c r="CI18" s="772"/>
      <c r="CJ18" s="772"/>
      <c r="CK18" s="772"/>
      <c r="CL18" s="772"/>
      <c r="CM18" s="772"/>
      <c r="CN18" s="772"/>
      <c r="CO18" s="772"/>
      <c r="CP18" s="772"/>
      <c r="CQ18" s="772"/>
      <c r="CR18" s="772"/>
      <c r="CS18" s="772"/>
      <c r="CT18" s="772"/>
      <c r="CU18" s="772"/>
      <c r="CV18" s="772"/>
      <c r="CW18" s="772"/>
      <c r="CX18" s="772"/>
      <c r="CY18" s="772"/>
      <c r="CZ18" s="772"/>
      <c r="DA18" s="772"/>
      <c r="DB18" s="772"/>
      <c r="DC18" s="772"/>
      <c r="DD18" s="772"/>
      <c r="DE18" s="772"/>
      <c r="DF18" s="772"/>
      <c r="DG18" s="772"/>
      <c r="DH18" s="772"/>
      <c r="DI18" s="772"/>
      <c r="DJ18" s="772"/>
      <c r="DK18" s="772"/>
      <c r="DL18" s="772"/>
      <c r="DM18" s="772"/>
      <c r="DN18" s="772"/>
      <c r="DO18" s="772"/>
      <c r="DP18" s="772"/>
      <c r="DQ18" s="772"/>
      <c r="DR18" s="772"/>
      <c r="DS18" s="772"/>
      <c r="DT18" s="772"/>
      <c r="DU18" s="772"/>
      <c r="DV18" s="772"/>
      <c r="DW18" s="772"/>
      <c r="DX18" s="772"/>
      <c r="DY18" s="772"/>
      <c r="DZ18" s="772"/>
      <c r="EA18" s="772"/>
      <c r="EB18" s="772"/>
      <c r="EC18" s="772"/>
      <c r="ED18" s="772"/>
      <c r="EE18" s="772"/>
      <c r="EF18" s="772"/>
      <c r="EG18" s="772"/>
      <c r="EH18" s="772"/>
      <c r="EI18" s="772"/>
      <c r="EJ18" s="772"/>
      <c r="EK18" s="772"/>
      <c r="EL18" s="772"/>
      <c r="EM18" s="772"/>
      <c r="EN18" s="772"/>
      <c r="EO18" s="772"/>
      <c r="EP18" s="772"/>
      <c r="EQ18" s="772"/>
      <c r="ER18" s="772"/>
      <c r="ES18" s="772"/>
      <c r="ET18" s="772"/>
      <c r="EU18" s="772"/>
      <c r="EV18" s="772"/>
      <c r="EW18" s="772"/>
      <c r="EX18" s="772"/>
      <c r="EY18" s="772"/>
      <c r="EZ18" s="772"/>
      <c r="FA18" s="772"/>
      <c r="FB18" s="772"/>
      <c r="FC18" s="772"/>
      <c r="FD18" s="772"/>
      <c r="FE18" s="772"/>
      <c r="FF18" s="772"/>
      <c r="FG18" s="772"/>
      <c r="FH18" s="772"/>
      <c r="FI18" s="772"/>
      <c r="FJ18" s="772"/>
      <c r="FK18" s="772"/>
      <c r="FL18" s="772"/>
      <c r="FM18" s="772"/>
      <c r="FN18" s="772"/>
      <c r="FO18" s="772"/>
      <c r="FP18" s="772"/>
      <c r="FQ18" s="772"/>
      <c r="FR18" s="772"/>
      <c r="FS18" s="772"/>
      <c r="FT18" s="772"/>
      <c r="FU18" s="772"/>
      <c r="FV18" s="772"/>
      <c r="FW18" s="772"/>
      <c r="FX18" s="772"/>
      <c r="FY18" s="772"/>
      <c r="FZ18" s="772"/>
      <c r="GA18" s="772"/>
      <c r="GB18" s="772"/>
      <c r="GC18" s="772"/>
      <c r="GD18" s="772"/>
      <c r="GE18" s="772"/>
      <c r="GF18" s="772"/>
      <c r="GG18" s="772"/>
      <c r="GH18" s="772"/>
      <c r="GI18" s="772"/>
      <c r="GJ18" s="772"/>
      <c r="GK18" s="772"/>
      <c r="GL18" s="772"/>
      <c r="GM18" s="772"/>
      <c r="GN18" s="772"/>
      <c r="GO18" s="772"/>
      <c r="GP18" s="772"/>
      <c r="GQ18" s="772"/>
      <c r="GR18" s="772"/>
      <c r="GS18" s="772"/>
      <c r="GT18" s="772"/>
      <c r="GU18" s="772"/>
      <c r="GV18" s="772"/>
      <c r="GW18" s="772"/>
      <c r="GX18" s="772"/>
      <c r="GY18" s="772"/>
      <c r="GZ18" s="772"/>
      <c r="HA18" s="772"/>
      <c r="HB18" s="772"/>
      <c r="HC18" s="772"/>
      <c r="HD18" s="772"/>
      <c r="HE18" s="772"/>
      <c r="HF18" s="772"/>
      <c r="HG18" s="772"/>
      <c r="HH18" s="772"/>
      <c r="HI18" s="772"/>
      <c r="HJ18" s="772"/>
      <c r="HK18" s="772"/>
      <c r="HL18" s="772"/>
      <c r="HM18" s="772"/>
      <c r="HN18" s="772"/>
      <c r="HO18" s="772"/>
      <c r="HP18" s="772"/>
      <c r="HQ18" s="772"/>
      <c r="HR18" s="772"/>
      <c r="HS18" s="772"/>
      <c r="HT18" s="772"/>
      <c r="HU18" s="772"/>
      <c r="HV18" s="772"/>
      <c r="HW18" s="772"/>
      <c r="HX18" s="772"/>
      <c r="HY18" s="772"/>
      <c r="HZ18" s="772"/>
      <c r="IA18" s="772"/>
      <c r="IB18" s="772"/>
      <c r="IC18" s="772"/>
      <c r="ID18" s="772"/>
      <c r="IE18" s="772"/>
      <c r="IF18" s="772"/>
      <c r="IG18" s="772"/>
      <c r="IH18" s="772"/>
      <c r="II18" s="772"/>
      <c r="IJ18" s="772"/>
      <c r="IK18" s="772"/>
    </row>
    <row r="19" spans="1:245" s="765" customFormat="1" ht="20.100000000000001" customHeight="1" x14ac:dyDescent="0.25">
      <c r="A19" s="772"/>
      <c r="B19" s="1616">
        <v>12</v>
      </c>
      <c r="C19" s="1622">
        <f t="shared" si="1"/>
        <v>0</v>
      </c>
      <c r="D19" s="768">
        <f t="shared" si="0"/>
        <v>0</v>
      </c>
      <c r="E19" s="769">
        <f t="shared" si="0"/>
        <v>0</v>
      </c>
      <c r="F19" s="1622">
        <f t="shared" si="0"/>
        <v>0</v>
      </c>
      <c r="G19" s="1652"/>
      <c r="H19" s="772"/>
      <c r="I19" s="1616">
        <v>12</v>
      </c>
      <c r="J19" s="1621">
        <f t="shared" si="2"/>
        <v>0</v>
      </c>
      <c r="K19" s="767">
        <f>IF(L6="mensuel",SUM(K157:K168),IF(L6="trimestriel",SUM(K69:K72),IF(L6="semestriel",SUM(K47:K48),IF(L6="annuel",K36,0))))</f>
        <v>0</v>
      </c>
      <c r="L19" s="766">
        <f>IF(L6="mensuel",SUM(L157:L168),IF(L6="trimestriel",SUM(L69:L72),IF(L6="semestriel",SUM(L47:L48),IF(L6="annuel",L36,0))))</f>
        <v>0</v>
      </c>
      <c r="M19" s="1622">
        <f t="shared" si="7"/>
        <v>0</v>
      </c>
      <c r="N19" s="1636"/>
      <c r="O19" s="1616">
        <v>12</v>
      </c>
      <c r="P19" s="1621">
        <f t="shared" si="12"/>
        <v>0</v>
      </c>
      <c r="Q19" s="767">
        <f>IF(R6="mensuel",SUM(Q157:Q168),IF(R6="trimestriel",SUM(Q69:Q72),IF(R6="semestriel",SUM(Q47:Q48),IF(R6="annuel",Q36,0))))</f>
        <v>0</v>
      </c>
      <c r="R19" s="766">
        <f>IF(R6="mensuel",SUM(R157:R168),IF(R6="trimestriel",SUM(R69:R72),IF(R6="semestriel",SUM(R47:R48),IF(R6="annuel",R36,0))))</f>
        <v>0</v>
      </c>
      <c r="S19" s="1622">
        <f t="shared" si="8"/>
        <v>0</v>
      </c>
      <c r="T19" s="1636"/>
      <c r="U19" s="1634">
        <v>12</v>
      </c>
      <c r="V19" s="1621">
        <f t="shared" si="13"/>
        <v>0</v>
      </c>
      <c r="W19" s="767">
        <f>IF(X6="mensuel",SUM(W157:W168),IF(X6="trimestriel",SUM(W69:W72),IF(X6="semestriel",SUM(W47:W48),IF(X6="annuel",W36,0))))</f>
        <v>0</v>
      </c>
      <c r="X19" s="766">
        <f>IF(X6="mensuel",SUM(X157:X168),IF(X6="trimestriel",SUM(X69:X72),IF(X6="semestriel",SUM(X47:X48),IF(X6="annuel",X36,0))))</f>
        <v>0</v>
      </c>
      <c r="Y19" s="1622">
        <f t="shared" si="9"/>
        <v>0</v>
      </c>
      <c r="Z19" s="772"/>
      <c r="AA19" s="1616">
        <v>12</v>
      </c>
      <c r="AB19" s="1621">
        <f t="shared" si="14"/>
        <v>0</v>
      </c>
      <c r="AC19" s="767">
        <f>IF(AD6="mensuel",SUM(AC157:AC168),IF(AD6="trimestriel",SUM(AC69:AC72),IF(AD6="semestriel",SUM(AC47:AC48),IF(AD6="annuel",AC36,0))))</f>
        <v>0</v>
      </c>
      <c r="AD19" s="766">
        <f>IF(AD6="mensuel",SUM(AD157:AD168),IF(AD6="trimestriel",SUM(AD69:AD72),IF(AD6="semestriel",SUM(AD47:AD48),IF(AD6="annuel",AD36,0))))</f>
        <v>0</v>
      </c>
      <c r="AE19" s="1622">
        <f t="shared" si="10"/>
        <v>0</v>
      </c>
      <c r="AF19" s="772"/>
      <c r="AG19" s="1616">
        <v>12</v>
      </c>
      <c r="AH19" s="1621">
        <f t="shared" si="15"/>
        <v>0</v>
      </c>
      <c r="AI19" s="767">
        <f>IF(AJ6="mensuel",SUM(AI157:AI168),IF(AJ6="trimestriel",SUM(AI69:AI72),IF(AJ6="semestriel",SUM(AI47:AI48),IF(AJ6="annuel",AI36,0))))</f>
        <v>0</v>
      </c>
      <c r="AJ19" s="766">
        <f>IF(AJ6="mensuel",SUM(AJ157:AJ168),IF(AJ6="trimestriel",SUM(AJ69:AJ72),IF(AJ6="semestriel",SUM(AJ47:AJ48),IF(AJ6="annuel",AJ36,0))))</f>
        <v>0</v>
      </c>
      <c r="AK19" s="1622">
        <f t="shared" si="11"/>
        <v>0</v>
      </c>
      <c r="AL19" s="772"/>
      <c r="AM19" s="772"/>
      <c r="AN19" s="772"/>
      <c r="AO19" s="772"/>
      <c r="AP19" s="772"/>
      <c r="AQ19" s="772"/>
      <c r="AR19" s="772"/>
      <c r="AS19" s="772"/>
      <c r="AT19" s="772"/>
      <c r="AU19" s="772"/>
      <c r="AV19" s="772"/>
      <c r="AW19" s="772"/>
      <c r="AX19" s="772"/>
      <c r="AY19" s="772"/>
      <c r="AZ19" s="772"/>
      <c r="BA19" s="772"/>
      <c r="BB19" s="772"/>
      <c r="BC19" s="772"/>
      <c r="BD19" s="772"/>
      <c r="BE19" s="772"/>
      <c r="BF19" s="772"/>
      <c r="BG19" s="772"/>
      <c r="BH19" s="772"/>
      <c r="BI19" s="772"/>
      <c r="BJ19" s="772"/>
      <c r="BK19" s="772"/>
      <c r="BL19" s="772"/>
      <c r="BM19" s="772"/>
      <c r="BN19" s="772"/>
      <c r="BO19" s="772"/>
      <c r="BP19" s="772"/>
      <c r="BQ19" s="772"/>
      <c r="BR19" s="772"/>
      <c r="BS19" s="772"/>
      <c r="BT19" s="772"/>
      <c r="BU19" s="772"/>
      <c r="BV19" s="772"/>
      <c r="BW19" s="772"/>
      <c r="BX19" s="772"/>
      <c r="BY19" s="772"/>
      <c r="BZ19" s="772"/>
      <c r="CA19" s="772"/>
      <c r="CB19" s="772"/>
      <c r="CC19" s="772"/>
      <c r="CD19" s="772"/>
      <c r="CE19" s="772"/>
      <c r="CF19" s="772"/>
      <c r="CG19" s="772"/>
      <c r="CH19" s="772"/>
      <c r="CI19" s="772"/>
      <c r="CJ19" s="772"/>
      <c r="CK19" s="772"/>
      <c r="CL19" s="772"/>
      <c r="CM19" s="772"/>
      <c r="CN19" s="772"/>
      <c r="CO19" s="772"/>
      <c r="CP19" s="772"/>
      <c r="CQ19" s="772"/>
      <c r="CR19" s="772"/>
      <c r="CS19" s="772"/>
      <c r="CT19" s="772"/>
      <c r="CU19" s="772"/>
      <c r="CV19" s="772"/>
      <c r="CW19" s="772"/>
      <c r="CX19" s="772"/>
      <c r="CY19" s="772"/>
      <c r="CZ19" s="772"/>
      <c r="DA19" s="772"/>
      <c r="DB19" s="772"/>
      <c r="DC19" s="772"/>
      <c r="DD19" s="772"/>
      <c r="DE19" s="772"/>
      <c r="DF19" s="772"/>
      <c r="DG19" s="772"/>
      <c r="DH19" s="772"/>
      <c r="DI19" s="772"/>
      <c r="DJ19" s="772"/>
      <c r="DK19" s="772"/>
      <c r="DL19" s="772"/>
      <c r="DM19" s="772"/>
      <c r="DN19" s="772"/>
      <c r="DO19" s="772"/>
      <c r="DP19" s="772"/>
      <c r="DQ19" s="772"/>
      <c r="DR19" s="772"/>
      <c r="DS19" s="772"/>
      <c r="DT19" s="772"/>
      <c r="DU19" s="772"/>
      <c r="DV19" s="772"/>
      <c r="DW19" s="772"/>
      <c r="DX19" s="772"/>
      <c r="DY19" s="772"/>
      <c r="DZ19" s="772"/>
      <c r="EA19" s="772"/>
      <c r="EB19" s="772"/>
      <c r="EC19" s="772"/>
      <c r="ED19" s="772"/>
      <c r="EE19" s="772"/>
      <c r="EF19" s="772"/>
      <c r="EG19" s="772"/>
      <c r="EH19" s="772"/>
      <c r="EI19" s="772"/>
      <c r="EJ19" s="772"/>
      <c r="EK19" s="772"/>
      <c r="EL19" s="772"/>
      <c r="EM19" s="772"/>
      <c r="EN19" s="772"/>
      <c r="EO19" s="772"/>
      <c r="EP19" s="772"/>
      <c r="EQ19" s="772"/>
      <c r="ER19" s="772"/>
      <c r="ES19" s="772"/>
      <c r="ET19" s="772"/>
      <c r="EU19" s="772"/>
      <c r="EV19" s="772"/>
      <c r="EW19" s="772"/>
      <c r="EX19" s="772"/>
      <c r="EY19" s="772"/>
      <c r="EZ19" s="772"/>
      <c r="FA19" s="772"/>
      <c r="FB19" s="772"/>
      <c r="FC19" s="772"/>
      <c r="FD19" s="772"/>
      <c r="FE19" s="772"/>
      <c r="FF19" s="772"/>
      <c r="FG19" s="772"/>
      <c r="FH19" s="772"/>
      <c r="FI19" s="772"/>
      <c r="FJ19" s="772"/>
      <c r="FK19" s="772"/>
      <c r="FL19" s="772"/>
      <c r="FM19" s="772"/>
      <c r="FN19" s="772"/>
      <c r="FO19" s="772"/>
      <c r="FP19" s="772"/>
      <c r="FQ19" s="772"/>
      <c r="FR19" s="772"/>
      <c r="FS19" s="772"/>
      <c r="FT19" s="772"/>
      <c r="FU19" s="772"/>
      <c r="FV19" s="772"/>
      <c r="FW19" s="772"/>
      <c r="FX19" s="772"/>
      <c r="FY19" s="772"/>
      <c r="FZ19" s="772"/>
      <c r="GA19" s="772"/>
      <c r="GB19" s="772"/>
      <c r="GC19" s="772"/>
      <c r="GD19" s="772"/>
      <c r="GE19" s="772"/>
      <c r="GF19" s="772"/>
      <c r="GG19" s="772"/>
      <c r="GH19" s="772"/>
      <c r="GI19" s="772"/>
      <c r="GJ19" s="772"/>
      <c r="GK19" s="772"/>
      <c r="GL19" s="772"/>
      <c r="GM19" s="772"/>
      <c r="GN19" s="772"/>
      <c r="GO19" s="772"/>
      <c r="GP19" s="772"/>
      <c r="GQ19" s="772"/>
      <c r="GR19" s="772"/>
      <c r="GS19" s="772"/>
      <c r="GT19" s="772"/>
      <c r="GU19" s="772"/>
      <c r="GV19" s="772"/>
      <c r="GW19" s="772"/>
      <c r="GX19" s="772"/>
      <c r="GY19" s="772"/>
      <c r="GZ19" s="772"/>
      <c r="HA19" s="772"/>
      <c r="HB19" s="772"/>
      <c r="HC19" s="772"/>
      <c r="HD19" s="772"/>
      <c r="HE19" s="772"/>
      <c r="HF19" s="772"/>
      <c r="HG19" s="772"/>
      <c r="HH19" s="772"/>
      <c r="HI19" s="772"/>
      <c r="HJ19" s="772"/>
      <c r="HK19" s="772"/>
      <c r="HL19" s="772"/>
      <c r="HM19" s="772"/>
      <c r="HN19" s="772"/>
      <c r="HO19" s="772"/>
      <c r="HP19" s="772"/>
      <c r="HQ19" s="772"/>
      <c r="HR19" s="772"/>
      <c r="HS19" s="772"/>
      <c r="HT19" s="772"/>
      <c r="HU19" s="772"/>
      <c r="HV19" s="772"/>
      <c r="HW19" s="772"/>
      <c r="HX19" s="772"/>
      <c r="HY19" s="772"/>
      <c r="HZ19" s="772"/>
      <c r="IA19" s="772"/>
      <c r="IB19" s="772"/>
      <c r="IC19" s="772"/>
      <c r="ID19" s="772"/>
      <c r="IE19" s="772"/>
      <c r="IF19" s="772"/>
      <c r="IG19" s="772"/>
      <c r="IH19" s="772"/>
      <c r="II19" s="772"/>
      <c r="IJ19" s="772"/>
      <c r="IK19" s="772"/>
    </row>
    <row r="20" spans="1:245" s="765" customFormat="1" ht="20.100000000000001" customHeight="1" x14ac:dyDescent="0.25">
      <c r="A20" s="772"/>
      <c r="B20" s="1616">
        <v>13</v>
      </c>
      <c r="C20" s="1622">
        <f t="shared" si="1"/>
        <v>0</v>
      </c>
      <c r="D20" s="768">
        <f t="shared" si="0"/>
        <v>0</v>
      </c>
      <c r="E20" s="769">
        <f t="shared" si="0"/>
        <v>0</v>
      </c>
      <c r="F20" s="1622">
        <f t="shared" si="0"/>
        <v>0</v>
      </c>
      <c r="G20" s="1652"/>
      <c r="H20" s="772"/>
      <c r="I20" s="1616">
        <v>13</v>
      </c>
      <c r="J20" s="1621">
        <f t="shared" si="2"/>
        <v>0</v>
      </c>
      <c r="K20" s="767">
        <f>IF(L6="mensuel",SUM(K169:K180),IF(L6="trimestriel",SUM(K73:K76),IF(L6="semestriel",SUM(K49:K50),IF(L6="annuel",K37,0))))</f>
        <v>0</v>
      </c>
      <c r="L20" s="766">
        <f>IF(L6="mensuel",SUM(L169:L180),IF(L6="trimestriel",SUM(L73:L76),IF(L6="semestriel",SUM(L49:L50),IF(L6="annuel",L37,0))))</f>
        <v>0</v>
      </c>
      <c r="M20" s="1622">
        <f t="shared" si="7"/>
        <v>0</v>
      </c>
      <c r="N20" s="1636"/>
      <c r="O20" s="1616">
        <v>13</v>
      </c>
      <c r="P20" s="1621">
        <f t="shared" si="12"/>
        <v>0</v>
      </c>
      <c r="Q20" s="767">
        <f>IF(R6="mensuel",SUM(Q169:Q180),IF(R6="trimestriel",SUM(Q73:Q76),IF(R6="semestriel",SUM(Q49:Q50),IF(R6="annuel",Q37,0))))</f>
        <v>0</v>
      </c>
      <c r="R20" s="766">
        <f>IF(R6="mensuel",SUM(R169:R180),IF(R6="trimestriel",SUM(R73:R76),IF(R6="semestriel",SUM(R49:R50),IF(R6="annuel",R37,0))))</f>
        <v>0</v>
      </c>
      <c r="S20" s="1622">
        <f t="shared" si="8"/>
        <v>0</v>
      </c>
      <c r="T20" s="1636"/>
      <c r="U20" s="1634">
        <v>13</v>
      </c>
      <c r="V20" s="1621">
        <f t="shared" si="13"/>
        <v>0</v>
      </c>
      <c r="W20" s="767">
        <f>IF(X6="mensuel",SUM(W169:W180),IF(X6="trimestriel",SUM(W73:W76),IF(X6="semestriel",SUM(W49:W50),IF(X6="annuel",W37,0))))</f>
        <v>0</v>
      </c>
      <c r="X20" s="766">
        <f>IF(X6="mensuel",SUM(X169:X180),IF(X6="trimestriel",SUM(X73:X76),IF(X6="semestriel",SUM(X49:X50),IF(X6="annuel",X37,0))))</f>
        <v>0</v>
      </c>
      <c r="Y20" s="1622">
        <f t="shared" si="9"/>
        <v>0</v>
      </c>
      <c r="Z20" s="772"/>
      <c r="AA20" s="1616">
        <v>13</v>
      </c>
      <c r="AB20" s="1621">
        <f t="shared" si="14"/>
        <v>0</v>
      </c>
      <c r="AC20" s="767">
        <f>IF(AD6="mensuel",SUM(AC169:AC180),IF(AD6="trimestriel",SUM(AC73:AC76),IF(AD6="semestriel",SUM(AC49:AC50),IF(AD6="annuel",AC37,0))))</f>
        <v>0</v>
      </c>
      <c r="AD20" s="766">
        <f>IF(AD6="mensuel",SUM(AD169:AD180),IF(AD6="trimestriel",SUM(AD73:AD76),IF(AD6="semestriel",SUM(AD49:AD50),IF(AD6="annuel",AD37,0))))</f>
        <v>0</v>
      </c>
      <c r="AE20" s="1622">
        <f t="shared" si="10"/>
        <v>0</v>
      </c>
      <c r="AF20" s="772"/>
      <c r="AG20" s="1616">
        <v>13</v>
      </c>
      <c r="AH20" s="1621">
        <f t="shared" si="15"/>
        <v>0</v>
      </c>
      <c r="AI20" s="767">
        <f>IF(AJ6="mensuel",SUM(AI169:AI180),IF(AJ6="trimestriel",SUM(AI73:AI76),IF(AJ6="semestriel",SUM(AI49:AI50),IF(AJ6="annuel",AI37,0))))</f>
        <v>0</v>
      </c>
      <c r="AJ20" s="766">
        <f>IF(AJ6="mensuel",SUM(AJ169:AJ180),IF(AJ6="trimestriel",SUM(AJ73:AJ76),IF(AJ6="semestriel",SUM(AJ49:AJ50),IF(AJ6="annuel",AJ37,0))))</f>
        <v>0</v>
      </c>
      <c r="AK20" s="1622">
        <f t="shared" si="11"/>
        <v>0</v>
      </c>
      <c r="AL20" s="772"/>
      <c r="AM20" s="772"/>
      <c r="AN20" s="772"/>
      <c r="AO20" s="772"/>
      <c r="AP20" s="772"/>
      <c r="AQ20" s="772"/>
      <c r="AR20" s="772"/>
      <c r="AS20" s="772"/>
      <c r="AT20" s="772"/>
      <c r="AU20" s="772"/>
      <c r="AV20" s="772"/>
      <c r="AW20" s="772"/>
      <c r="AX20" s="772"/>
      <c r="AY20" s="772"/>
      <c r="AZ20" s="772"/>
      <c r="BA20" s="772"/>
      <c r="BB20" s="772"/>
      <c r="BC20" s="772"/>
      <c r="BD20" s="772"/>
      <c r="BE20" s="772"/>
      <c r="BF20" s="772"/>
      <c r="BG20" s="772"/>
      <c r="BH20" s="772"/>
      <c r="BI20" s="772"/>
      <c r="BJ20" s="772"/>
      <c r="BK20" s="772"/>
      <c r="BL20" s="772"/>
      <c r="BM20" s="772"/>
      <c r="BN20" s="772"/>
      <c r="BO20" s="772"/>
      <c r="BP20" s="772"/>
      <c r="BQ20" s="772"/>
      <c r="BR20" s="772"/>
      <c r="BS20" s="772"/>
      <c r="BT20" s="772"/>
      <c r="BU20" s="772"/>
      <c r="BV20" s="772"/>
      <c r="BW20" s="772"/>
      <c r="BX20" s="772"/>
      <c r="BY20" s="772"/>
      <c r="BZ20" s="772"/>
      <c r="CA20" s="772"/>
      <c r="CB20" s="772"/>
      <c r="CC20" s="772"/>
      <c r="CD20" s="772"/>
      <c r="CE20" s="772"/>
      <c r="CF20" s="772"/>
      <c r="CG20" s="772"/>
      <c r="CH20" s="772"/>
      <c r="CI20" s="772"/>
      <c r="CJ20" s="772"/>
      <c r="CK20" s="772"/>
      <c r="CL20" s="772"/>
      <c r="CM20" s="772"/>
      <c r="CN20" s="772"/>
      <c r="CO20" s="772"/>
      <c r="CP20" s="772"/>
      <c r="CQ20" s="772"/>
      <c r="CR20" s="772"/>
      <c r="CS20" s="772"/>
      <c r="CT20" s="772"/>
      <c r="CU20" s="772"/>
      <c r="CV20" s="772"/>
      <c r="CW20" s="772"/>
      <c r="CX20" s="772"/>
      <c r="CY20" s="772"/>
      <c r="CZ20" s="772"/>
      <c r="DA20" s="772"/>
      <c r="DB20" s="772"/>
      <c r="DC20" s="772"/>
      <c r="DD20" s="772"/>
      <c r="DE20" s="772"/>
      <c r="DF20" s="772"/>
      <c r="DG20" s="772"/>
      <c r="DH20" s="772"/>
      <c r="DI20" s="772"/>
      <c r="DJ20" s="772"/>
      <c r="DK20" s="772"/>
      <c r="DL20" s="772"/>
      <c r="DM20" s="772"/>
      <c r="DN20" s="772"/>
      <c r="DO20" s="772"/>
      <c r="DP20" s="772"/>
      <c r="DQ20" s="772"/>
      <c r="DR20" s="772"/>
      <c r="DS20" s="772"/>
      <c r="DT20" s="772"/>
      <c r="DU20" s="772"/>
      <c r="DV20" s="772"/>
      <c r="DW20" s="772"/>
      <c r="DX20" s="772"/>
      <c r="DY20" s="772"/>
      <c r="DZ20" s="772"/>
      <c r="EA20" s="772"/>
      <c r="EB20" s="772"/>
      <c r="EC20" s="772"/>
      <c r="ED20" s="772"/>
      <c r="EE20" s="772"/>
      <c r="EF20" s="772"/>
      <c r="EG20" s="772"/>
      <c r="EH20" s="772"/>
      <c r="EI20" s="772"/>
      <c r="EJ20" s="772"/>
      <c r="EK20" s="772"/>
      <c r="EL20" s="772"/>
      <c r="EM20" s="772"/>
      <c r="EN20" s="772"/>
      <c r="EO20" s="772"/>
      <c r="EP20" s="772"/>
      <c r="EQ20" s="772"/>
      <c r="ER20" s="772"/>
      <c r="ES20" s="772"/>
      <c r="ET20" s="772"/>
      <c r="EU20" s="772"/>
      <c r="EV20" s="772"/>
      <c r="EW20" s="772"/>
      <c r="EX20" s="772"/>
      <c r="EY20" s="772"/>
      <c r="EZ20" s="772"/>
      <c r="FA20" s="772"/>
      <c r="FB20" s="772"/>
      <c r="FC20" s="772"/>
      <c r="FD20" s="772"/>
      <c r="FE20" s="772"/>
      <c r="FF20" s="772"/>
      <c r="FG20" s="772"/>
      <c r="FH20" s="772"/>
      <c r="FI20" s="772"/>
      <c r="FJ20" s="772"/>
      <c r="FK20" s="772"/>
      <c r="FL20" s="772"/>
      <c r="FM20" s="772"/>
      <c r="FN20" s="772"/>
      <c r="FO20" s="772"/>
      <c r="FP20" s="772"/>
      <c r="FQ20" s="772"/>
      <c r="FR20" s="772"/>
      <c r="FS20" s="772"/>
      <c r="FT20" s="772"/>
      <c r="FU20" s="772"/>
      <c r="FV20" s="772"/>
      <c r="FW20" s="772"/>
      <c r="FX20" s="772"/>
      <c r="FY20" s="772"/>
      <c r="FZ20" s="772"/>
      <c r="GA20" s="772"/>
      <c r="GB20" s="772"/>
      <c r="GC20" s="772"/>
      <c r="GD20" s="772"/>
      <c r="GE20" s="772"/>
      <c r="GF20" s="772"/>
      <c r="GG20" s="772"/>
      <c r="GH20" s="772"/>
      <c r="GI20" s="772"/>
      <c r="GJ20" s="772"/>
      <c r="GK20" s="772"/>
      <c r="GL20" s="772"/>
      <c r="GM20" s="772"/>
      <c r="GN20" s="772"/>
      <c r="GO20" s="772"/>
      <c r="GP20" s="772"/>
      <c r="GQ20" s="772"/>
      <c r="GR20" s="772"/>
      <c r="GS20" s="772"/>
      <c r="GT20" s="772"/>
      <c r="GU20" s="772"/>
      <c r="GV20" s="772"/>
      <c r="GW20" s="772"/>
      <c r="GX20" s="772"/>
      <c r="GY20" s="772"/>
      <c r="GZ20" s="772"/>
      <c r="HA20" s="772"/>
      <c r="HB20" s="772"/>
      <c r="HC20" s="772"/>
      <c r="HD20" s="772"/>
      <c r="HE20" s="772"/>
      <c r="HF20" s="772"/>
      <c r="HG20" s="772"/>
      <c r="HH20" s="772"/>
      <c r="HI20" s="772"/>
      <c r="HJ20" s="772"/>
      <c r="HK20" s="772"/>
      <c r="HL20" s="772"/>
      <c r="HM20" s="772"/>
      <c r="HN20" s="772"/>
      <c r="HO20" s="772"/>
      <c r="HP20" s="772"/>
      <c r="HQ20" s="772"/>
      <c r="HR20" s="772"/>
      <c r="HS20" s="772"/>
      <c r="HT20" s="772"/>
      <c r="HU20" s="772"/>
      <c r="HV20" s="772"/>
      <c r="HW20" s="772"/>
      <c r="HX20" s="772"/>
      <c r="HY20" s="772"/>
      <c r="HZ20" s="772"/>
      <c r="IA20" s="772"/>
      <c r="IB20" s="772"/>
      <c r="IC20" s="772"/>
      <c r="ID20" s="772"/>
      <c r="IE20" s="772"/>
      <c r="IF20" s="772"/>
      <c r="IG20" s="772"/>
      <c r="IH20" s="772"/>
      <c r="II20" s="772"/>
      <c r="IJ20" s="772"/>
      <c r="IK20" s="772"/>
    </row>
    <row r="21" spans="1:245" s="765" customFormat="1" ht="20.100000000000001" customHeight="1" x14ac:dyDescent="0.25">
      <c r="A21" s="772"/>
      <c r="B21" s="1616">
        <v>14</v>
      </c>
      <c r="C21" s="1622">
        <f t="shared" si="1"/>
        <v>0</v>
      </c>
      <c r="D21" s="768">
        <f t="shared" si="0"/>
        <v>0</v>
      </c>
      <c r="E21" s="769">
        <f t="shared" si="0"/>
        <v>0</v>
      </c>
      <c r="F21" s="1622">
        <f t="shared" si="0"/>
        <v>0</v>
      </c>
      <c r="G21" s="1652"/>
      <c r="H21" s="772"/>
      <c r="I21" s="1616">
        <v>14</v>
      </c>
      <c r="J21" s="1621">
        <f t="shared" si="2"/>
        <v>0</v>
      </c>
      <c r="K21" s="767">
        <f>IF(L6="mensuel",SUM(K181:K192),IF(L6="trimestriel",SUM(K77:K80),IF(L6="semestriel",SUM(K51:K52),IF(L6="annuel",K38,0))))</f>
        <v>0</v>
      </c>
      <c r="L21" s="766">
        <f>IF(L6="mensuel",SUM(L181:L192),IF(L6="trimestriel",SUM(L77:L80),IF(L6="semestriel",SUM(L51:L52),IF(L6="annuel",L38,0))))</f>
        <v>0</v>
      </c>
      <c r="M21" s="1622">
        <f t="shared" si="7"/>
        <v>0</v>
      </c>
      <c r="N21" s="1636"/>
      <c r="O21" s="1616">
        <v>14</v>
      </c>
      <c r="P21" s="1621">
        <f t="shared" si="12"/>
        <v>0</v>
      </c>
      <c r="Q21" s="767">
        <f>IF(R6="mensuel",SUM(Q181:Q192),IF(R6="trimestriel",SUM(Q77:Q80),IF(R6="semestriel",SUM(Q51:Q52),IF(R6="annuel",Q38,0))))</f>
        <v>0</v>
      </c>
      <c r="R21" s="766">
        <f>IF(R6="mensuel",SUM(R181:R192),IF(R6="trimestriel",SUM(R77:R80),IF(R6="semestriel",SUM(R51:R52),IF(R6="annuel",R38,0))))</f>
        <v>0</v>
      </c>
      <c r="S21" s="1622">
        <f t="shared" si="8"/>
        <v>0</v>
      </c>
      <c r="T21" s="1636"/>
      <c r="U21" s="1634">
        <v>14</v>
      </c>
      <c r="V21" s="1621">
        <f t="shared" si="13"/>
        <v>0</v>
      </c>
      <c r="W21" s="767">
        <f>IF(X6="mensuel",SUM(W181:W192),IF(X6="trimestriel",SUM(W77:W80),IF(X6="semestriel",SUM(W51:W52),IF(X6="annuel",W38,0))))</f>
        <v>0</v>
      </c>
      <c r="X21" s="766">
        <f>IF(X6="mensuel",SUM(X181:X192),IF(X6="trimestriel",SUM(X77:X80),IF(X6="semestriel",SUM(X51:X52),IF(X6="annuel",X38,0))))</f>
        <v>0</v>
      </c>
      <c r="Y21" s="1622">
        <f t="shared" si="9"/>
        <v>0</v>
      </c>
      <c r="Z21" s="772"/>
      <c r="AA21" s="1616">
        <v>14</v>
      </c>
      <c r="AB21" s="1621">
        <f t="shared" si="14"/>
        <v>0</v>
      </c>
      <c r="AC21" s="767">
        <f>IF(AD6="mensuel",SUM(AC181:AC192),IF(AD6="trimestriel",SUM(AC77:AC80),IF(AD6="semestriel",SUM(AC51:AC52),IF(AD6="annuel",AC38,0))))</f>
        <v>0</v>
      </c>
      <c r="AD21" s="766">
        <f>IF(AD6="mensuel",SUM(AD181:AD192),IF(AD6="trimestriel",SUM(AD77:AD80),IF(AD6="semestriel",SUM(AD51:AD52),IF(AD6="annuel",AD38,0))))</f>
        <v>0</v>
      </c>
      <c r="AE21" s="1622">
        <f t="shared" si="10"/>
        <v>0</v>
      </c>
      <c r="AF21" s="772"/>
      <c r="AG21" s="1616">
        <v>14</v>
      </c>
      <c r="AH21" s="1621">
        <f t="shared" si="15"/>
        <v>0</v>
      </c>
      <c r="AI21" s="767">
        <f>IF(AJ6="mensuel",SUM(AI181:AI192),IF(AJ6="trimestriel",SUM(AI77:AI80),IF(AJ6="semestriel",SUM(AI51:AI52),IF(AJ6="annuel",AI38,0))))</f>
        <v>0</v>
      </c>
      <c r="AJ21" s="766">
        <f>IF(AJ6="mensuel",SUM(AJ181:AJ192),IF(AJ6="trimestriel",SUM(AJ77:AJ80),IF(AJ6="semestriel",SUM(AJ51:AJ52),IF(AJ6="annuel",AJ38,0))))</f>
        <v>0</v>
      </c>
      <c r="AK21" s="1622">
        <f t="shared" si="11"/>
        <v>0</v>
      </c>
      <c r="AL21" s="772"/>
      <c r="AM21" s="772"/>
      <c r="AN21" s="772"/>
      <c r="AO21" s="772"/>
      <c r="AP21" s="772"/>
      <c r="AQ21" s="772"/>
      <c r="AR21" s="772"/>
      <c r="AS21" s="772"/>
      <c r="AT21" s="772"/>
      <c r="AU21" s="772"/>
      <c r="AV21" s="772"/>
      <c r="AW21" s="772"/>
      <c r="AX21" s="772"/>
      <c r="AY21" s="772"/>
      <c r="AZ21" s="772"/>
      <c r="BA21" s="772"/>
      <c r="BB21" s="772"/>
      <c r="BC21" s="772"/>
      <c r="BD21" s="772"/>
      <c r="BE21" s="772"/>
      <c r="BF21" s="772"/>
      <c r="BG21" s="772"/>
      <c r="BH21" s="772"/>
      <c r="BI21" s="772"/>
      <c r="BJ21" s="772"/>
      <c r="BK21" s="772"/>
      <c r="BL21" s="772"/>
      <c r="BM21" s="772"/>
      <c r="BN21" s="772"/>
      <c r="BO21" s="772"/>
      <c r="BP21" s="772"/>
      <c r="BQ21" s="772"/>
      <c r="BR21" s="772"/>
      <c r="BS21" s="772"/>
      <c r="BT21" s="772"/>
      <c r="BU21" s="772"/>
      <c r="BV21" s="772"/>
      <c r="BW21" s="772"/>
      <c r="BX21" s="772"/>
      <c r="BY21" s="772"/>
      <c r="BZ21" s="772"/>
      <c r="CA21" s="772"/>
      <c r="CB21" s="772"/>
      <c r="CC21" s="772"/>
      <c r="CD21" s="772"/>
      <c r="CE21" s="772"/>
      <c r="CF21" s="772"/>
      <c r="CG21" s="772"/>
      <c r="CH21" s="772"/>
      <c r="CI21" s="772"/>
      <c r="CJ21" s="772"/>
      <c r="CK21" s="772"/>
      <c r="CL21" s="772"/>
      <c r="CM21" s="772"/>
      <c r="CN21" s="772"/>
      <c r="CO21" s="772"/>
      <c r="CP21" s="772"/>
      <c r="CQ21" s="772"/>
      <c r="CR21" s="772"/>
      <c r="CS21" s="772"/>
      <c r="CT21" s="772"/>
      <c r="CU21" s="772"/>
      <c r="CV21" s="772"/>
      <c r="CW21" s="772"/>
      <c r="CX21" s="772"/>
      <c r="CY21" s="772"/>
      <c r="CZ21" s="772"/>
      <c r="DA21" s="772"/>
      <c r="DB21" s="772"/>
      <c r="DC21" s="772"/>
      <c r="DD21" s="772"/>
      <c r="DE21" s="772"/>
      <c r="DF21" s="772"/>
      <c r="DG21" s="772"/>
      <c r="DH21" s="772"/>
      <c r="DI21" s="772"/>
      <c r="DJ21" s="772"/>
      <c r="DK21" s="772"/>
      <c r="DL21" s="772"/>
      <c r="DM21" s="772"/>
      <c r="DN21" s="772"/>
      <c r="DO21" s="772"/>
      <c r="DP21" s="772"/>
      <c r="DQ21" s="772"/>
      <c r="DR21" s="772"/>
      <c r="DS21" s="772"/>
      <c r="DT21" s="772"/>
      <c r="DU21" s="772"/>
      <c r="DV21" s="772"/>
      <c r="DW21" s="772"/>
      <c r="DX21" s="772"/>
      <c r="DY21" s="772"/>
      <c r="DZ21" s="772"/>
      <c r="EA21" s="772"/>
      <c r="EB21" s="772"/>
      <c r="EC21" s="772"/>
      <c r="ED21" s="772"/>
      <c r="EE21" s="772"/>
      <c r="EF21" s="772"/>
      <c r="EG21" s="772"/>
      <c r="EH21" s="772"/>
      <c r="EI21" s="772"/>
      <c r="EJ21" s="772"/>
      <c r="EK21" s="772"/>
      <c r="EL21" s="772"/>
      <c r="EM21" s="772"/>
      <c r="EN21" s="772"/>
      <c r="EO21" s="772"/>
      <c r="EP21" s="772"/>
      <c r="EQ21" s="772"/>
      <c r="ER21" s="772"/>
      <c r="ES21" s="772"/>
      <c r="ET21" s="772"/>
      <c r="EU21" s="772"/>
      <c r="EV21" s="772"/>
      <c r="EW21" s="772"/>
      <c r="EX21" s="772"/>
      <c r="EY21" s="772"/>
      <c r="EZ21" s="772"/>
      <c r="FA21" s="772"/>
      <c r="FB21" s="772"/>
      <c r="FC21" s="772"/>
      <c r="FD21" s="772"/>
      <c r="FE21" s="772"/>
      <c r="FF21" s="772"/>
      <c r="FG21" s="772"/>
      <c r="FH21" s="772"/>
      <c r="FI21" s="772"/>
      <c r="FJ21" s="772"/>
      <c r="FK21" s="772"/>
      <c r="FL21" s="772"/>
      <c r="FM21" s="772"/>
      <c r="FN21" s="772"/>
      <c r="FO21" s="772"/>
      <c r="FP21" s="772"/>
      <c r="FQ21" s="772"/>
      <c r="FR21" s="772"/>
      <c r="FS21" s="772"/>
      <c r="FT21" s="772"/>
      <c r="FU21" s="772"/>
      <c r="FV21" s="772"/>
      <c r="FW21" s="772"/>
      <c r="FX21" s="772"/>
      <c r="FY21" s="772"/>
      <c r="FZ21" s="772"/>
      <c r="GA21" s="772"/>
      <c r="GB21" s="772"/>
      <c r="GC21" s="772"/>
      <c r="GD21" s="772"/>
      <c r="GE21" s="772"/>
      <c r="GF21" s="772"/>
      <c r="GG21" s="772"/>
      <c r="GH21" s="772"/>
      <c r="GI21" s="772"/>
      <c r="GJ21" s="772"/>
      <c r="GK21" s="772"/>
      <c r="GL21" s="772"/>
      <c r="GM21" s="772"/>
      <c r="GN21" s="772"/>
      <c r="GO21" s="772"/>
      <c r="GP21" s="772"/>
      <c r="GQ21" s="772"/>
      <c r="GR21" s="772"/>
      <c r="GS21" s="772"/>
      <c r="GT21" s="772"/>
      <c r="GU21" s="772"/>
      <c r="GV21" s="772"/>
      <c r="GW21" s="772"/>
      <c r="GX21" s="772"/>
      <c r="GY21" s="772"/>
      <c r="GZ21" s="772"/>
      <c r="HA21" s="772"/>
      <c r="HB21" s="772"/>
      <c r="HC21" s="772"/>
      <c r="HD21" s="772"/>
      <c r="HE21" s="772"/>
      <c r="HF21" s="772"/>
      <c r="HG21" s="772"/>
      <c r="HH21" s="772"/>
      <c r="HI21" s="772"/>
      <c r="HJ21" s="772"/>
      <c r="HK21" s="772"/>
      <c r="HL21" s="772"/>
      <c r="HM21" s="772"/>
      <c r="HN21" s="772"/>
      <c r="HO21" s="772"/>
      <c r="HP21" s="772"/>
      <c r="HQ21" s="772"/>
      <c r="HR21" s="772"/>
      <c r="HS21" s="772"/>
      <c r="HT21" s="772"/>
      <c r="HU21" s="772"/>
      <c r="HV21" s="772"/>
      <c r="HW21" s="772"/>
      <c r="HX21" s="772"/>
      <c r="HY21" s="772"/>
      <c r="HZ21" s="772"/>
      <c r="IA21" s="772"/>
      <c r="IB21" s="772"/>
      <c r="IC21" s="772"/>
      <c r="ID21" s="772"/>
      <c r="IE21" s="772"/>
      <c r="IF21" s="772"/>
      <c r="IG21" s="772"/>
      <c r="IH21" s="772"/>
      <c r="II21" s="772"/>
      <c r="IJ21" s="772"/>
      <c r="IK21" s="772"/>
    </row>
    <row r="22" spans="1:245" s="765" customFormat="1" ht="20.100000000000001" customHeight="1" x14ac:dyDescent="0.25">
      <c r="A22" s="772"/>
      <c r="B22" s="1617">
        <v>15</v>
      </c>
      <c r="C22" s="1622">
        <f t="shared" si="1"/>
        <v>0</v>
      </c>
      <c r="D22" s="768">
        <f t="shared" si="0"/>
        <v>0</v>
      </c>
      <c r="E22" s="769">
        <f t="shared" si="0"/>
        <v>0</v>
      </c>
      <c r="F22" s="1622">
        <f t="shared" si="0"/>
        <v>0</v>
      </c>
      <c r="G22" s="1652"/>
      <c r="H22" s="772"/>
      <c r="I22" s="1618">
        <v>15</v>
      </c>
      <c r="J22" s="1623">
        <f t="shared" si="2"/>
        <v>0</v>
      </c>
      <c r="K22" s="1619">
        <f>IF(L6="mensuel",SUM(K193:K204),IF(L6="trimestriel",SUM(K81:K84),IF(L6="semestriel",SUM(K53:K54),IF(L6="annuel",K39,0))))</f>
        <v>0</v>
      </c>
      <c r="L22" s="1620">
        <f>IF(L6="mensuel",SUM(L193:L204),IF(L6="trimestriel",SUM(L81:L84),IF(L6="semestriel",SUM(L53:L54),IF(L6="annuel",L39,0))))</f>
        <v>0</v>
      </c>
      <c r="M22" s="1623">
        <f t="shared" si="7"/>
        <v>0</v>
      </c>
      <c r="N22" s="1636"/>
      <c r="O22" s="1618">
        <v>15</v>
      </c>
      <c r="P22" s="1623">
        <f t="shared" si="12"/>
        <v>0</v>
      </c>
      <c r="Q22" s="1619">
        <f>IF(R6="mensuel",SUM(Q193:Q204),IF(R6="trimestriel",SUM(Q81:Q84),IF(R6="semestriel",SUM(Q53:Q54),IF(R6="annuel",Q39,0))))</f>
        <v>0</v>
      </c>
      <c r="R22" s="1620">
        <f>IF(R6="mensuel",SUM(R193:R204),IF(R6="trimestriel",SUM(R81:R84),IF(R6="semestriel",SUM(R53:R54),IF(R6="annuel",R39,0))))</f>
        <v>0</v>
      </c>
      <c r="S22" s="1623">
        <f t="shared" si="8"/>
        <v>0</v>
      </c>
      <c r="T22" s="1636"/>
      <c r="U22" s="1635">
        <v>15</v>
      </c>
      <c r="V22" s="1623">
        <f t="shared" si="13"/>
        <v>0</v>
      </c>
      <c r="W22" s="1619">
        <f>IF(X6="mensuel",SUM(W193:W204),IF(X6="trimestriel",SUM(W81:W84),IF(X6="semestriel",SUM(W53:W54),IF(X6="annuel",W39,0))))</f>
        <v>0</v>
      </c>
      <c r="X22" s="1620">
        <f>IF(X6="mensuel",SUM(X193:X204),IF(X6="trimestriel",SUM(X81:X84),IF(X6="semestriel",SUM(X53:X54),IF(X6="annuel",X39,0))))</f>
        <v>0</v>
      </c>
      <c r="Y22" s="1623">
        <f t="shared" si="9"/>
        <v>0</v>
      </c>
      <c r="Z22" s="772"/>
      <c r="AA22" s="1618">
        <v>15</v>
      </c>
      <c r="AB22" s="1623">
        <f t="shared" si="14"/>
        <v>0</v>
      </c>
      <c r="AC22" s="1619">
        <f>IF(AD6="mensuel",SUM(AC193:AC204),IF(AD6="trimestriel",SUM(AC81:AC84),IF(AD6="semestriel",SUM(AC53:AC54),IF(AD6="annuel",AC39,0))))</f>
        <v>0</v>
      </c>
      <c r="AD22" s="1620">
        <f>IF(AD6="mensuel",SUM(AD193:AD204),IF(AD6="trimestriel",SUM(AD81:AD84),IF(AD6="semestriel",SUM(AD53:AD54),IF(AD6="annuel",AD39,0))))</f>
        <v>0</v>
      </c>
      <c r="AE22" s="1623">
        <f t="shared" si="10"/>
        <v>0</v>
      </c>
      <c r="AF22" s="772"/>
      <c r="AG22" s="1618">
        <v>15</v>
      </c>
      <c r="AH22" s="1623">
        <f t="shared" si="15"/>
        <v>0</v>
      </c>
      <c r="AI22" s="1619">
        <f>IF(AJ6="mensuel",SUM(AI193:AI204),IF(AJ6="trimestriel",SUM(AI81:AI84),IF(AJ6="semestriel",SUM(AI53:AI54),IF(AJ6="annuel",AI39,0))))</f>
        <v>0</v>
      </c>
      <c r="AJ22" s="1620">
        <f>IF(AJ6="mensuel",SUM(AJ193:AJ204),IF(AJ6="trimestriel",SUM(AJ81:AJ84),IF(AJ6="semestriel",SUM(AJ53:AJ54),IF(AJ6="annuel",AJ39,0))))</f>
        <v>0</v>
      </c>
      <c r="AK22" s="1623">
        <f t="shared" si="11"/>
        <v>0</v>
      </c>
      <c r="AL22" s="772"/>
      <c r="AM22" s="772"/>
      <c r="AN22" s="772"/>
      <c r="AO22" s="772"/>
      <c r="AP22" s="772"/>
      <c r="AQ22" s="772"/>
      <c r="AR22" s="772"/>
      <c r="AS22" s="772"/>
      <c r="AT22" s="772"/>
      <c r="AU22" s="772"/>
      <c r="AV22" s="772"/>
      <c r="AW22" s="772"/>
      <c r="AX22" s="772"/>
      <c r="AY22" s="772"/>
      <c r="AZ22" s="772"/>
      <c r="BA22" s="772"/>
      <c r="BB22" s="772"/>
      <c r="BC22" s="772"/>
      <c r="BD22" s="772"/>
      <c r="BE22" s="772"/>
      <c r="BF22" s="772"/>
      <c r="BG22" s="772"/>
      <c r="BH22" s="772"/>
      <c r="BI22" s="772"/>
      <c r="BJ22" s="772"/>
      <c r="BK22" s="772"/>
      <c r="BL22" s="772"/>
      <c r="BM22" s="772"/>
      <c r="BN22" s="772"/>
      <c r="BO22" s="772"/>
      <c r="BP22" s="772"/>
      <c r="BQ22" s="772"/>
      <c r="BR22" s="772"/>
      <c r="BS22" s="772"/>
      <c r="BT22" s="772"/>
      <c r="BU22" s="772"/>
      <c r="BV22" s="772"/>
      <c r="BW22" s="772"/>
      <c r="BX22" s="772"/>
      <c r="BY22" s="772"/>
      <c r="BZ22" s="772"/>
      <c r="CA22" s="772"/>
      <c r="CB22" s="772"/>
      <c r="CC22" s="772"/>
      <c r="CD22" s="772"/>
      <c r="CE22" s="772"/>
      <c r="CF22" s="772"/>
      <c r="CG22" s="772"/>
      <c r="CH22" s="772"/>
      <c r="CI22" s="772"/>
      <c r="CJ22" s="772"/>
      <c r="CK22" s="772"/>
      <c r="CL22" s="772"/>
      <c r="CM22" s="772"/>
      <c r="CN22" s="772"/>
      <c r="CO22" s="772"/>
      <c r="CP22" s="772"/>
      <c r="CQ22" s="772"/>
      <c r="CR22" s="772"/>
      <c r="CS22" s="772"/>
      <c r="CT22" s="772"/>
      <c r="CU22" s="772"/>
      <c r="CV22" s="772"/>
      <c r="CW22" s="772"/>
      <c r="CX22" s="772"/>
      <c r="CY22" s="772"/>
      <c r="CZ22" s="772"/>
      <c r="DA22" s="772"/>
      <c r="DB22" s="772"/>
      <c r="DC22" s="772"/>
      <c r="DD22" s="772"/>
      <c r="DE22" s="772"/>
      <c r="DF22" s="772"/>
      <c r="DG22" s="772"/>
      <c r="DH22" s="772"/>
      <c r="DI22" s="772"/>
      <c r="DJ22" s="772"/>
      <c r="DK22" s="772"/>
      <c r="DL22" s="772"/>
      <c r="DM22" s="772"/>
      <c r="DN22" s="772"/>
      <c r="DO22" s="772"/>
      <c r="DP22" s="772"/>
      <c r="DQ22" s="772"/>
      <c r="DR22" s="772"/>
      <c r="DS22" s="772"/>
      <c r="DT22" s="772"/>
      <c r="DU22" s="772"/>
      <c r="DV22" s="772"/>
      <c r="DW22" s="772"/>
      <c r="DX22" s="772"/>
      <c r="DY22" s="772"/>
      <c r="DZ22" s="772"/>
      <c r="EA22" s="772"/>
      <c r="EB22" s="772"/>
      <c r="EC22" s="772"/>
      <c r="ED22" s="772"/>
      <c r="EE22" s="772"/>
      <c r="EF22" s="772"/>
      <c r="EG22" s="772"/>
      <c r="EH22" s="772"/>
      <c r="EI22" s="772"/>
      <c r="EJ22" s="772"/>
      <c r="EK22" s="772"/>
      <c r="EL22" s="772"/>
      <c r="EM22" s="772"/>
      <c r="EN22" s="772"/>
      <c r="EO22" s="772"/>
      <c r="EP22" s="772"/>
      <c r="EQ22" s="772"/>
      <c r="ER22" s="772"/>
      <c r="ES22" s="772"/>
      <c r="ET22" s="772"/>
      <c r="EU22" s="772"/>
      <c r="EV22" s="772"/>
      <c r="EW22" s="772"/>
      <c r="EX22" s="772"/>
      <c r="EY22" s="772"/>
      <c r="EZ22" s="772"/>
      <c r="FA22" s="772"/>
      <c r="FB22" s="772"/>
      <c r="FC22" s="772"/>
      <c r="FD22" s="772"/>
      <c r="FE22" s="772"/>
      <c r="FF22" s="772"/>
      <c r="FG22" s="772"/>
      <c r="FH22" s="772"/>
      <c r="FI22" s="772"/>
      <c r="FJ22" s="772"/>
      <c r="FK22" s="772"/>
      <c r="FL22" s="772"/>
      <c r="FM22" s="772"/>
      <c r="FN22" s="772"/>
      <c r="FO22" s="772"/>
      <c r="FP22" s="772"/>
      <c r="FQ22" s="772"/>
      <c r="FR22" s="772"/>
      <c r="FS22" s="772"/>
      <c r="FT22" s="772"/>
      <c r="FU22" s="772"/>
      <c r="FV22" s="772"/>
      <c r="FW22" s="772"/>
      <c r="FX22" s="772"/>
      <c r="FY22" s="772"/>
      <c r="FZ22" s="772"/>
      <c r="GA22" s="772"/>
      <c r="GB22" s="772"/>
      <c r="GC22" s="772"/>
      <c r="GD22" s="772"/>
      <c r="GE22" s="772"/>
      <c r="GF22" s="772"/>
      <c r="GG22" s="772"/>
      <c r="GH22" s="772"/>
      <c r="GI22" s="772"/>
      <c r="GJ22" s="772"/>
      <c r="GK22" s="772"/>
      <c r="GL22" s="772"/>
      <c r="GM22" s="772"/>
      <c r="GN22" s="772"/>
      <c r="GO22" s="772"/>
      <c r="GP22" s="772"/>
      <c r="GQ22" s="772"/>
      <c r="GR22" s="772"/>
      <c r="GS22" s="772"/>
      <c r="GT22" s="772"/>
      <c r="GU22" s="772"/>
      <c r="GV22" s="772"/>
      <c r="GW22" s="772"/>
      <c r="GX22" s="772"/>
      <c r="GY22" s="772"/>
      <c r="GZ22" s="772"/>
      <c r="HA22" s="772"/>
      <c r="HB22" s="772"/>
      <c r="HC22" s="772"/>
      <c r="HD22" s="772"/>
      <c r="HE22" s="772"/>
      <c r="HF22" s="772"/>
      <c r="HG22" s="772"/>
      <c r="HH22" s="772"/>
      <c r="HI22" s="772"/>
      <c r="HJ22" s="772"/>
      <c r="HK22" s="772"/>
      <c r="HL22" s="772"/>
      <c r="HM22" s="772"/>
      <c r="HN22" s="772"/>
      <c r="HO22" s="772"/>
      <c r="HP22" s="772"/>
      <c r="HQ22" s="772"/>
      <c r="HR22" s="772"/>
      <c r="HS22" s="772"/>
      <c r="HT22" s="772"/>
      <c r="HU22" s="772"/>
      <c r="HV22" s="772"/>
      <c r="HW22" s="772"/>
      <c r="HX22" s="772"/>
      <c r="HY22" s="772"/>
      <c r="HZ22" s="772"/>
      <c r="IA22" s="772"/>
      <c r="IB22" s="772"/>
      <c r="IC22" s="772"/>
      <c r="ID22" s="772"/>
      <c r="IE22" s="772"/>
      <c r="IF22" s="772"/>
      <c r="IG22" s="772"/>
      <c r="IH22" s="772"/>
      <c r="II22" s="772"/>
      <c r="IJ22" s="772"/>
      <c r="IK22" s="772"/>
    </row>
    <row r="23" spans="1:245" s="765" customFormat="1" ht="24.9" customHeight="1" x14ac:dyDescent="0.25">
      <c r="A23" s="772"/>
      <c r="B23" s="1653" t="s">
        <v>205</v>
      </c>
      <c r="C23" s="1654">
        <f>SUM(C8:C22)</f>
        <v>0</v>
      </c>
      <c r="D23" s="1655">
        <f t="shared" ref="D23:E23" si="16">SUM(D8:D22)</f>
        <v>0</v>
      </c>
      <c r="E23" s="1656">
        <f t="shared" si="16"/>
        <v>0</v>
      </c>
      <c r="F23" s="3281"/>
      <c r="G23" s="3282"/>
      <c r="H23" s="772"/>
      <c r="I23" s="3285" t="s">
        <v>769</v>
      </c>
      <c r="J23" s="3286"/>
      <c r="K23" s="3286"/>
      <c r="L23" s="773"/>
      <c r="M23" s="772"/>
      <c r="N23" s="772"/>
      <c r="O23" s="3287" t="s">
        <v>769</v>
      </c>
      <c r="P23" s="3286"/>
      <c r="Q23" s="3286"/>
      <c r="R23" s="773"/>
      <c r="S23" s="772"/>
      <c r="T23" s="772"/>
      <c r="U23" s="3287" t="s">
        <v>769</v>
      </c>
      <c r="V23" s="3286"/>
      <c r="W23" s="3286"/>
      <c r="X23" s="773"/>
      <c r="Y23" s="772"/>
      <c r="Z23" s="772"/>
      <c r="AA23" s="3287" t="s">
        <v>769</v>
      </c>
      <c r="AB23" s="3286"/>
      <c r="AC23" s="3286"/>
      <c r="AD23" s="773"/>
      <c r="AE23" s="772"/>
      <c r="AF23" s="772"/>
      <c r="AG23" s="3287" t="s">
        <v>769</v>
      </c>
      <c r="AH23" s="3286"/>
      <c r="AI23" s="3286"/>
      <c r="AJ23" s="773"/>
      <c r="AK23" s="772"/>
      <c r="AL23" s="772"/>
      <c r="AM23" s="772"/>
      <c r="AN23" s="772"/>
      <c r="AO23" s="772"/>
      <c r="AP23" s="772"/>
      <c r="AQ23" s="772"/>
      <c r="AR23" s="772"/>
      <c r="AS23" s="772"/>
      <c r="AT23" s="772"/>
      <c r="AU23" s="772"/>
      <c r="AV23" s="772"/>
      <c r="AW23" s="772"/>
      <c r="AX23" s="772"/>
      <c r="AY23" s="772"/>
      <c r="AZ23" s="772"/>
      <c r="BA23" s="772"/>
      <c r="BB23" s="772"/>
      <c r="BC23" s="772"/>
      <c r="BD23" s="772"/>
      <c r="BE23" s="772"/>
      <c r="BF23" s="772"/>
      <c r="BG23" s="772"/>
      <c r="BH23" s="772"/>
      <c r="BI23" s="772"/>
      <c r="BJ23" s="772"/>
      <c r="BK23" s="772"/>
      <c r="BL23" s="772"/>
      <c r="BM23" s="772"/>
      <c r="BN23" s="772"/>
      <c r="BO23" s="772"/>
      <c r="BP23" s="772"/>
      <c r="BQ23" s="772"/>
      <c r="BR23" s="772"/>
      <c r="BS23" s="772"/>
      <c r="BT23" s="772"/>
      <c r="BU23" s="772"/>
      <c r="BV23" s="772"/>
      <c r="BW23" s="772"/>
      <c r="BX23" s="772"/>
      <c r="BY23" s="772"/>
      <c r="BZ23" s="772"/>
      <c r="CA23" s="772"/>
      <c r="CB23" s="772"/>
      <c r="CC23" s="772"/>
      <c r="CD23" s="772"/>
      <c r="CE23" s="772"/>
      <c r="CF23" s="772"/>
      <c r="CG23" s="772"/>
      <c r="CH23" s="772"/>
      <c r="CI23" s="772"/>
      <c r="CJ23" s="772"/>
      <c r="CK23" s="772"/>
      <c r="CL23" s="772"/>
      <c r="CM23" s="772"/>
      <c r="CN23" s="772"/>
      <c r="CO23" s="772"/>
      <c r="CP23" s="772"/>
      <c r="CQ23" s="772"/>
      <c r="CR23" s="772"/>
      <c r="CS23" s="772"/>
      <c r="CT23" s="772"/>
      <c r="CU23" s="772"/>
      <c r="CV23" s="772"/>
      <c r="CW23" s="772"/>
      <c r="CX23" s="772"/>
      <c r="CY23" s="772"/>
      <c r="CZ23" s="772"/>
      <c r="DA23" s="772"/>
      <c r="DB23" s="772"/>
      <c r="DC23" s="772"/>
      <c r="DD23" s="772"/>
      <c r="DE23" s="772"/>
      <c r="DF23" s="772"/>
      <c r="DG23" s="772"/>
      <c r="DH23" s="772"/>
      <c r="DI23" s="772"/>
      <c r="DJ23" s="772"/>
      <c r="DK23" s="772"/>
      <c r="DL23" s="772"/>
      <c r="DM23" s="772"/>
      <c r="DN23" s="772"/>
      <c r="DO23" s="772"/>
      <c r="DP23" s="772"/>
      <c r="DQ23" s="772"/>
      <c r="DR23" s="772"/>
      <c r="DS23" s="772"/>
      <c r="DT23" s="772"/>
      <c r="DU23" s="772"/>
      <c r="DV23" s="772"/>
      <c r="DW23" s="772"/>
      <c r="DX23" s="772"/>
      <c r="DY23" s="772"/>
      <c r="DZ23" s="772"/>
      <c r="EA23" s="772"/>
      <c r="EB23" s="772"/>
      <c r="EC23" s="772"/>
      <c r="ED23" s="772"/>
      <c r="EE23" s="772"/>
      <c r="EF23" s="772"/>
      <c r="EG23" s="772"/>
      <c r="EH23" s="772"/>
      <c r="EI23" s="772"/>
      <c r="EJ23" s="772"/>
      <c r="EK23" s="772"/>
      <c r="EL23" s="772"/>
      <c r="EM23" s="772"/>
      <c r="EN23" s="772"/>
      <c r="EO23" s="772"/>
      <c r="EP23" s="772"/>
      <c r="EQ23" s="772"/>
      <c r="ER23" s="772"/>
      <c r="ES23" s="772"/>
      <c r="ET23" s="772"/>
      <c r="EU23" s="772"/>
      <c r="EV23" s="772"/>
      <c r="EW23" s="772"/>
      <c r="EX23" s="772"/>
      <c r="EY23" s="772"/>
      <c r="EZ23" s="772"/>
      <c r="FA23" s="772"/>
      <c r="FB23" s="772"/>
      <c r="FC23" s="772"/>
      <c r="FD23" s="772"/>
      <c r="FE23" s="772"/>
      <c r="FF23" s="772"/>
      <c r="FG23" s="772"/>
      <c r="FH23" s="772"/>
      <c r="FI23" s="772"/>
      <c r="FJ23" s="772"/>
      <c r="FK23" s="772"/>
      <c r="FL23" s="772"/>
      <c r="FM23" s="772"/>
      <c r="FN23" s="772"/>
      <c r="FO23" s="772"/>
      <c r="FP23" s="772"/>
      <c r="FQ23" s="772"/>
      <c r="FR23" s="772"/>
      <c r="FS23" s="772"/>
      <c r="FT23" s="772"/>
      <c r="FU23" s="772"/>
      <c r="FV23" s="772"/>
      <c r="FW23" s="772"/>
      <c r="FX23" s="772"/>
      <c r="FY23" s="772"/>
      <c r="FZ23" s="772"/>
      <c r="GA23" s="772"/>
      <c r="GB23" s="772"/>
      <c r="GC23" s="772"/>
      <c r="GD23" s="772"/>
      <c r="GE23" s="772"/>
      <c r="GF23" s="772"/>
      <c r="GG23" s="772"/>
      <c r="GH23" s="772"/>
      <c r="GI23" s="772"/>
      <c r="GJ23" s="772"/>
      <c r="GK23" s="772"/>
      <c r="GL23" s="772"/>
      <c r="GM23" s="772"/>
      <c r="GN23" s="772"/>
      <c r="GO23" s="772"/>
      <c r="GP23" s="772"/>
      <c r="GQ23" s="772"/>
      <c r="GR23" s="772"/>
      <c r="GS23" s="772"/>
      <c r="GT23" s="772"/>
      <c r="GU23" s="772"/>
      <c r="GV23" s="772"/>
      <c r="GW23" s="772"/>
      <c r="GX23" s="772"/>
      <c r="GY23" s="772"/>
      <c r="GZ23" s="772"/>
      <c r="HA23" s="772"/>
      <c r="HB23" s="772"/>
      <c r="HC23" s="772"/>
      <c r="HD23" s="772"/>
      <c r="HE23" s="772"/>
      <c r="HF23" s="772"/>
      <c r="HG23" s="772"/>
      <c r="HH23" s="772"/>
      <c r="HI23" s="772"/>
      <c r="HJ23" s="772"/>
      <c r="HK23" s="772"/>
      <c r="HL23" s="772"/>
      <c r="HM23" s="772"/>
      <c r="HN23" s="772"/>
      <c r="HO23" s="772"/>
      <c r="HP23" s="772"/>
      <c r="HQ23" s="772"/>
      <c r="HR23" s="772"/>
      <c r="HS23" s="772"/>
      <c r="HT23" s="772"/>
      <c r="HU23" s="772"/>
      <c r="HV23" s="772"/>
      <c r="HW23" s="772"/>
      <c r="HX23" s="772"/>
      <c r="HY23" s="772"/>
      <c r="HZ23" s="772"/>
      <c r="IA23" s="772"/>
      <c r="IB23" s="772"/>
      <c r="IC23" s="772"/>
      <c r="ID23" s="772"/>
      <c r="IE23" s="772"/>
      <c r="IF23" s="772"/>
      <c r="IG23" s="772"/>
      <c r="IH23" s="772"/>
      <c r="II23" s="772"/>
      <c r="IJ23" s="772"/>
      <c r="IK23" s="772"/>
    </row>
    <row r="24" spans="1:245" s="765" customFormat="1" ht="20.100000000000001" customHeight="1" x14ac:dyDescent="0.25">
      <c r="A24" s="772"/>
      <c r="B24" s="781"/>
      <c r="C24" s="781"/>
      <c r="D24" s="782"/>
      <c r="E24" s="781"/>
      <c r="F24" s="781"/>
      <c r="G24" s="781"/>
      <c r="H24" s="772"/>
      <c r="I24" s="1657" t="str">
        <f>IF(ISBLANK(L6)," ",IF(L6="mensuel","Mois",IF(L6="trimestriel","Trimestres",IF(L6="semestriel","Semestres","Années"))))</f>
        <v>Trimestres</v>
      </c>
      <c r="J24" s="1658" t="s">
        <v>765</v>
      </c>
      <c r="K24" s="1659" t="s">
        <v>770</v>
      </c>
      <c r="L24" s="1660" t="s">
        <v>320</v>
      </c>
      <c r="M24" s="1661" t="s">
        <v>768</v>
      </c>
      <c r="N24" s="772"/>
      <c r="O24" s="1657" t="str">
        <f>IF(ISBLANK(R6)," ",IF(R6="mensuel","Mois",IF(R6="trimestriel","Trimestres",IF(R6="semestriel","Semestres","Années"))))</f>
        <v xml:space="preserve"> </v>
      </c>
      <c r="P24" s="1658" t="s">
        <v>765</v>
      </c>
      <c r="Q24" s="1659" t="s">
        <v>770</v>
      </c>
      <c r="R24" s="1660" t="s">
        <v>320</v>
      </c>
      <c r="S24" s="1661" t="s">
        <v>768</v>
      </c>
      <c r="T24" s="772"/>
      <c r="U24" s="1657" t="str">
        <f>IF(ISBLANK(X6)," ",IF(X6="mensuel","Mois",IF(X6="trimestriel","Trimestres",IF(X6="semestriel","Semestres","Années"))))</f>
        <v xml:space="preserve"> </v>
      </c>
      <c r="V24" s="1658" t="s">
        <v>765</v>
      </c>
      <c r="W24" s="1659" t="s">
        <v>770</v>
      </c>
      <c r="X24" s="1660" t="s">
        <v>320</v>
      </c>
      <c r="Y24" s="1661" t="s">
        <v>768</v>
      </c>
      <c r="Z24" s="772"/>
      <c r="AA24" s="1657" t="str">
        <f>IF(ISBLANK(AD6)," ",IF(AD6="mensuel","Mois",IF(AD6="trimestriel","Trimestres",IF(AD6="semestriel","Semestres","Années"))))</f>
        <v xml:space="preserve"> </v>
      </c>
      <c r="AB24" s="1658" t="s">
        <v>765</v>
      </c>
      <c r="AC24" s="1659" t="s">
        <v>770</v>
      </c>
      <c r="AD24" s="1660" t="s">
        <v>320</v>
      </c>
      <c r="AE24" s="1661" t="s">
        <v>768</v>
      </c>
      <c r="AF24" s="772"/>
      <c r="AG24" s="1657" t="str">
        <f>IF(ISBLANK(AJ6)," ",IF(AJ6="mensuel","Mois",IF(AJ6="trimestriel","Trimestres",IF(AJ6="semestriel","Semestres","Années"))))</f>
        <v xml:space="preserve"> </v>
      </c>
      <c r="AH24" s="1658" t="s">
        <v>765</v>
      </c>
      <c r="AI24" s="1659" t="s">
        <v>770</v>
      </c>
      <c r="AJ24" s="1660" t="s">
        <v>320</v>
      </c>
      <c r="AK24" s="1661" t="s">
        <v>768</v>
      </c>
      <c r="AL24" s="772"/>
      <c r="AM24" s="772"/>
      <c r="AN24" s="772"/>
      <c r="AO24" s="772"/>
      <c r="AP24" s="772"/>
      <c r="AQ24" s="772"/>
      <c r="AR24" s="772"/>
      <c r="AS24" s="772"/>
      <c r="AT24" s="772"/>
      <c r="AU24" s="772"/>
      <c r="AV24" s="772"/>
      <c r="AW24" s="772"/>
      <c r="AX24" s="772"/>
      <c r="AY24" s="772"/>
      <c r="AZ24" s="772"/>
      <c r="BA24" s="772"/>
      <c r="BB24" s="772"/>
      <c r="BC24" s="772"/>
      <c r="BD24" s="772"/>
      <c r="BE24" s="772"/>
      <c r="BF24" s="772"/>
      <c r="BG24" s="772"/>
      <c r="BH24" s="772"/>
      <c r="BI24" s="772"/>
      <c r="BJ24" s="772"/>
      <c r="BK24" s="772"/>
      <c r="BL24" s="772"/>
      <c r="BM24" s="772"/>
      <c r="BN24" s="772"/>
      <c r="BO24" s="772"/>
      <c r="BP24" s="772"/>
      <c r="BQ24" s="772"/>
      <c r="BR24" s="772"/>
      <c r="BS24" s="772"/>
      <c r="BT24" s="772"/>
      <c r="BU24" s="772"/>
      <c r="BV24" s="772"/>
      <c r="BW24" s="772"/>
      <c r="BX24" s="772"/>
      <c r="BY24" s="772"/>
      <c r="BZ24" s="772"/>
      <c r="CA24" s="772"/>
      <c r="CB24" s="772"/>
      <c r="CC24" s="772"/>
      <c r="CD24" s="772"/>
      <c r="CE24" s="772"/>
      <c r="CF24" s="772"/>
      <c r="CG24" s="772"/>
      <c r="CH24" s="772"/>
      <c r="CI24" s="772"/>
      <c r="CJ24" s="772"/>
      <c r="CK24" s="772"/>
      <c r="CL24" s="772"/>
      <c r="CM24" s="772"/>
      <c r="CN24" s="772"/>
      <c r="CO24" s="772"/>
      <c r="CP24" s="772"/>
      <c r="CQ24" s="772"/>
      <c r="CR24" s="772"/>
      <c r="CS24" s="772"/>
      <c r="CT24" s="772"/>
      <c r="CU24" s="772"/>
      <c r="CV24" s="772"/>
      <c r="CW24" s="772"/>
      <c r="CX24" s="772"/>
      <c r="CY24" s="772"/>
      <c r="CZ24" s="772"/>
      <c r="DA24" s="772"/>
      <c r="DB24" s="772"/>
      <c r="DC24" s="772"/>
      <c r="DD24" s="772"/>
      <c r="DE24" s="772"/>
      <c r="DF24" s="772"/>
      <c r="DG24" s="772"/>
      <c r="DH24" s="772"/>
      <c r="DI24" s="772"/>
      <c r="DJ24" s="772"/>
      <c r="DK24" s="772"/>
      <c r="DL24" s="772"/>
      <c r="DM24" s="772"/>
      <c r="DN24" s="772"/>
      <c r="DO24" s="772"/>
      <c r="DP24" s="772"/>
      <c r="DQ24" s="772"/>
      <c r="DR24" s="772"/>
      <c r="DS24" s="772"/>
      <c r="DT24" s="772"/>
      <c r="DU24" s="772"/>
      <c r="DV24" s="772"/>
      <c r="DW24" s="772"/>
      <c r="DX24" s="772"/>
      <c r="DY24" s="772"/>
      <c r="DZ24" s="772"/>
      <c r="EA24" s="772"/>
      <c r="EB24" s="772"/>
      <c r="EC24" s="772"/>
      <c r="ED24" s="772"/>
      <c r="EE24" s="772"/>
      <c r="EF24" s="772"/>
      <c r="EG24" s="772"/>
      <c r="EH24" s="772"/>
      <c r="EI24" s="772"/>
      <c r="EJ24" s="772"/>
      <c r="EK24" s="772"/>
      <c r="EL24" s="772"/>
      <c r="EM24" s="772"/>
      <c r="EN24" s="772"/>
      <c r="EO24" s="772"/>
      <c r="EP24" s="772"/>
      <c r="EQ24" s="772"/>
      <c r="ER24" s="772"/>
      <c r="ES24" s="772"/>
      <c r="ET24" s="772"/>
      <c r="EU24" s="772"/>
      <c r="EV24" s="772"/>
      <c r="EW24" s="772"/>
      <c r="EX24" s="772"/>
      <c r="EY24" s="772"/>
      <c r="EZ24" s="772"/>
      <c r="FA24" s="772"/>
      <c r="FB24" s="772"/>
      <c r="FC24" s="772"/>
      <c r="FD24" s="772"/>
      <c r="FE24" s="772"/>
      <c r="FF24" s="772"/>
      <c r="FG24" s="772"/>
      <c r="FH24" s="772"/>
      <c r="FI24" s="772"/>
      <c r="FJ24" s="772"/>
      <c r="FK24" s="772"/>
      <c r="FL24" s="772"/>
      <c r="FM24" s="772"/>
      <c r="FN24" s="772"/>
      <c r="FO24" s="772"/>
      <c r="FP24" s="772"/>
      <c r="FQ24" s="772"/>
      <c r="FR24" s="772"/>
      <c r="FS24" s="772"/>
      <c r="FT24" s="772"/>
      <c r="FU24" s="772"/>
      <c r="FV24" s="772"/>
      <c r="FW24" s="772"/>
      <c r="FX24" s="772"/>
      <c r="FY24" s="772"/>
      <c r="FZ24" s="772"/>
      <c r="GA24" s="772"/>
      <c r="GB24" s="772"/>
      <c r="GC24" s="772"/>
      <c r="GD24" s="772"/>
      <c r="GE24" s="772"/>
      <c r="GF24" s="772"/>
      <c r="GG24" s="772"/>
      <c r="GH24" s="772"/>
      <c r="GI24" s="772"/>
      <c r="GJ24" s="772"/>
      <c r="GK24" s="772"/>
      <c r="GL24" s="772"/>
      <c r="GM24" s="772"/>
      <c r="GN24" s="772"/>
      <c r="GO24" s="772"/>
      <c r="GP24" s="772"/>
      <c r="GQ24" s="772"/>
      <c r="GR24" s="772"/>
      <c r="GS24" s="772"/>
      <c r="GT24" s="772"/>
      <c r="GU24" s="772"/>
      <c r="GV24" s="772"/>
      <c r="GW24" s="772"/>
      <c r="GX24" s="772"/>
      <c r="GY24" s="772"/>
      <c r="GZ24" s="772"/>
      <c r="HA24" s="772"/>
      <c r="HB24" s="772"/>
      <c r="HC24" s="772"/>
      <c r="HD24" s="772"/>
      <c r="HE24" s="772"/>
      <c r="HF24" s="772"/>
      <c r="HG24" s="772"/>
      <c r="HH24" s="772"/>
      <c r="HI24" s="772"/>
      <c r="HJ24" s="772"/>
      <c r="HK24" s="772"/>
      <c r="HL24" s="772"/>
      <c r="HM24" s="772"/>
      <c r="HN24" s="772"/>
      <c r="HO24" s="772"/>
      <c r="HP24" s="772"/>
      <c r="HQ24" s="772"/>
      <c r="HR24" s="772"/>
      <c r="HS24" s="772"/>
      <c r="HT24" s="772"/>
      <c r="HU24" s="772"/>
      <c r="HV24" s="772"/>
      <c r="HW24" s="772"/>
      <c r="HX24" s="772"/>
      <c r="HY24" s="772"/>
      <c r="HZ24" s="772"/>
      <c r="IA24" s="772"/>
      <c r="IB24" s="772"/>
      <c r="IC24" s="772"/>
      <c r="ID24" s="772"/>
      <c r="IE24" s="772"/>
      <c r="IF24" s="772"/>
      <c r="IG24" s="772"/>
      <c r="IH24" s="772"/>
      <c r="II24" s="772"/>
      <c r="IJ24" s="772"/>
      <c r="IK24" s="772"/>
    </row>
    <row r="25" spans="1:245" s="765" customFormat="1" ht="20.100000000000001" customHeight="1" x14ac:dyDescent="0.25">
      <c r="A25" s="772"/>
      <c r="B25" s="783"/>
      <c r="C25" s="784"/>
      <c r="D25" s="784"/>
      <c r="E25" s="784"/>
      <c r="F25" s="784"/>
      <c r="G25" s="784"/>
      <c r="H25" s="772"/>
      <c r="I25" s="1662">
        <v>1</v>
      </c>
      <c r="J25" s="1667">
        <f t="shared" ref="J25:J56" si="17">ROUND(IF(I25&gt;annuité_emprunt1,0,IF(I25&gt;différé_emprunt1,-PMT((taux_emprunt1/périodicité_emprunt1),(annuité_emprunt1-différé_emprunt1),emprunt1),emprunt1*taux_emprunt1/périodicité_emprunt1)),2)</f>
        <v>0</v>
      </c>
      <c r="K25" s="1665">
        <f t="shared" ref="K25:K26" si="18">IF(J25=0,0,J25-L25)</f>
        <v>0</v>
      </c>
      <c r="L25" s="1669">
        <f>ROUND(IF(J25=0,0,IF(I25=annuité_emprunt1,emprunt1,IF(I25&gt;différé_emprunt1,-PPMT((taux_emprunt1/périodicité_emprunt1),I25-différé_emprunt1,(annuité_emprunt1-différé_emprunt1),emprunt1),0))),2)</f>
        <v>0</v>
      </c>
      <c r="M25" s="1671">
        <f>J4-L25</f>
        <v>0</v>
      </c>
      <c r="N25" s="772"/>
      <c r="O25" s="1662">
        <v>1</v>
      </c>
      <c r="P25" s="1667">
        <f t="shared" ref="P25:P56" si="19">ROUND(IF(O25&gt;annuité_emprunt2,0,IF(O25&gt;différé_emprunt2,-PMT((taux_emprunt2/périodicité_emprunt2),(annuité_emprunt2-différé_emprunt2),emprunt2),emprunt2*taux_emprunt2/périodicité_emprunt2)),2)</f>
        <v>0</v>
      </c>
      <c r="Q25" s="1665">
        <f t="shared" ref="Q25:Q26" si="20">IF(P25=0,0,P25-R25)</f>
        <v>0</v>
      </c>
      <c r="R25" s="1669">
        <f>ROUND(IF(P25=0,0,IF(O25=annuité_emprunt2,emprunt2,IF(O25&gt;différé_emprunt2,-PPMT((taux_emprunt2/périodicité_emprunt2),O25-différé_emprunt2,(annuité_emprunt2-différé_emprunt2),emprunt2),0))),2)</f>
        <v>0</v>
      </c>
      <c r="S25" s="1671">
        <f>P4-R25</f>
        <v>0</v>
      </c>
      <c r="T25" s="772"/>
      <c r="U25" s="1662">
        <v>1</v>
      </c>
      <c r="V25" s="1667">
        <f t="shared" ref="V25:V56" si="21">ROUND(IF(U25&gt;annuité_emprunt3,0,IF(U25&gt;différé_emprunt3,-PMT((taux_emprunt3/périodicité_emprunt3),(annuité_emprunt3-différé_emprunt3),emprunt3),emprunt3*taux_emprunt3/périodicité_emprunt3)),2)</f>
        <v>0</v>
      </c>
      <c r="W25" s="1665">
        <f t="shared" ref="W25:W26" si="22">IF(V25=0,0,V25-X25)</f>
        <v>0</v>
      </c>
      <c r="X25" s="1669">
        <f>ROUND(IF(V25=0,0,IF(U25=annuité_emprunt3,emprunt3,IF(U25&gt;différé_emprunt3,-PPMT((taux_emprunt3/périodicité_emprunt3),U25-différé_emprunt3,(annuité_emprunt3-différé_emprunt3),emprunt3),0))),2)</f>
        <v>0</v>
      </c>
      <c r="Y25" s="1671">
        <f>V4-X25</f>
        <v>0</v>
      </c>
      <c r="Z25" s="772"/>
      <c r="AA25" s="1662">
        <v>1</v>
      </c>
      <c r="AB25" s="1667">
        <f t="shared" ref="AB25:AB56" si="23">ROUND(IF(AA25&gt;annuité_emprunt4,0,IF(AA25&gt;différé_emprunt4,-PMT((taux_emprunt4/périodicité_emprunt4),(annuité_emprunt4-différé_emprunt4),emprunt4),emprunt4*taux_emprunt4/périodicité_emprunt4)),2)</f>
        <v>0</v>
      </c>
      <c r="AC25" s="1665">
        <f t="shared" ref="AC25:AC26" si="24">IF(AB25=0,0,AB25-AD25)</f>
        <v>0</v>
      </c>
      <c r="AD25" s="1669">
        <f>ROUND(IF(AB25=0,0,IF(AA25=annuité_emprunt4,emprunt4,IF(AA25&gt;différé_emprunt4,-PPMT((taux_emprunt4/périodicité_emprunt4),AA25-différé_emprunt3,(annuité_emprunt4-différé_emprunt4),emprunt4),0))),2)</f>
        <v>0</v>
      </c>
      <c r="AE25" s="1671">
        <f>AB4-AD25</f>
        <v>0</v>
      </c>
      <c r="AF25" s="772"/>
      <c r="AG25" s="1662">
        <v>1</v>
      </c>
      <c r="AH25" s="1667">
        <f t="shared" ref="AH25:AH56" si="25">ROUND(IF(AG25&gt;annuité_emprunt5,0,IF(AG25&gt;différé_emprunt5,-PMT((taux_emprunt5/périodicité_emprunt5),(annuité_emprunt5-différé_emprunt5),emprunt5),emprunt5*taux_emprunt5/périodicité_emprunt5)),2)</f>
        <v>0</v>
      </c>
      <c r="AI25" s="1665">
        <f t="shared" ref="AI25:AI26" si="26">IF(AH25=0,0,AH25-AJ25)</f>
        <v>0</v>
      </c>
      <c r="AJ25" s="1669">
        <f>ROUND(IF(AH25=0,0,IF(AG25=annuité_emprunt5,emprunt5,IF(AG25&gt;différé_emprunt5,-PPMT((taux_emprunt5/périodicité_emprunt5),AG25-différé_emprunt5,(annuité_emprunt5-différé_emprunt5),emprunt5),0))),2)</f>
        <v>0</v>
      </c>
      <c r="AK25" s="1671">
        <f>AH4-AJ25</f>
        <v>0</v>
      </c>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772"/>
      <c r="BK25" s="772"/>
      <c r="BL25" s="772"/>
      <c r="BM25" s="772"/>
      <c r="BN25" s="772"/>
      <c r="BO25" s="772"/>
      <c r="BP25" s="772"/>
      <c r="BQ25" s="772"/>
      <c r="BR25" s="772"/>
      <c r="BS25" s="772"/>
      <c r="BT25" s="772"/>
      <c r="BU25" s="772"/>
      <c r="BV25" s="772"/>
      <c r="BW25" s="772"/>
      <c r="BX25" s="772"/>
      <c r="BY25" s="772"/>
      <c r="BZ25" s="772"/>
      <c r="CA25" s="772"/>
      <c r="CB25" s="772"/>
      <c r="CC25" s="772"/>
      <c r="CD25" s="772"/>
      <c r="CE25" s="772"/>
      <c r="CF25" s="772"/>
      <c r="CG25" s="772"/>
      <c r="CH25" s="772"/>
      <c r="CI25" s="772"/>
      <c r="CJ25" s="772"/>
      <c r="CK25" s="772"/>
      <c r="CL25" s="772"/>
      <c r="CM25" s="772"/>
      <c r="CN25" s="772"/>
      <c r="CO25" s="772"/>
      <c r="CP25" s="772"/>
      <c r="CQ25" s="772"/>
      <c r="CR25" s="772"/>
      <c r="CS25" s="772"/>
      <c r="CT25" s="772"/>
      <c r="CU25" s="772"/>
      <c r="CV25" s="772"/>
      <c r="CW25" s="772"/>
      <c r="CX25" s="772"/>
      <c r="CY25" s="772"/>
      <c r="CZ25" s="772"/>
      <c r="DA25" s="772"/>
      <c r="DB25" s="772"/>
      <c r="DC25" s="772"/>
      <c r="DD25" s="772"/>
      <c r="DE25" s="772"/>
      <c r="DF25" s="772"/>
      <c r="DG25" s="772"/>
      <c r="DH25" s="772"/>
      <c r="DI25" s="772"/>
      <c r="DJ25" s="772"/>
      <c r="DK25" s="772"/>
      <c r="DL25" s="772"/>
      <c r="DM25" s="772"/>
      <c r="DN25" s="772"/>
      <c r="DO25" s="772"/>
      <c r="DP25" s="772"/>
      <c r="DQ25" s="772"/>
      <c r="DR25" s="772"/>
      <c r="DS25" s="772"/>
      <c r="DT25" s="772"/>
      <c r="DU25" s="772"/>
      <c r="DV25" s="772"/>
      <c r="DW25" s="772"/>
      <c r="DX25" s="772"/>
      <c r="DY25" s="772"/>
      <c r="DZ25" s="772"/>
      <c r="EA25" s="772"/>
      <c r="EB25" s="772"/>
      <c r="EC25" s="772"/>
      <c r="ED25" s="772"/>
      <c r="EE25" s="772"/>
      <c r="EF25" s="772"/>
      <c r="EG25" s="772"/>
      <c r="EH25" s="772"/>
      <c r="EI25" s="772"/>
      <c r="EJ25" s="772"/>
      <c r="EK25" s="772"/>
      <c r="EL25" s="772"/>
      <c r="EM25" s="772"/>
      <c r="EN25" s="772"/>
      <c r="EO25" s="772"/>
      <c r="EP25" s="772"/>
      <c r="EQ25" s="772"/>
      <c r="ER25" s="772"/>
      <c r="ES25" s="772"/>
      <c r="ET25" s="772"/>
      <c r="EU25" s="772"/>
      <c r="EV25" s="772"/>
      <c r="EW25" s="772"/>
      <c r="EX25" s="772"/>
      <c r="EY25" s="772"/>
      <c r="EZ25" s="772"/>
      <c r="FA25" s="772"/>
      <c r="FB25" s="772"/>
      <c r="FC25" s="772"/>
      <c r="FD25" s="772"/>
      <c r="FE25" s="772"/>
      <c r="FF25" s="772"/>
      <c r="FG25" s="772"/>
      <c r="FH25" s="772"/>
      <c r="FI25" s="772"/>
      <c r="FJ25" s="772"/>
      <c r="FK25" s="772"/>
      <c r="FL25" s="772"/>
      <c r="FM25" s="772"/>
      <c r="FN25" s="772"/>
      <c r="FO25" s="772"/>
      <c r="FP25" s="772"/>
      <c r="FQ25" s="772"/>
      <c r="FR25" s="772"/>
      <c r="FS25" s="772"/>
      <c r="FT25" s="772"/>
      <c r="FU25" s="772"/>
      <c r="FV25" s="772"/>
      <c r="FW25" s="772"/>
      <c r="FX25" s="772"/>
      <c r="FY25" s="772"/>
      <c r="FZ25" s="772"/>
      <c r="GA25" s="772"/>
      <c r="GB25" s="772"/>
      <c r="GC25" s="772"/>
      <c r="GD25" s="772"/>
      <c r="GE25" s="772"/>
      <c r="GF25" s="772"/>
      <c r="GG25" s="772"/>
      <c r="GH25" s="772"/>
      <c r="GI25" s="772"/>
      <c r="GJ25" s="772"/>
      <c r="GK25" s="772"/>
      <c r="GL25" s="772"/>
      <c r="GM25" s="772"/>
      <c r="GN25" s="772"/>
      <c r="GO25" s="772"/>
      <c r="GP25" s="772"/>
      <c r="GQ25" s="772"/>
      <c r="GR25" s="772"/>
      <c r="GS25" s="772"/>
      <c r="GT25" s="772"/>
      <c r="GU25" s="772"/>
      <c r="GV25" s="772"/>
      <c r="GW25" s="772"/>
      <c r="GX25" s="772"/>
      <c r="GY25" s="772"/>
      <c r="GZ25" s="772"/>
      <c r="HA25" s="772"/>
      <c r="HB25" s="772"/>
      <c r="HC25" s="772"/>
      <c r="HD25" s="772"/>
      <c r="HE25" s="772"/>
      <c r="HF25" s="772"/>
      <c r="HG25" s="772"/>
      <c r="HH25" s="772"/>
      <c r="HI25" s="772"/>
      <c r="HJ25" s="772"/>
      <c r="HK25" s="772"/>
      <c r="HL25" s="772"/>
      <c r="HM25" s="772"/>
      <c r="HN25" s="772"/>
      <c r="HO25" s="772"/>
      <c r="HP25" s="772"/>
      <c r="HQ25" s="772"/>
      <c r="HR25" s="772"/>
      <c r="HS25" s="772"/>
      <c r="HT25" s="772"/>
      <c r="HU25" s="772"/>
      <c r="HV25" s="772"/>
      <c r="HW25" s="772"/>
      <c r="HX25" s="772"/>
      <c r="HY25" s="772"/>
      <c r="HZ25" s="772"/>
      <c r="IA25" s="772"/>
      <c r="IB25" s="772"/>
      <c r="IC25" s="772"/>
      <c r="ID25" s="772"/>
      <c r="IE25" s="772"/>
      <c r="IF25" s="772"/>
      <c r="IG25" s="772"/>
      <c r="IH25" s="772"/>
      <c r="II25" s="772"/>
      <c r="IJ25" s="772"/>
      <c r="IK25" s="772"/>
    </row>
    <row r="26" spans="1:245" s="765" customFormat="1" ht="20.100000000000001" customHeight="1" x14ac:dyDescent="0.25">
      <c r="A26" s="772"/>
      <c r="B26" s="783"/>
      <c r="C26" s="784"/>
      <c r="D26" s="784"/>
      <c r="E26" s="784"/>
      <c r="F26" s="784"/>
      <c r="G26" s="784"/>
      <c r="H26" s="772"/>
      <c r="I26" s="1663">
        <v>2</v>
      </c>
      <c r="J26" s="1668">
        <f t="shared" si="17"/>
        <v>0</v>
      </c>
      <c r="K26" s="1666">
        <f t="shared" si="18"/>
        <v>0</v>
      </c>
      <c r="L26" s="1670">
        <f t="shared" ref="L26:L57" si="27">ROUND(IF(J26=0,0,IF(I26=annuité_emprunt1,M25,IF(I26&gt;différé_emprunt1,-PPMT((taux_emprunt1/périodicité_emprunt1),I26-différé_emprunt1,(annuité_emprunt1-différé_emprunt1),emprunt1),0))),2)</f>
        <v>0</v>
      </c>
      <c r="M26" s="1668">
        <f>M25-L26</f>
        <v>0</v>
      </c>
      <c r="N26" s="772"/>
      <c r="O26" s="1663">
        <v>2</v>
      </c>
      <c r="P26" s="1668">
        <f t="shared" si="19"/>
        <v>0</v>
      </c>
      <c r="Q26" s="1666">
        <f t="shared" si="20"/>
        <v>0</v>
      </c>
      <c r="R26" s="1670">
        <f t="shared" ref="R26:R57" si="28">ROUND(IF(P26=0,0,IF(O26=annuité_emprunt2,S25,IF(O26&gt;différé_emprunt2,-PPMT((taux_emprunt2/périodicité_emprunt2),O26-différé_emprunt2,(annuité_emprunt2-différé_emprunt2),emprunt2),0))),2)</f>
        <v>0</v>
      </c>
      <c r="S26" s="1668">
        <f>S25-R26</f>
        <v>0</v>
      </c>
      <c r="T26" s="772"/>
      <c r="U26" s="1663">
        <v>2</v>
      </c>
      <c r="V26" s="1668">
        <f t="shared" si="21"/>
        <v>0</v>
      </c>
      <c r="W26" s="1666">
        <f t="shared" si="22"/>
        <v>0</v>
      </c>
      <c r="X26" s="1670">
        <f t="shared" ref="X26:X57" si="29">ROUND(IF(V26=0,0,IF(U26=annuité_emprunt3,Y25,IF(U26&gt;différé_emprunt3,-PPMT((taux_emprunt3/périodicité_emprunt3),U26-différé_emprunt3,(annuité_emprunt3-différé_emprunt3),emprunt3),0))),2)</f>
        <v>0</v>
      </c>
      <c r="Y26" s="1668">
        <f>Y25-X26</f>
        <v>0</v>
      </c>
      <c r="Z26" s="772"/>
      <c r="AA26" s="1663">
        <v>2</v>
      </c>
      <c r="AB26" s="1668">
        <f t="shared" si="23"/>
        <v>0</v>
      </c>
      <c r="AC26" s="1666">
        <f t="shared" si="24"/>
        <v>0</v>
      </c>
      <c r="AD26" s="1670">
        <f t="shared" ref="AD26:AD57" si="30">ROUND(IF(AB26=0,0,IF(AA26=annuité_emprunt4,AE25,IF(AA26&gt;différé_emprunt4,-PPMT((taux_emprunt4/périodicité_emprunt4),AA26-différé_emprunt4,(annuité_emprunt4-différé_emprunt4),emprunt4),0))),2)</f>
        <v>0</v>
      </c>
      <c r="AE26" s="1668">
        <f>AE25-AD26</f>
        <v>0</v>
      </c>
      <c r="AF26" s="772"/>
      <c r="AG26" s="1663">
        <v>2</v>
      </c>
      <c r="AH26" s="1668">
        <f t="shared" si="25"/>
        <v>0</v>
      </c>
      <c r="AI26" s="1666">
        <f t="shared" si="26"/>
        <v>0</v>
      </c>
      <c r="AJ26" s="1670">
        <f t="shared" ref="AJ26:AJ57" si="31">ROUND(IF(AH26=0,0,IF(AG26=annuité_emprunt5,AK25,IF(AG26&gt;différé_emprunt5,-PPMT((taux_emprunt5/périodicité_emprunt5),AG26-différé_emprunt5,(annuité_emprunt5-différé_emprunt5),emprunt5),0))),2)</f>
        <v>0</v>
      </c>
      <c r="AK26" s="1668">
        <f>AK25-AJ26</f>
        <v>0</v>
      </c>
      <c r="AL26" s="772"/>
      <c r="AM26" s="772"/>
      <c r="AN26" s="772"/>
      <c r="AO26" s="772"/>
      <c r="AP26" s="772"/>
      <c r="AQ26" s="772"/>
      <c r="AR26" s="772"/>
      <c r="AS26" s="772"/>
      <c r="AT26" s="772"/>
      <c r="AU26" s="772"/>
      <c r="AV26" s="772"/>
      <c r="AW26" s="772"/>
      <c r="AX26" s="772"/>
      <c r="AY26" s="772"/>
      <c r="AZ26" s="772"/>
      <c r="BA26" s="772"/>
      <c r="BB26" s="772"/>
      <c r="BC26" s="772"/>
      <c r="BD26" s="772"/>
      <c r="BE26" s="772"/>
      <c r="BF26" s="772"/>
      <c r="BG26" s="772"/>
      <c r="BH26" s="772"/>
      <c r="BI26" s="772"/>
      <c r="BJ26" s="772"/>
      <c r="BK26" s="772"/>
      <c r="BL26" s="772"/>
      <c r="BM26" s="772"/>
      <c r="BN26" s="772"/>
      <c r="BO26" s="772"/>
      <c r="BP26" s="772"/>
      <c r="BQ26" s="772"/>
      <c r="BR26" s="772"/>
      <c r="BS26" s="772"/>
      <c r="BT26" s="772"/>
      <c r="BU26" s="772"/>
      <c r="BV26" s="772"/>
      <c r="BW26" s="772"/>
      <c r="BX26" s="772"/>
      <c r="BY26" s="772"/>
      <c r="BZ26" s="772"/>
      <c r="CA26" s="772"/>
      <c r="CB26" s="772"/>
      <c r="CC26" s="772"/>
      <c r="CD26" s="772"/>
      <c r="CE26" s="772"/>
      <c r="CF26" s="772"/>
      <c r="CG26" s="772"/>
      <c r="CH26" s="772"/>
      <c r="CI26" s="772"/>
      <c r="CJ26" s="772"/>
      <c r="CK26" s="772"/>
      <c r="CL26" s="772"/>
      <c r="CM26" s="772"/>
      <c r="CN26" s="772"/>
      <c r="CO26" s="772"/>
      <c r="CP26" s="772"/>
      <c r="CQ26" s="772"/>
      <c r="CR26" s="772"/>
      <c r="CS26" s="772"/>
      <c r="CT26" s="772"/>
      <c r="CU26" s="772"/>
      <c r="CV26" s="772"/>
      <c r="CW26" s="772"/>
      <c r="CX26" s="772"/>
      <c r="CY26" s="772"/>
      <c r="CZ26" s="772"/>
      <c r="DA26" s="772"/>
      <c r="DB26" s="772"/>
      <c r="DC26" s="772"/>
      <c r="DD26" s="772"/>
      <c r="DE26" s="772"/>
      <c r="DF26" s="772"/>
      <c r="DG26" s="772"/>
      <c r="DH26" s="772"/>
      <c r="DI26" s="772"/>
      <c r="DJ26" s="772"/>
      <c r="DK26" s="772"/>
      <c r="DL26" s="772"/>
      <c r="DM26" s="772"/>
      <c r="DN26" s="772"/>
      <c r="DO26" s="772"/>
      <c r="DP26" s="772"/>
      <c r="DQ26" s="772"/>
      <c r="DR26" s="772"/>
      <c r="DS26" s="772"/>
      <c r="DT26" s="772"/>
      <c r="DU26" s="772"/>
      <c r="DV26" s="772"/>
      <c r="DW26" s="772"/>
      <c r="DX26" s="772"/>
      <c r="DY26" s="772"/>
      <c r="DZ26" s="772"/>
      <c r="EA26" s="772"/>
      <c r="EB26" s="772"/>
      <c r="EC26" s="772"/>
      <c r="ED26" s="772"/>
      <c r="EE26" s="772"/>
      <c r="EF26" s="772"/>
      <c r="EG26" s="772"/>
      <c r="EH26" s="772"/>
      <c r="EI26" s="772"/>
      <c r="EJ26" s="772"/>
      <c r="EK26" s="772"/>
      <c r="EL26" s="772"/>
      <c r="EM26" s="772"/>
      <c r="EN26" s="772"/>
      <c r="EO26" s="772"/>
      <c r="EP26" s="772"/>
      <c r="EQ26" s="772"/>
      <c r="ER26" s="772"/>
      <c r="ES26" s="772"/>
      <c r="ET26" s="772"/>
      <c r="EU26" s="772"/>
      <c r="EV26" s="772"/>
      <c r="EW26" s="772"/>
      <c r="EX26" s="772"/>
      <c r="EY26" s="772"/>
      <c r="EZ26" s="772"/>
      <c r="FA26" s="772"/>
      <c r="FB26" s="772"/>
      <c r="FC26" s="772"/>
      <c r="FD26" s="772"/>
      <c r="FE26" s="772"/>
      <c r="FF26" s="772"/>
      <c r="FG26" s="772"/>
      <c r="FH26" s="772"/>
      <c r="FI26" s="772"/>
      <c r="FJ26" s="772"/>
      <c r="FK26" s="772"/>
      <c r="FL26" s="772"/>
      <c r="FM26" s="772"/>
      <c r="FN26" s="772"/>
      <c r="FO26" s="772"/>
      <c r="FP26" s="772"/>
      <c r="FQ26" s="772"/>
      <c r="FR26" s="772"/>
      <c r="FS26" s="772"/>
      <c r="FT26" s="772"/>
      <c r="FU26" s="772"/>
      <c r="FV26" s="772"/>
      <c r="FW26" s="772"/>
      <c r="FX26" s="772"/>
      <c r="FY26" s="772"/>
      <c r="FZ26" s="772"/>
      <c r="GA26" s="772"/>
      <c r="GB26" s="772"/>
      <c r="GC26" s="772"/>
      <c r="GD26" s="772"/>
      <c r="GE26" s="772"/>
      <c r="GF26" s="772"/>
      <c r="GG26" s="772"/>
      <c r="GH26" s="772"/>
      <c r="GI26" s="772"/>
      <c r="GJ26" s="772"/>
      <c r="GK26" s="772"/>
      <c r="GL26" s="772"/>
      <c r="GM26" s="772"/>
      <c r="GN26" s="772"/>
      <c r="GO26" s="772"/>
      <c r="GP26" s="772"/>
      <c r="GQ26" s="772"/>
      <c r="GR26" s="772"/>
      <c r="GS26" s="772"/>
      <c r="GT26" s="772"/>
      <c r="GU26" s="772"/>
      <c r="GV26" s="772"/>
      <c r="GW26" s="772"/>
      <c r="GX26" s="772"/>
      <c r="GY26" s="772"/>
      <c r="GZ26" s="772"/>
      <c r="HA26" s="772"/>
      <c r="HB26" s="772"/>
      <c r="HC26" s="772"/>
      <c r="HD26" s="772"/>
      <c r="HE26" s="772"/>
      <c r="HF26" s="772"/>
      <c r="HG26" s="772"/>
      <c r="HH26" s="772"/>
      <c r="HI26" s="772"/>
      <c r="HJ26" s="772"/>
      <c r="HK26" s="772"/>
      <c r="HL26" s="772"/>
      <c r="HM26" s="772"/>
      <c r="HN26" s="772"/>
      <c r="HO26" s="772"/>
      <c r="HP26" s="772"/>
      <c r="HQ26" s="772"/>
      <c r="HR26" s="772"/>
      <c r="HS26" s="772"/>
      <c r="HT26" s="772"/>
      <c r="HU26" s="772"/>
      <c r="HV26" s="772"/>
      <c r="HW26" s="772"/>
      <c r="HX26" s="772"/>
      <c r="HY26" s="772"/>
      <c r="HZ26" s="772"/>
      <c r="IA26" s="772"/>
      <c r="IB26" s="772"/>
      <c r="IC26" s="772"/>
      <c r="ID26" s="772"/>
      <c r="IE26" s="772"/>
      <c r="IF26" s="772"/>
      <c r="IG26" s="772"/>
      <c r="IH26" s="772"/>
      <c r="II26" s="772"/>
      <c r="IJ26" s="772"/>
      <c r="IK26" s="772"/>
    </row>
    <row r="27" spans="1:245" s="765" customFormat="1" ht="20.100000000000001" customHeight="1" x14ac:dyDescent="0.25">
      <c r="A27" s="772"/>
      <c r="B27" s="783"/>
      <c r="C27" s="784"/>
      <c r="D27" s="784"/>
      <c r="E27" s="784"/>
      <c r="F27" s="784"/>
      <c r="G27" s="784"/>
      <c r="H27" s="772"/>
      <c r="I27" s="1664">
        <f t="shared" ref="I27:I90" si="32">1+I26</f>
        <v>3</v>
      </c>
      <c r="J27" s="1668">
        <f t="shared" si="17"/>
        <v>0</v>
      </c>
      <c r="K27" s="1666">
        <f>IF(J27=0,0,J27-L27)</f>
        <v>0</v>
      </c>
      <c r="L27" s="1670">
        <f t="shared" si="27"/>
        <v>0</v>
      </c>
      <c r="M27" s="1668">
        <f t="shared" ref="M27:M90" si="33">M26-L27</f>
        <v>0</v>
      </c>
      <c r="N27" s="772"/>
      <c r="O27" s="1664">
        <f t="shared" ref="O27:O90" si="34">1+O26</f>
        <v>3</v>
      </c>
      <c r="P27" s="1668">
        <f t="shared" si="19"/>
        <v>0</v>
      </c>
      <c r="Q27" s="1666">
        <f>IF(P27=0,0,P27-R27)</f>
        <v>0</v>
      </c>
      <c r="R27" s="1670">
        <f t="shared" si="28"/>
        <v>0</v>
      </c>
      <c r="S27" s="1668">
        <f t="shared" ref="S27:S90" si="35">S26-R27</f>
        <v>0</v>
      </c>
      <c r="T27" s="772"/>
      <c r="U27" s="1664">
        <f t="shared" ref="U27:U90" si="36">1+U26</f>
        <v>3</v>
      </c>
      <c r="V27" s="1668">
        <f t="shared" si="21"/>
        <v>0</v>
      </c>
      <c r="W27" s="1666">
        <f>IF(V27=0,0,V27-X27)</f>
        <v>0</v>
      </c>
      <c r="X27" s="1670">
        <f t="shared" si="29"/>
        <v>0</v>
      </c>
      <c r="Y27" s="1668">
        <f t="shared" ref="Y27:Y90" si="37">Y26-X27</f>
        <v>0</v>
      </c>
      <c r="Z27" s="772"/>
      <c r="AA27" s="1664">
        <f t="shared" ref="AA27:AA90" si="38">1+AA26</f>
        <v>3</v>
      </c>
      <c r="AB27" s="1668">
        <f t="shared" si="23"/>
        <v>0</v>
      </c>
      <c r="AC27" s="1666">
        <f>IF(AB27=0,0,AB27-AD27)</f>
        <v>0</v>
      </c>
      <c r="AD27" s="1670">
        <f t="shared" si="30"/>
        <v>0</v>
      </c>
      <c r="AE27" s="1668">
        <f t="shared" ref="AE27:AE90" si="39">AE26-AD27</f>
        <v>0</v>
      </c>
      <c r="AF27" s="772"/>
      <c r="AG27" s="1664">
        <f t="shared" ref="AG27:AG90" si="40">1+AG26</f>
        <v>3</v>
      </c>
      <c r="AH27" s="1668">
        <f t="shared" si="25"/>
        <v>0</v>
      </c>
      <c r="AI27" s="1666">
        <f>IF(AH27=0,0,AH27-AJ27)</f>
        <v>0</v>
      </c>
      <c r="AJ27" s="1670">
        <f t="shared" si="31"/>
        <v>0</v>
      </c>
      <c r="AK27" s="1668">
        <f t="shared" ref="AK27:AK90" si="41">AK26-AJ27</f>
        <v>0</v>
      </c>
      <c r="AL27" s="772"/>
      <c r="AM27" s="772"/>
      <c r="AN27" s="772"/>
      <c r="AO27" s="772"/>
      <c r="AP27" s="772"/>
      <c r="AQ27" s="772"/>
      <c r="AR27" s="772"/>
      <c r="AS27" s="772"/>
      <c r="AT27" s="772"/>
      <c r="AU27" s="772"/>
      <c r="AV27" s="772"/>
      <c r="AW27" s="772"/>
      <c r="AX27" s="772"/>
      <c r="AY27" s="772"/>
      <c r="AZ27" s="772"/>
      <c r="BA27" s="772"/>
      <c r="BB27" s="772"/>
      <c r="BC27" s="772"/>
      <c r="BD27" s="772"/>
      <c r="BE27" s="772"/>
      <c r="BF27" s="772"/>
      <c r="BG27" s="772"/>
      <c r="BH27" s="772"/>
      <c r="BI27" s="772"/>
      <c r="BJ27" s="772"/>
      <c r="BK27" s="772"/>
      <c r="BL27" s="772"/>
      <c r="BM27" s="772"/>
      <c r="BN27" s="772"/>
      <c r="BO27" s="772"/>
      <c r="BP27" s="772"/>
      <c r="BQ27" s="772"/>
      <c r="BR27" s="772"/>
      <c r="BS27" s="772"/>
      <c r="BT27" s="772"/>
      <c r="BU27" s="772"/>
      <c r="BV27" s="772"/>
      <c r="BW27" s="772"/>
      <c r="BX27" s="772"/>
      <c r="BY27" s="772"/>
      <c r="BZ27" s="772"/>
      <c r="CA27" s="772"/>
      <c r="CB27" s="772"/>
      <c r="CC27" s="772"/>
      <c r="CD27" s="772"/>
      <c r="CE27" s="772"/>
      <c r="CF27" s="772"/>
      <c r="CG27" s="772"/>
      <c r="CH27" s="772"/>
      <c r="CI27" s="772"/>
      <c r="CJ27" s="772"/>
      <c r="CK27" s="772"/>
      <c r="CL27" s="772"/>
      <c r="CM27" s="772"/>
      <c r="CN27" s="772"/>
      <c r="CO27" s="772"/>
      <c r="CP27" s="772"/>
      <c r="CQ27" s="772"/>
      <c r="CR27" s="772"/>
      <c r="CS27" s="772"/>
      <c r="CT27" s="772"/>
      <c r="CU27" s="772"/>
      <c r="CV27" s="772"/>
      <c r="CW27" s="772"/>
      <c r="CX27" s="772"/>
      <c r="CY27" s="772"/>
      <c r="CZ27" s="772"/>
      <c r="DA27" s="772"/>
      <c r="DB27" s="772"/>
      <c r="DC27" s="772"/>
      <c r="DD27" s="772"/>
      <c r="DE27" s="772"/>
      <c r="DF27" s="772"/>
      <c r="DG27" s="772"/>
      <c r="DH27" s="772"/>
      <c r="DI27" s="772"/>
      <c r="DJ27" s="772"/>
      <c r="DK27" s="772"/>
      <c r="DL27" s="772"/>
      <c r="DM27" s="772"/>
      <c r="DN27" s="772"/>
      <c r="DO27" s="772"/>
      <c r="DP27" s="772"/>
      <c r="DQ27" s="772"/>
      <c r="DR27" s="772"/>
      <c r="DS27" s="772"/>
      <c r="DT27" s="772"/>
      <c r="DU27" s="772"/>
      <c r="DV27" s="772"/>
      <c r="DW27" s="772"/>
      <c r="DX27" s="772"/>
      <c r="DY27" s="772"/>
      <c r="DZ27" s="772"/>
      <c r="EA27" s="772"/>
      <c r="EB27" s="772"/>
      <c r="EC27" s="772"/>
      <c r="ED27" s="772"/>
      <c r="EE27" s="772"/>
      <c r="EF27" s="772"/>
      <c r="EG27" s="772"/>
      <c r="EH27" s="772"/>
      <c r="EI27" s="772"/>
      <c r="EJ27" s="772"/>
      <c r="EK27" s="772"/>
      <c r="EL27" s="772"/>
      <c r="EM27" s="772"/>
      <c r="EN27" s="772"/>
      <c r="EO27" s="772"/>
      <c r="EP27" s="772"/>
      <c r="EQ27" s="772"/>
      <c r="ER27" s="772"/>
      <c r="ES27" s="772"/>
      <c r="ET27" s="772"/>
      <c r="EU27" s="772"/>
      <c r="EV27" s="772"/>
      <c r="EW27" s="772"/>
      <c r="EX27" s="772"/>
      <c r="EY27" s="772"/>
      <c r="EZ27" s="772"/>
      <c r="FA27" s="772"/>
      <c r="FB27" s="772"/>
      <c r="FC27" s="772"/>
      <c r="FD27" s="772"/>
      <c r="FE27" s="772"/>
      <c r="FF27" s="772"/>
      <c r="FG27" s="772"/>
      <c r="FH27" s="772"/>
      <c r="FI27" s="772"/>
      <c r="FJ27" s="772"/>
      <c r="FK27" s="772"/>
      <c r="FL27" s="772"/>
      <c r="FM27" s="772"/>
      <c r="FN27" s="772"/>
      <c r="FO27" s="772"/>
      <c r="FP27" s="772"/>
      <c r="FQ27" s="772"/>
      <c r="FR27" s="772"/>
      <c r="FS27" s="772"/>
      <c r="FT27" s="772"/>
      <c r="FU27" s="772"/>
      <c r="FV27" s="772"/>
      <c r="FW27" s="772"/>
      <c r="FX27" s="772"/>
      <c r="FY27" s="772"/>
      <c r="FZ27" s="772"/>
      <c r="GA27" s="772"/>
      <c r="GB27" s="772"/>
      <c r="GC27" s="772"/>
      <c r="GD27" s="772"/>
      <c r="GE27" s="772"/>
      <c r="GF27" s="772"/>
      <c r="GG27" s="772"/>
      <c r="GH27" s="772"/>
      <c r="GI27" s="772"/>
      <c r="GJ27" s="772"/>
      <c r="GK27" s="772"/>
      <c r="GL27" s="772"/>
      <c r="GM27" s="772"/>
      <c r="GN27" s="772"/>
      <c r="GO27" s="772"/>
      <c r="GP27" s="772"/>
      <c r="GQ27" s="772"/>
      <c r="GR27" s="772"/>
      <c r="GS27" s="772"/>
      <c r="GT27" s="772"/>
      <c r="GU27" s="772"/>
      <c r="GV27" s="772"/>
      <c r="GW27" s="772"/>
      <c r="GX27" s="772"/>
      <c r="GY27" s="772"/>
      <c r="GZ27" s="772"/>
      <c r="HA27" s="772"/>
      <c r="HB27" s="772"/>
      <c r="HC27" s="772"/>
      <c r="HD27" s="772"/>
      <c r="HE27" s="772"/>
      <c r="HF27" s="772"/>
      <c r="HG27" s="772"/>
      <c r="HH27" s="772"/>
      <c r="HI27" s="772"/>
      <c r="HJ27" s="772"/>
      <c r="HK27" s="772"/>
      <c r="HL27" s="772"/>
      <c r="HM27" s="772"/>
      <c r="HN27" s="772"/>
      <c r="HO27" s="772"/>
      <c r="HP27" s="772"/>
      <c r="HQ27" s="772"/>
      <c r="HR27" s="772"/>
      <c r="HS27" s="772"/>
      <c r="HT27" s="772"/>
      <c r="HU27" s="772"/>
      <c r="HV27" s="772"/>
      <c r="HW27" s="772"/>
      <c r="HX27" s="772"/>
      <c r="HY27" s="772"/>
      <c r="HZ27" s="772"/>
      <c r="IA27" s="772"/>
      <c r="IB27" s="772"/>
      <c r="IC27" s="772"/>
      <c r="ID27" s="772"/>
      <c r="IE27" s="772"/>
      <c r="IF27" s="772"/>
      <c r="IG27" s="772"/>
      <c r="IH27" s="772"/>
      <c r="II27" s="772"/>
      <c r="IJ27" s="772"/>
      <c r="IK27" s="772"/>
    </row>
    <row r="28" spans="1:245" s="765" customFormat="1" ht="20.100000000000001" customHeight="1" x14ac:dyDescent="0.25">
      <c r="A28" s="772"/>
      <c r="B28" s="783"/>
      <c r="C28" s="784"/>
      <c r="D28" s="784"/>
      <c r="E28" s="784"/>
      <c r="F28" s="784"/>
      <c r="G28" s="784"/>
      <c r="H28" s="772"/>
      <c r="I28" s="1664">
        <f t="shared" si="32"/>
        <v>4</v>
      </c>
      <c r="J28" s="1668">
        <f t="shared" si="17"/>
        <v>0</v>
      </c>
      <c r="K28" s="1666">
        <f t="shared" ref="K28:K91" si="42">IF(J28=0,0,J28-L28)</f>
        <v>0</v>
      </c>
      <c r="L28" s="1670">
        <f t="shared" si="27"/>
        <v>0</v>
      </c>
      <c r="M28" s="1668">
        <f t="shared" si="33"/>
        <v>0</v>
      </c>
      <c r="N28" s="772"/>
      <c r="O28" s="1664">
        <f t="shared" si="34"/>
        <v>4</v>
      </c>
      <c r="P28" s="1668">
        <f t="shared" si="19"/>
        <v>0</v>
      </c>
      <c r="Q28" s="1666">
        <f t="shared" ref="Q28:Q91" si="43">IF(P28=0,0,P28-R28)</f>
        <v>0</v>
      </c>
      <c r="R28" s="1670">
        <f t="shared" si="28"/>
        <v>0</v>
      </c>
      <c r="S28" s="1668">
        <f t="shared" si="35"/>
        <v>0</v>
      </c>
      <c r="T28" s="772"/>
      <c r="U28" s="1664">
        <f t="shared" si="36"/>
        <v>4</v>
      </c>
      <c r="V28" s="1668">
        <f t="shared" si="21"/>
        <v>0</v>
      </c>
      <c r="W28" s="1666">
        <f t="shared" ref="W28:W91" si="44">IF(V28=0,0,V28-X28)</f>
        <v>0</v>
      </c>
      <c r="X28" s="1670">
        <f t="shared" si="29"/>
        <v>0</v>
      </c>
      <c r="Y28" s="1668">
        <f t="shared" si="37"/>
        <v>0</v>
      </c>
      <c r="Z28" s="772"/>
      <c r="AA28" s="1664">
        <f t="shared" si="38"/>
        <v>4</v>
      </c>
      <c r="AB28" s="1668">
        <f t="shared" si="23"/>
        <v>0</v>
      </c>
      <c r="AC28" s="1666">
        <f t="shared" ref="AC28:AC91" si="45">IF(AB28=0,0,AB28-AD28)</f>
        <v>0</v>
      </c>
      <c r="AD28" s="1670">
        <f t="shared" si="30"/>
        <v>0</v>
      </c>
      <c r="AE28" s="1668">
        <f t="shared" si="39"/>
        <v>0</v>
      </c>
      <c r="AF28" s="772"/>
      <c r="AG28" s="1664">
        <f t="shared" si="40"/>
        <v>4</v>
      </c>
      <c r="AH28" s="1668">
        <f t="shared" si="25"/>
        <v>0</v>
      </c>
      <c r="AI28" s="1666">
        <f t="shared" ref="AI28:AI91" si="46">IF(AH28=0,0,AH28-AJ28)</f>
        <v>0</v>
      </c>
      <c r="AJ28" s="1670">
        <f t="shared" si="31"/>
        <v>0</v>
      </c>
      <c r="AK28" s="1668">
        <f t="shared" si="41"/>
        <v>0</v>
      </c>
      <c r="AL28" s="772"/>
      <c r="AM28" s="772"/>
      <c r="AN28" s="772"/>
      <c r="AO28" s="772"/>
      <c r="AP28" s="772"/>
      <c r="AQ28" s="772"/>
      <c r="AR28" s="772"/>
      <c r="AS28" s="772"/>
      <c r="AT28" s="772"/>
      <c r="AU28" s="772"/>
      <c r="AV28" s="772"/>
      <c r="AW28" s="772"/>
      <c r="AX28" s="772"/>
      <c r="AY28" s="772"/>
      <c r="AZ28" s="772"/>
      <c r="BA28" s="772"/>
      <c r="BB28" s="772"/>
      <c r="BC28" s="772"/>
      <c r="BD28" s="772"/>
      <c r="BE28" s="772"/>
      <c r="BF28" s="772"/>
      <c r="BG28" s="772"/>
      <c r="BH28" s="772"/>
      <c r="BI28" s="772"/>
      <c r="BJ28" s="772"/>
      <c r="BK28" s="772"/>
      <c r="BL28" s="772"/>
      <c r="BM28" s="772"/>
      <c r="BN28" s="772"/>
      <c r="BO28" s="772"/>
      <c r="BP28" s="772"/>
      <c r="BQ28" s="772"/>
      <c r="BR28" s="772"/>
      <c r="BS28" s="772"/>
      <c r="BT28" s="772"/>
      <c r="BU28" s="772"/>
      <c r="BV28" s="772"/>
      <c r="BW28" s="772"/>
      <c r="BX28" s="772"/>
      <c r="BY28" s="772"/>
      <c r="BZ28" s="772"/>
      <c r="CA28" s="772"/>
      <c r="CB28" s="772"/>
      <c r="CC28" s="772"/>
      <c r="CD28" s="772"/>
      <c r="CE28" s="772"/>
      <c r="CF28" s="772"/>
      <c r="CG28" s="772"/>
      <c r="CH28" s="772"/>
      <c r="CI28" s="772"/>
      <c r="CJ28" s="772"/>
      <c r="CK28" s="772"/>
      <c r="CL28" s="772"/>
      <c r="CM28" s="772"/>
      <c r="CN28" s="772"/>
      <c r="CO28" s="772"/>
      <c r="CP28" s="772"/>
      <c r="CQ28" s="772"/>
      <c r="CR28" s="772"/>
      <c r="CS28" s="772"/>
      <c r="CT28" s="772"/>
      <c r="CU28" s="772"/>
      <c r="CV28" s="772"/>
      <c r="CW28" s="772"/>
      <c r="CX28" s="772"/>
      <c r="CY28" s="772"/>
      <c r="CZ28" s="772"/>
      <c r="DA28" s="772"/>
      <c r="DB28" s="772"/>
      <c r="DC28" s="772"/>
      <c r="DD28" s="772"/>
      <c r="DE28" s="772"/>
      <c r="DF28" s="772"/>
      <c r="DG28" s="772"/>
      <c r="DH28" s="772"/>
      <c r="DI28" s="772"/>
      <c r="DJ28" s="772"/>
      <c r="DK28" s="772"/>
      <c r="DL28" s="772"/>
      <c r="DM28" s="772"/>
      <c r="DN28" s="772"/>
      <c r="DO28" s="772"/>
      <c r="DP28" s="772"/>
      <c r="DQ28" s="772"/>
      <c r="DR28" s="772"/>
      <c r="DS28" s="772"/>
      <c r="DT28" s="772"/>
      <c r="DU28" s="772"/>
      <c r="DV28" s="772"/>
      <c r="DW28" s="772"/>
      <c r="DX28" s="772"/>
      <c r="DY28" s="772"/>
      <c r="DZ28" s="772"/>
      <c r="EA28" s="772"/>
      <c r="EB28" s="772"/>
      <c r="EC28" s="772"/>
      <c r="ED28" s="772"/>
      <c r="EE28" s="772"/>
      <c r="EF28" s="772"/>
      <c r="EG28" s="772"/>
      <c r="EH28" s="772"/>
      <c r="EI28" s="772"/>
      <c r="EJ28" s="772"/>
      <c r="EK28" s="772"/>
      <c r="EL28" s="772"/>
      <c r="EM28" s="772"/>
      <c r="EN28" s="772"/>
      <c r="EO28" s="772"/>
      <c r="EP28" s="772"/>
      <c r="EQ28" s="772"/>
      <c r="ER28" s="772"/>
      <c r="ES28" s="772"/>
      <c r="ET28" s="772"/>
      <c r="EU28" s="772"/>
      <c r="EV28" s="772"/>
      <c r="EW28" s="772"/>
      <c r="EX28" s="772"/>
      <c r="EY28" s="772"/>
      <c r="EZ28" s="772"/>
      <c r="FA28" s="772"/>
      <c r="FB28" s="772"/>
      <c r="FC28" s="772"/>
      <c r="FD28" s="772"/>
      <c r="FE28" s="772"/>
      <c r="FF28" s="772"/>
      <c r="FG28" s="772"/>
      <c r="FH28" s="772"/>
      <c r="FI28" s="772"/>
      <c r="FJ28" s="772"/>
      <c r="FK28" s="772"/>
      <c r="FL28" s="772"/>
      <c r="FM28" s="772"/>
      <c r="FN28" s="772"/>
      <c r="FO28" s="772"/>
      <c r="FP28" s="772"/>
      <c r="FQ28" s="772"/>
      <c r="FR28" s="772"/>
      <c r="FS28" s="772"/>
      <c r="FT28" s="772"/>
      <c r="FU28" s="772"/>
      <c r="FV28" s="772"/>
      <c r="FW28" s="772"/>
      <c r="FX28" s="772"/>
      <c r="FY28" s="772"/>
      <c r="FZ28" s="772"/>
      <c r="GA28" s="772"/>
      <c r="GB28" s="772"/>
      <c r="GC28" s="772"/>
      <c r="GD28" s="772"/>
      <c r="GE28" s="772"/>
      <c r="GF28" s="772"/>
      <c r="GG28" s="772"/>
      <c r="GH28" s="772"/>
      <c r="GI28" s="772"/>
      <c r="GJ28" s="772"/>
      <c r="GK28" s="772"/>
      <c r="GL28" s="772"/>
      <c r="GM28" s="772"/>
      <c r="GN28" s="772"/>
      <c r="GO28" s="772"/>
      <c r="GP28" s="772"/>
      <c r="GQ28" s="772"/>
      <c r="GR28" s="772"/>
      <c r="GS28" s="772"/>
      <c r="GT28" s="772"/>
      <c r="GU28" s="772"/>
      <c r="GV28" s="772"/>
      <c r="GW28" s="772"/>
      <c r="GX28" s="772"/>
      <c r="GY28" s="772"/>
      <c r="GZ28" s="772"/>
      <c r="HA28" s="772"/>
      <c r="HB28" s="772"/>
      <c r="HC28" s="772"/>
      <c r="HD28" s="772"/>
      <c r="HE28" s="772"/>
      <c r="HF28" s="772"/>
      <c r="HG28" s="772"/>
      <c r="HH28" s="772"/>
      <c r="HI28" s="772"/>
      <c r="HJ28" s="772"/>
      <c r="HK28" s="772"/>
      <c r="HL28" s="772"/>
      <c r="HM28" s="772"/>
      <c r="HN28" s="772"/>
      <c r="HO28" s="772"/>
      <c r="HP28" s="772"/>
      <c r="HQ28" s="772"/>
      <c r="HR28" s="772"/>
      <c r="HS28" s="772"/>
      <c r="HT28" s="772"/>
      <c r="HU28" s="772"/>
      <c r="HV28" s="772"/>
      <c r="HW28" s="772"/>
      <c r="HX28" s="772"/>
      <c r="HY28" s="772"/>
      <c r="HZ28" s="772"/>
      <c r="IA28" s="772"/>
      <c r="IB28" s="772"/>
      <c r="IC28" s="772"/>
      <c r="ID28" s="772"/>
      <c r="IE28" s="772"/>
      <c r="IF28" s="772"/>
      <c r="IG28" s="772"/>
      <c r="IH28" s="772"/>
      <c r="II28" s="772"/>
      <c r="IJ28" s="772"/>
      <c r="IK28" s="772"/>
    </row>
    <row r="29" spans="1:245" s="765" customFormat="1" ht="20.100000000000001" customHeight="1" x14ac:dyDescent="0.25">
      <c r="A29" s="772"/>
      <c r="B29" s="783"/>
      <c r="C29" s="784"/>
      <c r="D29" s="784"/>
      <c r="E29" s="784"/>
      <c r="F29" s="784"/>
      <c r="G29" s="784"/>
      <c r="H29" s="772"/>
      <c r="I29" s="1664">
        <f t="shared" si="32"/>
        <v>5</v>
      </c>
      <c r="J29" s="1668">
        <f t="shared" si="17"/>
        <v>0</v>
      </c>
      <c r="K29" s="1666">
        <f t="shared" si="42"/>
        <v>0</v>
      </c>
      <c r="L29" s="1670">
        <f t="shared" si="27"/>
        <v>0</v>
      </c>
      <c r="M29" s="1668">
        <f t="shared" si="33"/>
        <v>0</v>
      </c>
      <c r="N29" s="772"/>
      <c r="O29" s="1664">
        <f t="shared" si="34"/>
        <v>5</v>
      </c>
      <c r="P29" s="1668">
        <f t="shared" si="19"/>
        <v>0</v>
      </c>
      <c r="Q29" s="1666">
        <f t="shared" si="43"/>
        <v>0</v>
      </c>
      <c r="R29" s="1670">
        <f t="shared" si="28"/>
        <v>0</v>
      </c>
      <c r="S29" s="1668">
        <f t="shared" si="35"/>
        <v>0</v>
      </c>
      <c r="T29" s="772"/>
      <c r="U29" s="1664">
        <f t="shared" si="36"/>
        <v>5</v>
      </c>
      <c r="V29" s="1668">
        <f t="shared" si="21"/>
        <v>0</v>
      </c>
      <c r="W29" s="1666">
        <f t="shared" si="44"/>
        <v>0</v>
      </c>
      <c r="X29" s="1670">
        <f t="shared" si="29"/>
        <v>0</v>
      </c>
      <c r="Y29" s="1668">
        <f t="shared" si="37"/>
        <v>0</v>
      </c>
      <c r="Z29" s="772"/>
      <c r="AA29" s="1664">
        <f t="shared" si="38"/>
        <v>5</v>
      </c>
      <c r="AB29" s="1668">
        <f t="shared" si="23"/>
        <v>0</v>
      </c>
      <c r="AC29" s="1666">
        <f t="shared" si="45"/>
        <v>0</v>
      </c>
      <c r="AD29" s="1670">
        <f t="shared" si="30"/>
        <v>0</v>
      </c>
      <c r="AE29" s="1668">
        <f t="shared" si="39"/>
        <v>0</v>
      </c>
      <c r="AF29" s="772"/>
      <c r="AG29" s="1664">
        <f t="shared" si="40"/>
        <v>5</v>
      </c>
      <c r="AH29" s="1668">
        <f t="shared" si="25"/>
        <v>0</v>
      </c>
      <c r="AI29" s="1666">
        <f t="shared" si="46"/>
        <v>0</v>
      </c>
      <c r="AJ29" s="1670">
        <f t="shared" si="31"/>
        <v>0</v>
      </c>
      <c r="AK29" s="1668">
        <f t="shared" si="41"/>
        <v>0</v>
      </c>
      <c r="AL29" s="772"/>
      <c r="AM29" s="772"/>
      <c r="AN29" s="772"/>
      <c r="AO29" s="772"/>
      <c r="AP29" s="772"/>
      <c r="AQ29" s="772"/>
      <c r="AR29" s="772"/>
      <c r="AS29" s="772"/>
      <c r="AT29" s="772"/>
      <c r="AU29" s="772"/>
      <c r="AV29" s="772"/>
      <c r="AW29" s="772"/>
      <c r="AX29" s="772"/>
      <c r="AY29" s="772"/>
      <c r="AZ29" s="772"/>
      <c r="BA29" s="772"/>
      <c r="BB29" s="772"/>
      <c r="BC29" s="772"/>
      <c r="BD29" s="772"/>
      <c r="BE29" s="772"/>
      <c r="BF29" s="772"/>
      <c r="BG29" s="772"/>
      <c r="BH29" s="772"/>
      <c r="BI29" s="772"/>
      <c r="BJ29" s="772"/>
      <c r="BK29" s="772"/>
      <c r="BL29" s="772"/>
      <c r="BM29" s="772"/>
      <c r="BN29" s="772"/>
      <c r="BO29" s="772"/>
      <c r="BP29" s="772"/>
      <c r="BQ29" s="772"/>
      <c r="BR29" s="772"/>
      <c r="BS29" s="772"/>
      <c r="BT29" s="772"/>
      <c r="BU29" s="772"/>
      <c r="BV29" s="772"/>
      <c r="BW29" s="772"/>
      <c r="BX29" s="772"/>
      <c r="BY29" s="772"/>
      <c r="BZ29" s="772"/>
      <c r="CA29" s="772"/>
      <c r="CB29" s="772"/>
      <c r="CC29" s="772"/>
      <c r="CD29" s="772"/>
      <c r="CE29" s="772"/>
      <c r="CF29" s="772"/>
      <c r="CG29" s="772"/>
      <c r="CH29" s="772"/>
      <c r="CI29" s="772"/>
      <c r="CJ29" s="772"/>
      <c r="CK29" s="772"/>
      <c r="CL29" s="772"/>
      <c r="CM29" s="772"/>
      <c r="CN29" s="772"/>
      <c r="CO29" s="772"/>
      <c r="CP29" s="772"/>
      <c r="CQ29" s="772"/>
      <c r="CR29" s="772"/>
      <c r="CS29" s="772"/>
      <c r="CT29" s="772"/>
      <c r="CU29" s="772"/>
      <c r="CV29" s="772"/>
      <c r="CW29" s="772"/>
      <c r="CX29" s="772"/>
      <c r="CY29" s="772"/>
      <c r="CZ29" s="772"/>
      <c r="DA29" s="772"/>
      <c r="DB29" s="772"/>
      <c r="DC29" s="772"/>
      <c r="DD29" s="772"/>
      <c r="DE29" s="772"/>
      <c r="DF29" s="772"/>
      <c r="DG29" s="772"/>
      <c r="DH29" s="772"/>
      <c r="DI29" s="772"/>
      <c r="DJ29" s="772"/>
      <c r="DK29" s="772"/>
      <c r="DL29" s="772"/>
      <c r="DM29" s="772"/>
      <c r="DN29" s="772"/>
      <c r="DO29" s="772"/>
      <c r="DP29" s="772"/>
      <c r="DQ29" s="772"/>
      <c r="DR29" s="772"/>
      <c r="DS29" s="772"/>
      <c r="DT29" s="772"/>
      <c r="DU29" s="772"/>
      <c r="DV29" s="772"/>
      <c r="DW29" s="772"/>
      <c r="DX29" s="772"/>
      <c r="DY29" s="772"/>
      <c r="DZ29" s="772"/>
      <c r="EA29" s="772"/>
      <c r="EB29" s="772"/>
      <c r="EC29" s="772"/>
      <c r="ED29" s="772"/>
      <c r="EE29" s="772"/>
      <c r="EF29" s="772"/>
      <c r="EG29" s="772"/>
      <c r="EH29" s="772"/>
      <c r="EI29" s="772"/>
      <c r="EJ29" s="772"/>
      <c r="EK29" s="772"/>
      <c r="EL29" s="772"/>
      <c r="EM29" s="772"/>
      <c r="EN29" s="772"/>
      <c r="EO29" s="772"/>
      <c r="EP29" s="772"/>
      <c r="EQ29" s="772"/>
      <c r="ER29" s="772"/>
      <c r="ES29" s="772"/>
      <c r="ET29" s="772"/>
      <c r="EU29" s="772"/>
      <c r="EV29" s="772"/>
      <c r="EW29" s="772"/>
      <c r="EX29" s="772"/>
      <c r="EY29" s="772"/>
      <c r="EZ29" s="772"/>
      <c r="FA29" s="772"/>
      <c r="FB29" s="772"/>
      <c r="FC29" s="772"/>
      <c r="FD29" s="772"/>
      <c r="FE29" s="772"/>
      <c r="FF29" s="772"/>
      <c r="FG29" s="772"/>
      <c r="FH29" s="772"/>
      <c r="FI29" s="772"/>
      <c r="FJ29" s="772"/>
      <c r="FK29" s="772"/>
      <c r="FL29" s="772"/>
      <c r="FM29" s="772"/>
      <c r="FN29" s="772"/>
      <c r="FO29" s="772"/>
      <c r="FP29" s="772"/>
      <c r="FQ29" s="772"/>
      <c r="FR29" s="772"/>
      <c r="FS29" s="772"/>
      <c r="FT29" s="772"/>
      <c r="FU29" s="772"/>
      <c r="FV29" s="772"/>
      <c r="FW29" s="772"/>
      <c r="FX29" s="772"/>
      <c r="FY29" s="772"/>
      <c r="FZ29" s="772"/>
      <c r="GA29" s="772"/>
      <c r="GB29" s="772"/>
      <c r="GC29" s="772"/>
      <c r="GD29" s="772"/>
      <c r="GE29" s="772"/>
      <c r="GF29" s="772"/>
      <c r="GG29" s="772"/>
      <c r="GH29" s="772"/>
      <c r="GI29" s="772"/>
      <c r="GJ29" s="772"/>
      <c r="GK29" s="772"/>
      <c r="GL29" s="772"/>
      <c r="GM29" s="772"/>
      <c r="GN29" s="772"/>
      <c r="GO29" s="772"/>
      <c r="GP29" s="772"/>
      <c r="GQ29" s="772"/>
      <c r="GR29" s="772"/>
      <c r="GS29" s="772"/>
      <c r="GT29" s="772"/>
      <c r="GU29" s="772"/>
      <c r="GV29" s="772"/>
      <c r="GW29" s="772"/>
      <c r="GX29" s="772"/>
      <c r="GY29" s="772"/>
      <c r="GZ29" s="772"/>
      <c r="HA29" s="772"/>
      <c r="HB29" s="772"/>
      <c r="HC29" s="772"/>
      <c r="HD29" s="772"/>
      <c r="HE29" s="772"/>
      <c r="HF29" s="772"/>
      <c r="HG29" s="772"/>
      <c r="HH29" s="772"/>
      <c r="HI29" s="772"/>
      <c r="HJ29" s="772"/>
      <c r="HK29" s="772"/>
      <c r="HL29" s="772"/>
      <c r="HM29" s="772"/>
      <c r="HN29" s="772"/>
      <c r="HO29" s="772"/>
      <c r="HP29" s="772"/>
      <c r="HQ29" s="772"/>
      <c r="HR29" s="772"/>
      <c r="HS29" s="772"/>
      <c r="HT29" s="772"/>
      <c r="HU29" s="772"/>
      <c r="HV29" s="772"/>
      <c r="HW29" s="772"/>
      <c r="HX29" s="772"/>
      <c r="HY29" s="772"/>
      <c r="HZ29" s="772"/>
      <c r="IA29" s="772"/>
      <c r="IB29" s="772"/>
      <c r="IC29" s="772"/>
      <c r="ID29" s="772"/>
      <c r="IE29" s="772"/>
      <c r="IF29" s="772"/>
      <c r="IG29" s="772"/>
      <c r="IH29" s="772"/>
      <c r="II29" s="772"/>
      <c r="IJ29" s="772"/>
      <c r="IK29" s="772"/>
    </row>
    <row r="30" spans="1:245" s="765" customFormat="1" ht="20.100000000000001" customHeight="1" x14ac:dyDescent="0.25">
      <c r="A30" s="772"/>
      <c r="B30" s="783"/>
      <c r="C30" s="784"/>
      <c r="D30" s="784"/>
      <c r="E30" s="784"/>
      <c r="F30" s="784"/>
      <c r="G30" s="784"/>
      <c r="H30" s="772"/>
      <c r="I30" s="1664">
        <f t="shared" si="32"/>
        <v>6</v>
      </c>
      <c r="J30" s="1668">
        <f t="shared" si="17"/>
        <v>0</v>
      </c>
      <c r="K30" s="1666">
        <f t="shared" si="42"/>
        <v>0</v>
      </c>
      <c r="L30" s="1670">
        <f t="shared" si="27"/>
        <v>0</v>
      </c>
      <c r="M30" s="1668">
        <f t="shared" si="33"/>
        <v>0</v>
      </c>
      <c r="N30" s="772"/>
      <c r="O30" s="1664">
        <f t="shared" si="34"/>
        <v>6</v>
      </c>
      <c r="P30" s="1668">
        <f t="shared" si="19"/>
        <v>0</v>
      </c>
      <c r="Q30" s="1666">
        <f t="shared" si="43"/>
        <v>0</v>
      </c>
      <c r="R30" s="1670">
        <f t="shared" si="28"/>
        <v>0</v>
      </c>
      <c r="S30" s="1668">
        <f t="shared" si="35"/>
        <v>0</v>
      </c>
      <c r="T30" s="772"/>
      <c r="U30" s="1664">
        <f t="shared" si="36"/>
        <v>6</v>
      </c>
      <c r="V30" s="1668">
        <f t="shared" si="21"/>
        <v>0</v>
      </c>
      <c r="W30" s="1666">
        <f t="shared" si="44"/>
        <v>0</v>
      </c>
      <c r="X30" s="1670">
        <f t="shared" si="29"/>
        <v>0</v>
      </c>
      <c r="Y30" s="1668">
        <f t="shared" si="37"/>
        <v>0</v>
      </c>
      <c r="Z30" s="772"/>
      <c r="AA30" s="1664">
        <f t="shared" si="38"/>
        <v>6</v>
      </c>
      <c r="AB30" s="1668">
        <f t="shared" si="23"/>
        <v>0</v>
      </c>
      <c r="AC30" s="1666">
        <f t="shared" si="45"/>
        <v>0</v>
      </c>
      <c r="AD30" s="1670">
        <f t="shared" si="30"/>
        <v>0</v>
      </c>
      <c r="AE30" s="1668">
        <f t="shared" si="39"/>
        <v>0</v>
      </c>
      <c r="AF30" s="772"/>
      <c r="AG30" s="1664">
        <f t="shared" si="40"/>
        <v>6</v>
      </c>
      <c r="AH30" s="1668">
        <f t="shared" si="25"/>
        <v>0</v>
      </c>
      <c r="AI30" s="1666">
        <f t="shared" si="46"/>
        <v>0</v>
      </c>
      <c r="AJ30" s="1670">
        <f t="shared" si="31"/>
        <v>0</v>
      </c>
      <c r="AK30" s="1668">
        <f t="shared" si="41"/>
        <v>0</v>
      </c>
      <c r="AL30" s="772"/>
      <c r="AM30" s="772"/>
      <c r="AN30" s="772"/>
      <c r="AO30" s="772"/>
      <c r="AP30" s="772"/>
      <c r="AQ30" s="772"/>
      <c r="AR30" s="772"/>
      <c r="AS30" s="772"/>
      <c r="AT30" s="772"/>
      <c r="AU30" s="772"/>
      <c r="AV30" s="772"/>
      <c r="AW30" s="772"/>
      <c r="AX30" s="772"/>
      <c r="AY30" s="772"/>
      <c r="AZ30" s="772"/>
      <c r="BA30" s="772"/>
      <c r="BB30" s="772"/>
      <c r="BC30" s="772"/>
      <c r="BD30" s="772"/>
      <c r="BE30" s="772"/>
      <c r="BF30" s="772"/>
      <c r="BG30" s="772"/>
      <c r="BH30" s="772"/>
      <c r="BI30" s="772"/>
      <c r="BJ30" s="772"/>
      <c r="BK30" s="772"/>
      <c r="BL30" s="772"/>
      <c r="BM30" s="772"/>
      <c r="BN30" s="772"/>
      <c r="BO30" s="772"/>
      <c r="BP30" s="772"/>
      <c r="BQ30" s="772"/>
      <c r="BR30" s="772"/>
      <c r="BS30" s="772"/>
      <c r="BT30" s="772"/>
      <c r="BU30" s="772"/>
      <c r="BV30" s="772"/>
      <c r="BW30" s="772"/>
      <c r="BX30" s="772"/>
      <c r="BY30" s="772"/>
      <c r="BZ30" s="772"/>
      <c r="CA30" s="772"/>
      <c r="CB30" s="772"/>
      <c r="CC30" s="772"/>
      <c r="CD30" s="772"/>
      <c r="CE30" s="772"/>
      <c r="CF30" s="772"/>
      <c r="CG30" s="772"/>
      <c r="CH30" s="772"/>
      <c r="CI30" s="772"/>
      <c r="CJ30" s="772"/>
      <c r="CK30" s="772"/>
      <c r="CL30" s="772"/>
      <c r="CM30" s="772"/>
      <c r="CN30" s="772"/>
      <c r="CO30" s="772"/>
      <c r="CP30" s="772"/>
      <c r="CQ30" s="772"/>
      <c r="CR30" s="772"/>
      <c r="CS30" s="772"/>
      <c r="CT30" s="772"/>
      <c r="CU30" s="772"/>
      <c r="CV30" s="772"/>
      <c r="CW30" s="772"/>
      <c r="CX30" s="772"/>
      <c r="CY30" s="772"/>
      <c r="CZ30" s="772"/>
      <c r="DA30" s="772"/>
      <c r="DB30" s="772"/>
      <c r="DC30" s="772"/>
      <c r="DD30" s="772"/>
      <c r="DE30" s="772"/>
      <c r="DF30" s="772"/>
      <c r="DG30" s="772"/>
      <c r="DH30" s="772"/>
      <c r="DI30" s="772"/>
      <c r="DJ30" s="772"/>
      <c r="DK30" s="772"/>
      <c r="DL30" s="772"/>
      <c r="DM30" s="772"/>
      <c r="DN30" s="772"/>
      <c r="DO30" s="772"/>
      <c r="DP30" s="772"/>
      <c r="DQ30" s="772"/>
      <c r="DR30" s="772"/>
      <c r="DS30" s="772"/>
      <c r="DT30" s="772"/>
      <c r="DU30" s="772"/>
      <c r="DV30" s="772"/>
      <c r="DW30" s="772"/>
      <c r="DX30" s="772"/>
      <c r="DY30" s="772"/>
      <c r="DZ30" s="772"/>
      <c r="EA30" s="772"/>
      <c r="EB30" s="772"/>
      <c r="EC30" s="772"/>
      <c r="ED30" s="772"/>
      <c r="EE30" s="772"/>
      <c r="EF30" s="772"/>
      <c r="EG30" s="772"/>
      <c r="EH30" s="772"/>
      <c r="EI30" s="772"/>
      <c r="EJ30" s="772"/>
      <c r="EK30" s="772"/>
      <c r="EL30" s="772"/>
      <c r="EM30" s="772"/>
      <c r="EN30" s="772"/>
      <c r="EO30" s="772"/>
      <c r="EP30" s="772"/>
      <c r="EQ30" s="772"/>
      <c r="ER30" s="772"/>
      <c r="ES30" s="772"/>
      <c r="ET30" s="772"/>
      <c r="EU30" s="772"/>
      <c r="EV30" s="772"/>
      <c r="EW30" s="772"/>
      <c r="EX30" s="772"/>
      <c r="EY30" s="772"/>
      <c r="EZ30" s="772"/>
      <c r="FA30" s="772"/>
      <c r="FB30" s="772"/>
      <c r="FC30" s="772"/>
      <c r="FD30" s="772"/>
      <c r="FE30" s="772"/>
      <c r="FF30" s="772"/>
      <c r="FG30" s="772"/>
      <c r="FH30" s="772"/>
      <c r="FI30" s="772"/>
      <c r="FJ30" s="772"/>
      <c r="FK30" s="772"/>
      <c r="FL30" s="772"/>
      <c r="FM30" s="772"/>
      <c r="FN30" s="772"/>
      <c r="FO30" s="772"/>
      <c r="FP30" s="772"/>
      <c r="FQ30" s="772"/>
      <c r="FR30" s="772"/>
      <c r="FS30" s="772"/>
      <c r="FT30" s="772"/>
      <c r="FU30" s="772"/>
      <c r="FV30" s="772"/>
      <c r="FW30" s="772"/>
      <c r="FX30" s="772"/>
      <c r="FY30" s="772"/>
      <c r="FZ30" s="772"/>
      <c r="GA30" s="772"/>
      <c r="GB30" s="772"/>
      <c r="GC30" s="772"/>
      <c r="GD30" s="772"/>
      <c r="GE30" s="772"/>
      <c r="GF30" s="772"/>
      <c r="GG30" s="772"/>
      <c r="GH30" s="772"/>
      <c r="GI30" s="772"/>
      <c r="GJ30" s="772"/>
      <c r="GK30" s="772"/>
      <c r="GL30" s="772"/>
      <c r="GM30" s="772"/>
      <c r="GN30" s="772"/>
      <c r="GO30" s="772"/>
      <c r="GP30" s="772"/>
      <c r="GQ30" s="772"/>
      <c r="GR30" s="772"/>
      <c r="GS30" s="772"/>
      <c r="GT30" s="772"/>
      <c r="GU30" s="772"/>
      <c r="GV30" s="772"/>
      <c r="GW30" s="772"/>
      <c r="GX30" s="772"/>
      <c r="GY30" s="772"/>
      <c r="GZ30" s="772"/>
      <c r="HA30" s="772"/>
      <c r="HB30" s="772"/>
      <c r="HC30" s="772"/>
      <c r="HD30" s="772"/>
      <c r="HE30" s="772"/>
      <c r="HF30" s="772"/>
      <c r="HG30" s="772"/>
      <c r="HH30" s="772"/>
      <c r="HI30" s="772"/>
      <c r="HJ30" s="772"/>
      <c r="HK30" s="772"/>
      <c r="HL30" s="772"/>
      <c r="HM30" s="772"/>
      <c r="HN30" s="772"/>
      <c r="HO30" s="772"/>
      <c r="HP30" s="772"/>
      <c r="HQ30" s="772"/>
      <c r="HR30" s="772"/>
      <c r="HS30" s="772"/>
      <c r="HT30" s="772"/>
      <c r="HU30" s="772"/>
      <c r="HV30" s="772"/>
      <c r="HW30" s="772"/>
      <c r="HX30" s="772"/>
      <c r="HY30" s="772"/>
      <c r="HZ30" s="772"/>
      <c r="IA30" s="772"/>
      <c r="IB30" s="772"/>
      <c r="IC30" s="772"/>
      <c r="ID30" s="772"/>
      <c r="IE30" s="772"/>
      <c r="IF30" s="772"/>
      <c r="IG30" s="772"/>
      <c r="IH30" s="772"/>
      <c r="II30" s="772"/>
      <c r="IJ30" s="772"/>
      <c r="IK30" s="772"/>
    </row>
    <row r="31" spans="1:245" s="765" customFormat="1" ht="20.100000000000001" customHeight="1" x14ac:dyDescent="0.25">
      <c r="A31" s="772"/>
      <c r="B31" s="783"/>
      <c r="C31" s="784"/>
      <c r="D31" s="784"/>
      <c r="E31" s="784"/>
      <c r="F31" s="784"/>
      <c r="G31" s="784"/>
      <c r="H31" s="772"/>
      <c r="I31" s="1664">
        <f t="shared" si="32"/>
        <v>7</v>
      </c>
      <c r="J31" s="1668">
        <f t="shared" si="17"/>
        <v>0</v>
      </c>
      <c r="K31" s="1666">
        <f t="shared" si="42"/>
        <v>0</v>
      </c>
      <c r="L31" s="1670">
        <f t="shared" si="27"/>
        <v>0</v>
      </c>
      <c r="M31" s="1668">
        <f t="shared" si="33"/>
        <v>0</v>
      </c>
      <c r="N31" s="772"/>
      <c r="O31" s="1664">
        <f t="shared" si="34"/>
        <v>7</v>
      </c>
      <c r="P31" s="1668">
        <f t="shared" si="19"/>
        <v>0</v>
      </c>
      <c r="Q31" s="1666">
        <f t="shared" si="43"/>
        <v>0</v>
      </c>
      <c r="R31" s="1670">
        <f t="shared" si="28"/>
        <v>0</v>
      </c>
      <c r="S31" s="1668">
        <f t="shared" si="35"/>
        <v>0</v>
      </c>
      <c r="T31" s="772"/>
      <c r="U31" s="1664">
        <f t="shared" si="36"/>
        <v>7</v>
      </c>
      <c r="V31" s="1668">
        <f t="shared" si="21"/>
        <v>0</v>
      </c>
      <c r="W31" s="1666">
        <f t="shared" si="44"/>
        <v>0</v>
      </c>
      <c r="X31" s="1670">
        <f t="shared" si="29"/>
        <v>0</v>
      </c>
      <c r="Y31" s="1668">
        <f t="shared" si="37"/>
        <v>0</v>
      </c>
      <c r="Z31" s="772"/>
      <c r="AA31" s="1664">
        <f t="shared" si="38"/>
        <v>7</v>
      </c>
      <c r="AB31" s="1668">
        <f t="shared" si="23"/>
        <v>0</v>
      </c>
      <c r="AC31" s="1666">
        <f t="shared" si="45"/>
        <v>0</v>
      </c>
      <c r="AD31" s="1670">
        <f t="shared" si="30"/>
        <v>0</v>
      </c>
      <c r="AE31" s="1668">
        <f t="shared" si="39"/>
        <v>0</v>
      </c>
      <c r="AF31" s="772"/>
      <c r="AG31" s="1664">
        <f t="shared" si="40"/>
        <v>7</v>
      </c>
      <c r="AH31" s="1668">
        <f t="shared" si="25"/>
        <v>0</v>
      </c>
      <c r="AI31" s="1666">
        <f t="shared" si="46"/>
        <v>0</v>
      </c>
      <c r="AJ31" s="1670">
        <f t="shared" si="31"/>
        <v>0</v>
      </c>
      <c r="AK31" s="1668">
        <f t="shared" si="41"/>
        <v>0</v>
      </c>
      <c r="AL31" s="772"/>
      <c r="AM31" s="772"/>
      <c r="AN31" s="772"/>
      <c r="AO31" s="772"/>
      <c r="AP31" s="772"/>
      <c r="AQ31" s="772"/>
      <c r="AR31" s="772"/>
      <c r="AS31" s="772"/>
      <c r="AT31" s="772"/>
      <c r="AU31" s="772"/>
      <c r="AV31" s="772"/>
      <c r="AW31" s="772"/>
      <c r="AX31" s="772"/>
      <c r="AY31" s="772"/>
      <c r="AZ31" s="772"/>
      <c r="BA31" s="772"/>
      <c r="BB31" s="772"/>
      <c r="BC31" s="772"/>
      <c r="BD31" s="772"/>
      <c r="BE31" s="772"/>
      <c r="BF31" s="772"/>
      <c r="BG31" s="772"/>
      <c r="BH31" s="772"/>
      <c r="BI31" s="772"/>
      <c r="BJ31" s="772"/>
      <c r="BK31" s="772"/>
      <c r="BL31" s="772"/>
      <c r="BM31" s="772"/>
      <c r="BN31" s="772"/>
      <c r="BO31" s="772"/>
      <c r="BP31" s="772"/>
      <c r="BQ31" s="772"/>
      <c r="BR31" s="772"/>
      <c r="BS31" s="772"/>
      <c r="BT31" s="772"/>
      <c r="BU31" s="772"/>
      <c r="BV31" s="772"/>
      <c r="BW31" s="772"/>
      <c r="BX31" s="772"/>
      <c r="BY31" s="772"/>
      <c r="BZ31" s="772"/>
      <c r="CA31" s="772"/>
      <c r="CB31" s="772"/>
      <c r="CC31" s="772"/>
      <c r="CD31" s="772"/>
      <c r="CE31" s="772"/>
      <c r="CF31" s="772"/>
      <c r="CG31" s="772"/>
      <c r="CH31" s="772"/>
      <c r="CI31" s="772"/>
      <c r="CJ31" s="772"/>
      <c r="CK31" s="772"/>
      <c r="CL31" s="772"/>
      <c r="CM31" s="772"/>
      <c r="CN31" s="772"/>
      <c r="CO31" s="772"/>
      <c r="CP31" s="772"/>
      <c r="CQ31" s="772"/>
      <c r="CR31" s="772"/>
      <c r="CS31" s="772"/>
      <c r="CT31" s="772"/>
      <c r="CU31" s="772"/>
      <c r="CV31" s="772"/>
      <c r="CW31" s="772"/>
      <c r="CX31" s="772"/>
      <c r="CY31" s="772"/>
      <c r="CZ31" s="772"/>
      <c r="DA31" s="772"/>
      <c r="DB31" s="772"/>
      <c r="DC31" s="772"/>
      <c r="DD31" s="772"/>
      <c r="DE31" s="772"/>
      <c r="DF31" s="772"/>
      <c r="DG31" s="772"/>
      <c r="DH31" s="772"/>
      <c r="DI31" s="772"/>
      <c r="DJ31" s="772"/>
      <c r="DK31" s="772"/>
      <c r="DL31" s="772"/>
      <c r="DM31" s="772"/>
      <c r="DN31" s="772"/>
      <c r="DO31" s="772"/>
      <c r="DP31" s="772"/>
      <c r="DQ31" s="772"/>
      <c r="DR31" s="772"/>
      <c r="DS31" s="772"/>
      <c r="DT31" s="772"/>
      <c r="DU31" s="772"/>
      <c r="DV31" s="772"/>
      <c r="DW31" s="772"/>
      <c r="DX31" s="772"/>
      <c r="DY31" s="772"/>
      <c r="DZ31" s="772"/>
      <c r="EA31" s="772"/>
      <c r="EB31" s="772"/>
      <c r="EC31" s="772"/>
      <c r="ED31" s="772"/>
      <c r="EE31" s="772"/>
      <c r="EF31" s="772"/>
      <c r="EG31" s="772"/>
      <c r="EH31" s="772"/>
      <c r="EI31" s="772"/>
      <c r="EJ31" s="772"/>
      <c r="EK31" s="772"/>
      <c r="EL31" s="772"/>
      <c r="EM31" s="772"/>
      <c r="EN31" s="772"/>
      <c r="EO31" s="772"/>
      <c r="EP31" s="772"/>
      <c r="EQ31" s="772"/>
      <c r="ER31" s="772"/>
      <c r="ES31" s="772"/>
      <c r="ET31" s="772"/>
      <c r="EU31" s="772"/>
      <c r="EV31" s="772"/>
      <c r="EW31" s="772"/>
      <c r="EX31" s="772"/>
      <c r="EY31" s="772"/>
      <c r="EZ31" s="772"/>
      <c r="FA31" s="772"/>
      <c r="FB31" s="772"/>
      <c r="FC31" s="772"/>
      <c r="FD31" s="772"/>
      <c r="FE31" s="772"/>
      <c r="FF31" s="772"/>
      <c r="FG31" s="772"/>
      <c r="FH31" s="772"/>
      <c r="FI31" s="772"/>
      <c r="FJ31" s="772"/>
      <c r="FK31" s="772"/>
      <c r="FL31" s="772"/>
      <c r="FM31" s="772"/>
      <c r="FN31" s="772"/>
      <c r="FO31" s="772"/>
      <c r="FP31" s="772"/>
      <c r="FQ31" s="772"/>
      <c r="FR31" s="772"/>
      <c r="FS31" s="772"/>
      <c r="FT31" s="772"/>
      <c r="FU31" s="772"/>
      <c r="FV31" s="772"/>
      <c r="FW31" s="772"/>
      <c r="FX31" s="772"/>
      <c r="FY31" s="772"/>
      <c r="FZ31" s="772"/>
      <c r="GA31" s="772"/>
      <c r="GB31" s="772"/>
      <c r="GC31" s="772"/>
      <c r="GD31" s="772"/>
      <c r="GE31" s="772"/>
      <c r="GF31" s="772"/>
      <c r="GG31" s="772"/>
      <c r="GH31" s="772"/>
      <c r="GI31" s="772"/>
      <c r="GJ31" s="772"/>
      <c r="GK31" s="772"/>
      <c r="GL31" s="772"/>
      <c r="GM31" s="772"/>
      <c r="GN31" s="772"/>
      <c r="GO31" s="772"/>
      <c r="GP31" s="772"/>
      <c r="GQ31" s="772"/>
      <c r="GR31" s="772"/>
      <c r="GS31" s="772"/>
      <c r="GT31" s="772"/>
      <c r="GU31" s="772"/>
      <c r="GV31" s="772"/>
      <c r="GW31" s="772"/>
      <c r="GX31" s="772"/>
      <c r="GY31" s="772"/>
      <c r="GZ31" s="772"/>
      <c r="HA31" s="772"/>
      <c r="HB31" s="772"/>
      <c r="HC31" s="772"/>
      <c r="HD31" s="772"/>
      <c r="HE31" s="772"/>
      <c r="HF31" s="772"/>
      <c r="HG31" s="772"/>
      <c r="HH31" s="772"/>
      <c r="HI31" s="772"/>
      <c r="HJ31" s="772"/>
      <c r="HK31" s="772"/>
      <c r="HL31" s="772"/>
      <c r="HM31" s="772"/>
      <c r="HN31" s="772"/>
      <c r="HO31" s="772"/>
      <c r="HP31" s="772"/>
      <c r="HQ31" s="772"/>
      <c r="HR31" s="772"/>
      <c r="HS31" s="772"/>
      <c r="HT31" s="772"/>
      <c r="HU31" s="772"/>
      <c r="HV31" s="772"/>
      <c r="HW31" s="772"/>
      <c r="HX31" s="772"/>
      <c r="HY31" s="772"/>
      <c r="HZ31" s="772"/>
      <c r="IA31" s="772"/>
      <c r="IB31" s="772"/>
      <c r="IC31" s="772"/>
      <c r="ID31" s="772"/>
      <c r="IE31" s="772"/>
      <c r="IF31" s="772"/>
      <c r="IG31" s="772"/>
      <c r="IH31" s="772"/>
      <c r="II31" s="772"/>
      <c r="IJ31" s="772"/>
      <c r="IK31" s="772"/>
    </row>
    <row r="32" spans="1:245" s="765" customFormat="1" ht="20.100000000000001" customHeight="1" x14ac:dyDescent="0.25">
      <c r="A32" s="772"/>
      <c r="B32" s="783"/>
      <c r="C32" s="784"/>
      <c r="D32" s="784"/>
      <c r="E32" s="784"/>
      <c r="F32" s="784"/>
      <c r="G32" s="784"/>
      <c r="H32" s="772"/>
      <c r="I32" s="1664">
        <f t="shared" si="32"/>
        <v>8</v>
      </c>
      <c r="J32" s="1668">
        <f t="shared" si="17"/>
        <v>0</v>
      </c>
      <c r="K32" s="1666">
        <f t="shared" si="42"/>
        <v>0</v>
      </c>
      <c r="L32" s="1670">
        <f t="shared" si="27"/>
        <v>0</v>
      </c>
      <c r="M32" s="1668">
        <f t="shared" si="33"/>
        <v>0</v>
      </c>
      <c r="N32" s="772"/>
      <c r="O32" s="1664">
        <f t="shared" si="34"/>
        <v>8</v>
      </c>
      <c r="P32" s="1668">
        <f t="shared" si="19"/>
        <v>0</v>
      </c>
      <c r="Q32" s="1666">
        <f t="shared" si="43"/>
        <v>0</v>
      </c>
      <c r="R32" s="1670">
        <f t="shared" si="28"/>
        <v>0</v>
      </c>
      <c r="S32" s="1668">
        <f t="shared" si="35"/>
        <v>0</v>
      </c>
      <c r="T32" s="772"/>
      <c r="U32" s="1664">
        <f t="shared" si="36"/>
        <v>8</v>
      </c>
      <c r="V32" s="1668">
        <f t="shared" si="21"/>
        <v>0</v>
      </c>
      <c r="W32" s="1666">
        <f t="shared" si="44"/>
        <v>0</v>
      </c>
      <c r="X32" s="1670">
        <f t="shared" si="29"/>
        <v>0</v>
      </c>
      <c r="Y32" s="1668">
        <f t="shared" si="37"/>
        <v>0</v>
      </c>
      <c r="Z32" s="772"/>
      <c r="AA32" s="1664">
        <f t="shared" si="38"/>
        <v>8</v>
      </c>
      <c r="AB32" s="1668">
        <f t="shared" si="23"/>
        <v>0</v>
      </c>
      <c r="AC32" s="1666">
        <f t="shared" si="45"/>
        <v>0</v>
      </c>
      <c r="AD32" s="1670">
        <f t="shared" si="30"/>
        <v>0</v>
      </c>
      <c r="AE32" s="1668">
        <f t="shared" si="39"/>
        <v>0</v>
      </c>
      <c r="AF32" s="772"/>
      <c r="AG32" s="1664">
        <f t="shared" si="40"/>
        <v>8</v>
      </c>
      <c r="AH32" s="1668">
        <f t="shared" si="25"/>
        <v>0</v>
      </c>
      <c r="AI32" s="1666">
        <f t="shared" si="46"/>
        <v>0</v>
      </c>
      <c r="AJ32" s="1670">
        <f t="shared" si="31"/>
        <v>0</v>
      </c>
      <c r="AK32" s="1668">
        <f t="shared" si="41"/>
        <v>0</v>
      </c>
      <c r="AL32" s="772"/>
      <c r="AM32" s="772"/>
      <c r="AN32" s="772"/>
      <c r="AO32" s="772"/>
      <c r="AP32" s="772"/>
      <c r="AQ32" s="772"/>
      <c r="AR32" s="772"/>
      <c r="AS32" s="772"/>
      <c r="AT32" s="772"/>
      <c r="AU32" s="772"/>
      <c r="AV32" s="772"/>
      <c r="AW32" s="772"/>
      <c r="AX32" s="772"/>
      <c r="AY32" s="772"/>
      <c r="AZ32" s="772"/>
      <c r="BA32" s="772"/>
      <c r="BB32" s="772"/>
      <c r="BC32" s="772"/>
      <c r="BD32" s="772"/>
      <c r="BE32" s="772"/>
      <c r="BF32" s="772"/>
      <c r="BG32" s="772"/>
      <c r="BH32" s="772"/>
      <c r="BI32" s="772"/>
      <c r="BJ32" s="772"/>
      <c r="BK32" s="772"/>
      <c r="BL32" s="772"/>
      <c r="BM32" s="772"/>
      <c r="BN32" s="772"/>
      <c r="BO32" s="772"/>
      <c r="BP32" s="772"/>
      <c r="BQ32" s="772"/>
      <c r="BR32" s="772"/>
      <c r="BS32" s="772"/>
      <c r="BT32" s="772"/>
      <c r="BU32" s="772"/>
      <c r="BV32" s="772"/>
      <c r="BW32" s="772"/>
      <c r="BX32" s="772"/>
      <c r="BY32" s="772"/>
      <c r="BZ32" s="772"/>
      <c r="CA32" s="772"/>
      <c r="CB32" s="772"/>
      <c r="CC32" s="772"/>
      <c r="CD32" s="772"/>
      <c r="CE32" s="772"/>
      <c r="CF32" s="772"/>
      <c r="CG32" s="772"/>
      <c r="CH32" s="772"/>
      <c r="CI32" s="772"/>
      <c r="CJ32" s="772"/>
      <c r="CK32" s="772"/>
      <c r="CL32" s="772"/>
      <c r="CM32" s="772"/>
      <c r="CN32" s="772"/>
      <c r="CO32" s="772"/>
      <c r="CP32" s="772"/>
      <c r="CQ32" s="772"/>
      <c r="CR32" s="772"/>
      <c r="CS32" s="772"/>
      <c r="CT32" s="772"/>
      <c r="CU32" s="772"/>
      <c r="CV32" s="772"/>
      <c r="CW32" s="772"/>
      <c r="CX32" s="772"/>
      <c r="CY32" s="772"/>
      <c r="CZ32" s="772"/>
      <c r="DA32" s="772"/>
      <c r="DB32" s="772"/>
      <c r="DC32" s="772"/>
      <c r="DD32" s="772"/>
      <c r="DE32" s="772"/>
      <c r="DF32" s="772"/>
      <c r="DG32" s="772"/>
      <c r="DH32" s="772"/>
      <c r="DI32" s="772"/>
      <c r="DJ32" s="772"/>
      <c r="DK32" s="772"/>
      <c r="DL32" s="772"/>
      <c r="DM32" s="772"/>
      <c r="DN32" s="772"/>
      <c r="DO32" s="772"/>
      <c r="DP32" s="772"/>
      <c r="DQ32" s="772"/>
      <c r="DR32" s="772"/>
      <c r="DS32" s="772"/>
      <c r="DT32" s="772"/>
      <c r="DU32" s="772"/>
      <c r="DV32" s="772"/>
      <c r="DW32" s="772"/>
      <c r="DX32" s="772"/>
      <c r="DY32" s="772"/>
      <c r="DZ32" s="772"/>
      <c r="EA32" s="772"/>
      <c r="EB32" s="772"/>
      <c r="EC32" s="772"/>
      <c r="ED32" s="772"/>
      <c r="EE32" s="772"/>
      <c r="EF32" s="772"/>
      <c r="EG32" s="772"/>
      <c r="EH32" s="772"/>
      <c r="EI32" s="772"/>
      <c r="EJ32" s="772"/>
      <c r="EK32" s="772"/>
      <c r="EL32" s="772"/>
      <c r="EM32" s="772"/>
      <c r="EN32" s="772"/>
      <c r="EO32" s="772"/>
      <c r="EP32" s="772"/>
      <c r="EQ32" s="772"/>
      <c r="ER32" s="772"/>
      <c r="ES32" s="772"/>
      <c r="ET32" s="772"/>
      <c r="EU32" s="772"/>
      <c r="EV32" s="772"/>
      <c r="EW32" s="772"/>
      <c r="EX32" s="772"/>
      <c r="EY32" s="772"/>
      <c r="EZ32" s="772"/>
      <c r="FA32" s="772"/>
      <c r="FB32" s="772"/>
      <c r="FC32" s="772"/>
      <c r="FD32" s="772"/>
      <c r="FE32" s="772"/>
      <c r="FF32" s="772"/>
      <c r="FG32" s="772"/>
      <c r="FH32" s="772"/>
      <c r="FI32" s="772"/>
      <c r="FJ32" s="772"/>
      <c r="FK32" s="772"/>
      <c r="FL32" s="772"/>
      <c r="FM32" s="772"/>
      <c r="FN32" s="772"/>
      <c r="FO32" s="772"/>
      <c r="FP32" s="772"/>
      <c r="FQ32" s="772"/>
      <c r="FR32" s="772"/>
      <c r="FS32" s="772"/>
      <c r="FT32" s="772"/>
      <c r="FU32" s="772"/>
      <c r="FV32" s="772"/>
      <c r="FW32" s="772"/>
      <c r="FX32" s="772"/>
      <c r="FY32" s="772"/>
      <c r="FZ32" s="772"/>
      <c r="GA32" s="772"/>
      <c r="GB32" s="772"/>
      <c r="GC32" s="772"/>
      <c r="GD32" s="772"/>
      <c r="GE32" s="772"/>
      <c r="GF32" s="772"/>
      <c r="GG32" s="772"/>
      <c r="GH32" s="772"/>
      <c r="GI32" s="772"/>
      <c r="GJ32" s="772"/>
      <c r="GK32" s="772"/>
      <c r="GL32" s="772"/>
      <c r="GM32" s="772"/>
      <c r="GN32" s="772"/>
      <c r="GO32" s="772"/>
      <c r="GP32" s="772"/>
      <c r="GQ32" s="772"/>
      <c r="GR32" s="772"/>
      <c r="GS32" s="772"/>
      <c r="GT32" s="772"/>
      <c r="GU32" s="772"/>
      <c r="GV32" s="772"/>
      <c r="GW32" s="772"/>
      <c r="GX32" s="772"/>
      <c r="GY32" s="772"/>
      <c r="GZ32" s="772"/>
      <c r="HA32" s="772"/>
      <c r="HB32" s="772"/>
      <c r="HC32" s="772"/>
      <c r="HD32" s="772"/>
      <c r="HE32" s="772"/>
      <c r="HF32" s="772"/>
      <c r="HG32" s="772"/>
      <c r="HH32" s="772"/>
      <c r="HI32" s="772"/>
      <c r="HJ32" s="772"/>
      <c r="HK32" s="772"/>
      <c r="HL32" s="772"/>
      <c r="HM32" s="772"/>
      <c r="HN32" s="772"/>
      <c r="HO32" s="772"/>
      <c r="HP32" s="772"/>
      <c r="HQ32" s="772"/>
      <c r="HR32" s="772"/>
      <c r="HS32" s="772"/>
      <c r="HT32" s="772"/>
      <c r="HU32" s="772"/>
      <c r="HV32" s="772"/>
      <c r="HW32" s="772"/>
      <c r="HX32" s="772"/>
      <c r="HY32" s="772"/>
      <c r="HZ32" s="772"/>
      <c r="IA32" s="772"/>
      <c r="IB32" s="772"/>
      <c r="IC32" s="772"/>
      <c r="ID32" s="772"/>
      <c r="IE32" s="772"/>
      <c r="IF32" s="772"/>
      <c r="IG32" s="772"/>
      <c r="IH32" s="772"/>
      <c r="II32" s="772"/>
      <c r="IJ32" s="772"/>
      <c r="IK32" s="772"/>
    </row>
    <row r="33" spans="1:245" s="765" customFormat="1" ht="20.100000000000001" customHeight="1" x14ac:dyDescent="0.25">
      <c r="A33" s="772"/>
      <c r="B33" s="783"/>
      <c r="C33" s="784"/>
      <c r="D33" s="784"/>
      <c r="E33" s="784"/>
      <c r="F33" s="784"/>
      <c r="G33" s="784"/>
      <c r="H33" s="772"/>
      <c r="I33" s="1664">
        <f t="shared" si="32"/>
        <v>9</v>
      </c>
      <c r="J33" s="1668">
        <f t="shared" si="17"/>
        <v>0</v>
      </c>
      <c r="K33" s="1666">
        <f t="shared" si="42"/>
        <v>0</v>
      </c>
      <c r="L33" s="1670">
        <f t="shared" si="27"/>
        <v>0</v>
      </c>
      <c r="M33" s="1668">
        <f t="shared" si="33"/>
        <v>0</v>
      </c>
      <c r="N33" s="772"/>
      <c r="O33" s="1664">
        <f t="shared" si="34"/>
        <v>9</v>
      </c>
      <c r="P33" s="1668">
        <f t="shared" si="19"/>
        <v>0</v>
      </c>
      <c r="Q33" s="1666">
        <f t="shared" si="43"/>
        <v>0</v>
      </c>
      <c r="R33" s="1670">
        <f t="shared" si="28"/>
        <v>0</v>
      </c>
      <c r="S33" s="1668">
        <f t="shared" si="35"/>
        <v>0</v>
      </c>
      <c r="T33" s="772"/>
      <c r="U33" s="1664">
        <f t="shared" si="36"/>
        <v>9</v>
      </c>
      <c r="V33" s="1668">
        <f t="shared" si="21"/>
        <v>0</v>
      </c>
      <c r="W33" s="1666">
        <f t="shared" si="44"/>
        <v>0</v>
      </c>
      <c r="X33" s="1670">
        <f t="shared" si="29"/>
        <v>0</v>
      </c>
      <c r="Y33" s="1668">
        <f t="shared" si="37"/>
        <v>0</v>
      </c>
      <c r="Z33" s="772"/>
      <c r="AA33" s="1664">
        <f t="shared" si="38"/>
        <v>9</v>
      </c>
      <c r="AB33" s="1668">
        <f t="shared" si="23"/>
        <v>0</v>
      </c>
      <c r="AC33" s="1666">
        <f t="shared" si="45"/>
        <v>0</v>
      </c>
      <c r="AD33" s="1670">
        <f t="shared" si="30"/>
        <v>0</v>
      </c>
      <c r="AE33" s="1668">
        <f t="shared" si="39"/>
        <v>0</v>
      </c>
      <c r="AF33" s="772"/>
      <c r="AG33" s="1664">
        <f t="shared" si="40"/>
        <v>9</v>
      </c>
      <c r="AH33" s="1668">
        <f t="shared" si="25"/>
        <v>0</v>
      </c>
      <c r="AI33" s="1666">
        <f t="shared" si="46"/>
        <v>0</v>
      </c>
      <c r="AJ33" s="1670">
        <f t="shared" si="31"/>
        <v>0</v>
      </c>
      <c r="AK33" s="1668">
        <f t="shared" si="41"/>
        <v>0</v>
      </c>
      <c r="AL33" s="772"/>
      <c r="AM33" s="772"/>
      <c r="AN33" s="772"/>
      <c r="AO33" s="772"/>
      <c r="AP33" s="772"/>
      <c r="AQ33" s="772"/>
      <c r="AR33" s="772"/>
      <c r="AS33" s="772"/>
      <c r="AT33" s="772"/>
      <c r="AU33" s="772"/>
      <c r="AV33" s="772"/>
      <c r="AW33" s="772"/>
      <c r="AX33" s="772"/>
      <c r="AY33" s="772"/>
      <c r="AZ33" s="772"/>
      <c r="BA33" s="772"/>
      <c r="BB33" s="772"/>
      <c r="BC33" s="772"/>
      <c r="BD33" s="772"/>
      <c r="BE33" s="772"/>
      <c r="BF33" s="772"/>
      <c r="BG33" s="772"/>
      <c r="BH33" s="772"/>
      <c r="BI33" s="772"/>
      <c r="BJ33" s="772"/>
      <c r="BK33" s="772"/>
      <c r="BL33" s="772"/>
      <c r="BM33" s="772"/>
      <c r="BN33" s="772"/>
      <c r="BO33" s="772"/>
      <c r="BP33" s="772"/>
      <c r="BQ33" s="772"/>
      <c r="BR33" s="772"/>
      <c r="BS33" s="772"/>
      <c r="BT33" s="772"/>
      <c r="BU33" s="772"/>
      <c r="BV33" s="772"/>
      <c r="BW33" s="772"/>
      <c r="BX33" s="772"/>
      <c r="BY33" s="772"/>
      <c r="BZ33" s="772"/>
      <c r="CA33" s="772"/>
      <c r="CB33" s="772"/>
      <c r="CC33" s="772"/>
      <c r="CD33" s="772"/>
      <c r="CE33" s="772"/>
      <c r="CF33" s="772"/>
      <c r="CG33" s="772"/>
      <c r="CH33" s="772"/>
      <c r="CI33" s="772"/>
      <c r="CJ33" s="772"/>
      <c r="CK33" s="772"/>
      <c r="CL33" s="772"/>
      <c r="CM33" s="772"/>
      <c r="CN33" s="772"/>
      <c r="CO33" s="772"/>
      <c r="CP33" s="772"/>
      <c r="CQ33" s="772"/>
      <c r="CR33" s="772"/>
      <c r="CS33" s="772"/>
      <c r="CT33" s="772"/>
      <c r="CU33" s="772"/>
      <c r="CV33" s="772"/>
      <c r="CW33" s="772"/>
      <c r="CX33" s="772"/>
      <c r="CY33" s="772"/>
      <c r="CZ33" s="772"/>
      <c r="DA33" s="772"/>
      <c r="DB33" s="772"/>
      <c r="DC33" s="772"/>
      <c r="DD33" s="772"/>
      <c r="DE33" s="772"/>
      <c r="DF33" s="772"/>
      <c r="DG33" s="772"/>
      <c r="DH33" s="772"/>
      <c r="DI33" s="772"/>
      <c r="DJ33" s="772"/>
      <c r="DK33" s="772"/>
      <c r="DL33" s="772"/>
      <c r="DM33" s="772"/>
      <c r="DN33" s="772"/>
      <c r="DO33" s="772"/>
      <c r="DP33" s="772"/>
      <c r="DQ33" s="772"/>
      <c r="DR33" s="772"/>
      <c r="DS33" s="772"/>
      <c r="DT33" s="772"/>
      <c r="DU33" s="772"/>
      <c r="DV33" s="772"/>
      <c r="DW33" s="772"/>
      <c r="DX33" s="772"/>
      <c r="DY33" s="772"/>
      <c r="DZ33" s="772"/>
      <c r="EA33" s="772"/>
      <c r="EB33" s="772"/>
      <c r="EC33" s="772"/>
      <c r="ED33" s="772"/>
      <c r="EE33" s="772"/>
      <c r="EF33" s="772"/>
      <c r="EG33" s="772"/>
      <c r="EH33" s="772"/>
      <c r="EI33" s="772"/>
      <c r="EJ33" s="772"/>
      <c r="EK33" s="772"/>
      <c r="EL33" s="772"/>
      <c r="EM33" s="772"/>
      <c r="EN33" s="772"/>
      <c r="EO33" s="772"/>
      <c r="EP33" s="772"/>
      <c r="EQ33" s="772"/>
      <c r="ER33" s="772"/>
      <c r="ES33" s="772"/>
      <c r="ET33" s="772"/>
      <c r="EU33" s="772"/>
      <c r="EV33" s="772"/>
      <c r="EW33" s="772"/>
      <c r="EX33" s="772"/>
      <c r="EY33" s="772"/>
      <c r="EZ33" s="772"/>
      <c r="FA33" s="772"/>
      <c r="FB33" s="772"/>
      <c r="FC33" s="772"/>
      <c r="FD33" s="772"/>
      <c r="FE33" s="772"/>
      <c r="FF33" s="772"/>
      <c r="FG33" s="772"/>
      <c r="FH33" s="772"/>
      <c r="FI33" s="772"/>
      <c r="FJ33" s="772"/>
      <c r="FK33" s="772"/>
      <c r="FL33" s="772"/>
      <c r="FM33" s="772"/>
      <c r="FN33" s="772"/>
      <c r="FO33" s="772"/>
      <c r="FP33" s="772"/>
      <c r="FQ33" s="772"/>
      <c r="FR33" s="772"/>
      <c r="FS33" s="772"/>
      <c r="FT33" s="772"/>
      <c r="FU33" s="772"/>
      <c r="FV33" s="772"/>
      <c r="FW33" s="772"/>
      <c r="FX33" s="772"/>
      <c r="FY33" s="772"/>
      <c r="FZ33" s="772"/>
      <c r="GA33" s="772"/>
      <c r="GB33" s="772"/>
      <c r="GC33" s="772"/>
      <c r="GD33" s="772"/>
      <c r="GE33" s="772"/>
      <c r="GF33" s="772"/>
      <c r="GG33" s="772"/>
      <c r="GH33" s="772"/>
      <c r="GI33" s="772"/>
      <c r="GJ33" s="772"/>
      <c r="GK33" s="772"/>
      <c r="GL33" s="772"/>
      <c r="GM33" s="772"/>
      <c r="GN33" s="772"/>
      <c r="GO33" s="772"/>
      <c r="GP33" s="772"/>
      <c r="GQ33" s="772"/>
      <c r="GR33" s="772"/>
      <c r="GS33" s="772"/>
      <c r="GT33" s="772"/>
      <c r="GU33" s="772"/>
      <c r="GV33" s="772"/>
      <c r="GW33" s="772"/>
      <c r="GX33" s="772"/>
      <c r="GY33" s="772"/>
      <c r="GZ33" s="772"/>
      <c r="HA33" s="772"/>
      <c r="HB33" s="772"/>
      <c r="HC33" s="772"/>
      <c r="HD33" s="772"/>
      <c r="HE33" s="772"/>
      <c r="HF33" s="772"/>
      <c r="HG33" s="772"/>
      <c r="HH33" s="772"/>
      <c r="HI33" s="772"/>
      <c r="HJ33" s="772"/>
      <c r="HK33" s="772"/>
      <c r="HL33" s="772"/>
      <c r="HM33" s="772"/>
      <c r="HN33" s="772"/>
      <c r="HO33" s="772"/>
      <c r="HP33" s="772"/>
      <c r="HQ33" s="772"/>
      <c r="HR33" s="772"/>
      <c r="HS33" s="772"/>
      <c r="HT33" s="772"/>
      <c r="HU33" s="772"/>
      <c r="HV33" s="772"/>
      <c r="HW33" s="772"/>
      <c r="HX33" s="772"/>
      <c r="HY33" s="772"/>
      <c r="HZ33" s="772"/>
      <c r="IA33" s="772"/>
      <c r="IB33" s="772"/>
      <c r="IC33" s="772"/>
      <c r="ID33" s="772"/>
      <c r="IE33" s="772"/>
      <c r="IF33" s="772"/>
      <c r="IG33" s="772"/>
      <c r="IH33" s="772"/>
      <c r="II33" s="772"/>
      <c r="IJ33" s="772"/>
      <c r="IK33" s="772"/>
    </row>
    <row r="34" spans="1:245" s="765" customFormat="1" ht="20.100000000000001" customHeight="1" x14ac:dyDescent="0.25">
      <c r="A34" s="772"/>
      <c r="B34" s="783"/>
      <c r="C34" s="784"/>
      <c r="D34" s="784"/>
      <c r="E34" s="784"/>
      <c r="F34" s="784"/>
      <c r="G34" s="784"/>
      <c r="H34" s="772"/>
      <c r="I34" s="1664">
        <f t="shared" si="32"/>
        <v>10</v>
      </c>
      <c r="J34" s="1668">
        <f t="shared" si="17"/>
        <v>0</v>
      </c>
      <c r="K34" s="1666">
        <f t="shared" si="42"/>
        <v>0</v>
      </c>
      <c r="L34" s="1670">
        <f t="shared" si="27"/>
        <v>0</v>
      </c>
      <c r="M34" s="1668">
        <f t="shared" si="33"/>
        <v>0</v>
      </c>
      <c r="N34" s="772"/>
      <c r="O34" s="1664">
        <f t="shared" si="34"/>
        <v>10</v>
      </c>
      <c r="P34" s="1668">
        <f t="shared" si="19"/>
        <v>0</v>
      </c>
      <c r="Q34" s="1666">
        <f t="shared" si="43"/>
        <v>0</v>
      </c>
      <c r="R34" s="1670">
        <f t="shared" si="28"/>
        <v>0</v>
      </c>
      <c r="S34" s="1668">
        <f t="shared" si="35"/>
        <v>0</v>
      </c>
      <c r="T34" s="772"/>
      <c r="U34" s="1664">
        <f t="shared" si="36"/>
        <v>10</v>
      </c>
      <c r="V34" s="1668">
        <f t="shared" si="21"/>
        <v>0</v>
      </c>
      <c r="W34" s="1666">
        <f t="shared" si="44"/>
        <v>0</v>
      </c>
      <c r="X34" s="1670">
        <f t="shared" si="29"/>
        <v>0</v>
      </c>
      <c r="Y34" s="1668">
        <f t="shared" si="37"/>
        <v>0</v>
      </c>
      <c r="Z34" s="772"/>
      <c r="AA34" s="1664">
        <f t="shared" si="38"/>
        <v>10</v>
      </c>
      <c r="AB34" s="1668">
        <f t="shared" si="23"/>
        <v>0</v>
      </c>
      <c r="AC34" s="1666">
        <f t="shared" si="45"/>
        <v>0</v>
      </c>
      <c r="AD34" s="1670">
        <f t="shared" si="30"/>
        <v>0</v>
      </c>
      <c r="AE34" s="1668">
        <f t="shared" si="39"/>
        <v>0</v>
      </c>
      <c r="AF34" s="772"/>
      <c r="AG34" s="1664">
        <f t="shared" si="40"/>
        <v>10</v>
      </c>
      <c r="AH34" s="1668">
        <f t="shared" si="25"/>
        <v>0</v>
      </c>
      <c r="AI34" s="1666">
        <f t="shared" si="46"/>
        <v>0</v>
      </c>
      <c r="AJ34" s="1670">
        <f t="shared" si="31"/>
        <v>0</v>
      </c>
      <c r="AK34" s="1668">
        <f t="shared" si="41"/>
        <v>0</v>
      </c>
      <c r="AL34" s="772"/>
      <c r="AM34" s="772"/>
      <c r="AN34" s="772"/>
      <c r="AO34" s="772"/>
      <c r="AP34" s="772"/>
      <c r="AQ34" s="772"/>
      <c r="AR34" s="772"/>
      <c r="AS34" s="772"/>
      <c r="AT34" s="772"/>
      <c r="AU34" s="772"/>
      <c r="AV34" s="772"/>
      <c r="AW34" s="772"/>
      <c r="AX34" s="772"/>
      <c r="AY34" s="772"/>
      <c r="AZ34" s="772"/>
      <c r="BA34" s="772"/>
      <c r="BB34" s="772"/>
      <c r="BC34" s="772"/>
      <c r="BD34" s="772"/>
      <c r="BE34" s="772"/>
      <c r="BF34" s="772"/>
      <c r="BG34" s="772"/>
      <c r="BH34" s="772"/>
      <c r="BI34" s="772"/>
      <c r="BJ34" s="772"/>
      <c r="BK34" s="772"/>
      <c r="BL34" s="772"/>
      <c r="BM34" s="772"/>
      <c r="BN34" s="772"/>
      <c r="BO34" s="772"/>
      <c r="BP34" s="772"/>
      <c r="BQ34" s="772"/>
      <c r="BR34" s="772"/>
      <c r="BS34" s="772"/>
      <c r="BT34" s="772"/>
      <c r="BU34" s="772"/>
      <c r="BV34" s="772"/>
      <c r="BW34" s="772"/>
      <c r="BX34" s="772"/>
      <c r="BY34" s="772"/>
      <c r="BZ34" s="772"/>
      <c r="CA34" s="772"/>
      <c r="CB34" s="772"/>
      <c r="CC34" s="772"/>
      <c r="CD34" s="772"/>
      <c r="CE34" s="772"/>
      <c r="CF34" s="772"/>
      <c r="CG34" s="772"/>
      <c r="CH34" s="772"/>
      <c r="CI34" s="772"/>
      <c r="CJ34" s="772"/>
      <c r="CK34" s="772"/>
      <c r="CL34" s="772"/>
      <c r="CM34" s="772"/>
      <c r="CN34" s="772"/>
      <c r="CO34" s="772"/>
      <c r="CP34" s="772"/>
      <c r="CQ34" s="772"/>
      <c r="CR34" s="772"/>
      <c r="CS34" s="772"/>
      <c r="CT34" s="772"/>
      <c r="CU34" s="772"/>
      <c r="CV34" s="772"/>
      <c r="CW34" s="772"/>
      <c r="CX34" s="772"/>
      <c r="CY34" s="772"/>
      <c r="CZ34" s="772"/>
      <c r="DA34" s="772"/>
      <c r="DB34" s="772"/>
      <c r="DC34" s="772"/>
      <c r="DD34" s="772"/>
      <c r="DE34" s="772"/>
      <c r="DF34" s="772"/>
      <c r="DG34" s="772"/>
      <c r="DH34" s="772"/>
      <c r="DI34" s="772"/>
      <c r="DJ34" s="772"/>
      <c r="DK34" s="772"/>
      <c r="DL34" s="772"/>
      <c r="DM34" s="772"/>
      <c r="DN34" s="772"/>
      <c r="DO34" s="772"/>
      <c r="DP34" s="772"/>
      <c r="DQ34" s="772"/>
      <c r="DR34" s="772"/>
      <c r="DS34" s="772"/>
      <c r="DT34" s="772"/>
      <c r="DU34" s="772"/>
      <c r="DV34" s="772"/>
      <c r="DW34" s="772"/>
      <c r="DX34" s="772"/>
      <c r="DY34" s="772"/>
      <c r="DZ34" s="772"/>
      <c r="EA34" s="772"/>
      <c r="EB34" s="772"/>
      <c r="EC34" s="772"/>
      <c r="ED34" s="772"/>
      <c r="EE34" s="772"/>
      <c r="EF34" s="772"/>
      <c r="EG34" s="772"/>
      <c r="EH34" s="772"/>
      <c r="EI34" s="772"/>
      <c r="EJ34" s="772"/>
      <c r="EK34" s="772"/>
      <c r="EL34" s="772"/>
      <c r="EM34" s="772"/>
      <c r="EN34" s="772"/>
      <c r="EO34" s="772"/>
      <c r="EP34" s="772"/>
      <c r="EQ34" s="772"/>
      <c r="ER34" s="772"/>
      <c r="ES34" s="772"/>
      <c r="ET34" s="772"/>
      <c r="EU34" s="772"/>
      <c r="EV34" s="772"/>
      <c r="EW34" s="772"/>
      <c r="EX34" s="772"/>
      <c r="EY34" s="772"/>
      <c r="EZ34" s="772"/>
      <c r="FA34" s="772"/>
      <c r="FB34" s="772"/>
      <c r="FC34" s="772"/>
      <c r="FD34" s="772"/>
      <c r="FE34" s="772"/>
      <c r="FF34" s="772"/>
      <c r="FG34" s="772"/>
      <c r="FH34" s="772"/>
      <c r="FI34" s="772"/>
      <c r="FJ34" s="772"/>
      <c r="FK34" s="772"/>
      <c r="FL34" s="772"/>
      <c r="FM34" s="772"/>
      <c r="FN34" s="772"/>
      <c r="FO34" s="772"/>
      <c r="FP34" s="772"/>
      <c r="FQ34" s="772"/>
      <c r="FR34" s="772"/>
      <c r="FS34" s="772"/>
      <c r="FT34" s="772"/>
      <c r="FU34" s="772"/>
      <c r="FV34" s="772"/>
      <c r="FW34" s="772"/>
      <c r="FX34" s="772"/>
      <c r="FY34" s="772"/>
      <c r="FZ34" s="772"/>
      <c r="GA34" s="772"/>
      <c r="GB34" s="772"/>
      <c r="GC34" s="772"/>
      <c r="GD34" s="772"/>
      <c r="GE34" s="772"/>
      <c r="GF34" s="772"/>
      <c r="GG34" s="772"/>
      <c r="GH34" s="772"/>
      <c r="GI34" s="772"/>
      <c r="GJ34" s="772"/>
      <c r="GK34" s="772"/>
      <c r="GL34" s="772"/>
      <c r="GM34" s="772"/>
      <c r="GN34" s="772"/>
      <c r="GO34" s="772"/>
      <c r="GP34" s="772"/>
      <c r="GQ34" s="772"/>
      <c r="GR34" s="772"/>
      <c r="GS34" s="772"/>
      <c r="GT34" s="772"/>
      <c r="GU34" s="772"/>
      <c r="GV34" s="772"/>
      <c r="GW34" s="772"/>
      <c r="GX34" s="772"/>
      <c r="GY34" s="772"/>
      <c r="GZ34" s="772"/>
      <c r="HA34" s="772"/>
      <c r="HB34" s="772"/>
      <c r="HC34" s="772"/>
      <c r="HD34" s="772"/>
      <c r="HE34" s="772"/>
      <c r="HF34" s="772"/>
      <c r="HG34" s="772"/>
      <c r="HH34" s="772"/>
      <c r="HI34" s="772"/>
      <c r="HJ34" s="772"/>
      <c r="HK34" s="772"/>
      <c r="HL34" s="772"/>
      <c r="HM34" s="772"/>
      <c r="HN34" s="772"/>
      <c r="HO34" s="772"/>
      <c r="HP34" s="772"/>
      <c r="HQ34" s="772"/>
      <c r="HR34" s="772"/>
      <c r="HS34" s="772"/>
      <c r="HT34" s="772"/>
      <c r="HU34" s="772"/>
      <c r="HV34" s="772"/>
      <c r="HW34" s="772"/>
      <c r="HX34" s="772"/>
      <c r="HY34" s="772"/>
      <c r="HZ34" s="772"/>
      <c r="IA34" s="772"/>
      <c r="IB34" s="772"/>
      <c r="IC34" s="772"/>
      <c r="ID34" s="772"/>
      <c r="IE34" s="772"/>
      <c r="IF34" s="772"/>
      <c r="IG34" s="772"/>
      <c r="IH34" s="772"/>
      <c r="II34" s="772"/>
      <c r="IJ34" s="772"/>
      <c r="IK34" s="772"/>
    </row>
    <row r="35" spans="1:245" s="765" customFormat="1" ht="20.100000000000001" customHeight="1" x14ac:dyDescent="0.25">
      <c r="A35" s="772"/>
      <c r="B35" s="783"/>
      <c r="C35" s="784"/>
      <c r="D35" s="784"/>
      <c r="E35" s="784"/>
      <c r="F35" s="784"/>
      <c r="G35" s="784"/>
      <c r="H35" s="772"/>
      <c r="I35" s="1664">
        <f t="shared" si="32"/>
        <v>11</v>
      </c>
      <c r="J35" s="1668">
        <f t="shared" si="17"/>
        <v>0</v>
      </c>
      <c r="K35" s="1666">
        <f t="shared" si="42"/>
        <v>0</v>
      </c>
      <c r="L35" s="1670">
        <f t="shared" si="27"/>
        <v>0</v>
      </c>
      <c r="M35" s="1668">
        <f t="shared" si="33"/>
        <v>0</v>
      </c>
      <c r="N35" s="772"/>
      <c r="O35" s="1664">
        <f t="shared" si="34"/>
        <v>11</v>
      </c>
      <c r="P35" s="1668">
        <f t="shared" si="19"/>
        <v>0</v>
      </c>
      <c r="Q35" s="1666">
        <f t="shared" si="43"/>
        <v>0</v>
      </c>
      <c r="R35" s="1670">
        <f t="shared" si="28"/>
        <v>0</v>
      </c>
      <c r="S35" s="1668">
        <f t="shared" si="35"/>
        <v>0</v>
      </c>
      <c r="T35" s="772"/>
      <c r="U35" s="1664">
        <f t="shared" si="36"/>
        <v>11</v>
      </c>
      <c r="V35" s="1668">
        <f t="shared" si="21"/>
        <v>0</v>
      </c>
      <c r="W35" s="1666">
        <f t="shared" si="44"/>
        <v>0</v>
      </c>
      <c r="X35" s="1670">
        <f t="shared" si="29"/>
        <v>0</v>
      </c>
      <c r="Y35" s="1668">
        <f t="shared" si="37"/>
        <v>0</v>
      </c>
      <c r="Z35" s="772"/>
      <c r="AA35" s="1664">
        <f t="shared" si="38"/>
        <v>11</v>
      </c>
      <c r="AB35" s="1668">
        <f t="shared" si="23"/>
        <v>0</v>
      </c>
      <c r="AC35" s="1666">
        <f t="shared" si="45"/>
        <v>0</v>
      </c>
      <c r="AD35" s="1670">
        <f t="shared" si="30"/>
        <v>0</v>
      </c>
      <c r="AE35" s="1668">
        <f t="shared" si="39"/>
        <v>0</v>
      </c>
      <c r="AF35" s="772"/>
      <c r="AG35" s="1664">
        <f t="shared" si="40"/>
        <v>11</v>
      </c>
      <c r="AH35" s="1668">
        <f t="shared" si="25"/>
        <v>0</v>
      </c>
      <c r="AI35" s="1666">
        <f t="shared" si="46"/>
        <v>0</v>
      </c>
      <c r="AJ35" s="1670">
        <f t="shared" si="31"/>
        <v>0</v>
      </c>
      <c r="AK35" s="1668">
        <f t="shared" si="41"/>
        <v>0</v>
      </c>
      <c r="AL35" s="772"/>
      <c r="AM35" s="772"/>
      <c r="AN35" s="772"/>
      <c r="AO35" s="772"/>
      <c r="AP35" s="772"/>
      <c r="AQ35" s="772"/>
      <c r="AR35" s="772"/>
      <c r="AS35" s="772"/>
      <c r="AT35" s="772"/>
      <c r="AU35" s="772"/>
      <c r="AV35" s="772"/>
      <c r="AW35" s="772"/>
      <c r="AX35" s="772"/>
      <c r="AY35" s="772"/>
      <c r="AZ35" s="772"/>
      <c r="BA35" s="772"/>
      <c r="BB35" s="772"/>
      <c r="BC35" s="772"/>
      <c r="BD35" s="772"/>
      <c r="BE35" s="772"/>
      <c r="BF35" s="772"/>
      <c r="BG35" s="772"/>
      <c r="BH35" s="772"/>
      <c r="BI35" s="772"/>
      <c r="BJ35" s="772"/>
      <c r="BK35" s="772"/>
      <c r="BL35" s="772"/>
      <c r="BM35" s="772"/>
      <c r="BN35" s="772"/>
      <c r="BO35" s="772"/>
      <c r="BP35" s="772"/>
      <c r="BQ35" s="772"/>
      <c r="BR35" s="772"/>
      <c r="BS35" s="772"/>
      <c r="BT35" s="772"/>
      <c r="BU35" s="772"/>
      <c r="BV35" s="772"/>
      <c r="BW35" s="772"/>
      <c r="BX35" s="772"/>
      <c r="BY35" s="772"/>
      <c r="BZ35" s="772"/>
      <c r="CA35" s="772"/>
      <c r="CB35" s="772"/>
      <c r="CC35" s="772"/>
      <c r="CD35" s="772"/>
      <c r="CE35" s="772"/>
      <c r="CF35" s="772"/>
      <c r="CG35" s="772"/>
      <c r="CH35" s="772"/>
      <c r="CI35" s="772"/>
      <c r="CJ35" s="772"/>
      <c r="CK35" s="772"/>
      <c r="CL35" s="772"/>
      <c r="CM35" s="772"/>
      <c r="CN35" s="772"/>
      <c r="CO35" s="772"/>
      <c r="CP35" s="772"/>
      <c r="CQ35" s="772"/>
      <c r="CR35" s="772"/>
      <c r="CS35" s="772"/>
      <c r="CT35" s="772"/>
      <c r="CU35" s="772"/>
      <c r="CV35" s="772"/>
      <c r="CW35" s="772"/>
      <c r="CX35" s="772"/>
      <c r="CY35" s="772"/>
      <c r="CZ35" s="772"/>
      <c r="DA35" s="772"/>
      <c r="DB35" s="772"/>
      <c r="DC35" s="772"/>
      <c r="DD35" s="772"/>
      <c r="DE35" s="772"/>
      <c r="DF35" s="772"/>
      <c r="DG35" s="772"/>
      <c r="DH35" s="772"/>
      <c r="DI35" s="772"/>
      <c r="DJ35" s="772"/>
      <c r="DK35" s="772"/>
      <c r="DL35" s="772"/>
      <c r="DM35" s="772"/>
      <c r="DN35" s="772"/>
      <c r="DO35" s="772"/>
      <c r="DP35" s="772"/>
      <c r="DQ35" s="772"/>
      <c r="DR35" s="772"/>
      <c r="DS35" s="772"/>
      <c r="DT35" s="772"/>
      <c r="DU35" s="772"/>
      <c r="DV35" s="772"/>
      <c r="DW35" s="772"/>
      <c r="DX35" s="772"/>
      <c r="DY35" s="772"/>
      <c r="DZ35" s="772"/>
      <c r="EA35" s="772"/>
      <c r="EB35" s="772"/>
      <c r="EC35" s="772"/>
      <c r="ED35" s="772"/>
      <c r="EE35" s="772"/>
      <c r="EF35" s="772"/>
      <c r="EG35" s="772"/>
      <c r="EH35" s="772"/>
      <c r="EI35" s="772"/>
      <c r="EJ35" s="772"/>
      <c r="EK35" s="772"/>
      <c r="EL35" s="772"/>
      <c r="EM35" s="772"/>
      <c r="EN35" s="772"/>
      <c r="EO35" s="772"/>
      <c r="EP35" s="772"/>
      <c r="EQ35" s="772"/>
      <c r="ER35" s="772"/>
      <c r="ES35" s="772"/>
      <c r="ET35" s="772"/>
      <c r="EU35" s="772"/>
      <c r="EV35" s="772"/>
      <c r="EW35" s="772"/>
      <c r="EX35" s="772"/>
      <c r="EY35" s="772"/>
      <c r="EZ35" s="772"/>
      <c r="FA35" s="772"/>
      <c r="FB35" s="772"/>
      <c r="FC35" s="772"/>
      <c r="FD35" s="772"/>
      <c r="FE35" s="772"/>
      <c r="FF35" s="772"/>
      <c r="FG35" s="772"/>
      <c r="FH35" s="772"/>
      <c r="FI35" s="772"/>
      <c r="FJ35" s="772"/>
      <c r="FK35" s="772"/>
      <c r="FL35" s="772"/>
      <c r="FM35" s="772"/>
      <c r="FN35" s="772"/>
      <c r="FO35" s="772"/>
      <c r="FP35" s="772"/>
      <c r="FQ35" s="772"/>
      <c r="FR35" s="772"/>
      <c r="FS35" s="772"/>
      <c r="FT35" s="772"/>
      <c r="FU35" s="772"/>
      <c r="FV35" s="772"/>
      <c r="FW35" s="772"/>
      <c r="FX35" s="772"/>
      <c r="FY35" s="772"/>
      <c r="FZ35" s="772"/>
      <c r="GA35" s="772"/>
      <c r="GB35" s="772"/>
      <c r="GC35" s="772"/>
      <c r="GD35" s="772"/>
      <c r="GE35" s="772"/>
      <c r="GF35" s="772"/>
      <c r="GG35" s="772"/>
      <c r="GH35" s="772"/>
      <c r="GI35" s="772"/>
      <c r="GJ35" s="772"/>
      <c r="GK35" s="772"/>
      <c r="GL35" s="772"/>
      <c r="GM35" s="772"/>
      <c r="GN35" s="772"/>
      <c r="GO35" s="772"/>
      <c r="GP35" s="772"/>
      <c r="GQ35" s="772"/>
      <c r="GR35" s="772"/>
      <c r="GS35" s="772"/>
      <c r="GT35" s="772"/>
      <c r="GU35" s="772"/>
      <c r="GV35" s="772"/>
      <c r="GW35" s="772"/>
      <c r="GX35" s="772"/>
      <c r="GY35" s="772"/>
      <c r="GZ35" s="772"/>
      <c r="HA35" s="772"/>
      <c r="HB35" s="772"/>
      <c r="HC35" s="772"/>
      <c r="HD35" s="772"/>
      <c r="HE35" s="772"/>
      <c r="HF35" s="772"/>
      <c r="HG35" s="772"/>
      <c r="HH35" s="772"/>
      <c r="HI35" s="772"/>
      <c r="HJ35" s="772"/>
      <c r="HK35" s="772"/>
      <c r="HL35" s="772"/>
      <c r="HM35" s="772"/>
      <c r="HN35" s="772"/>
      <c r="HO35" s="772"/>
      <c r="HP35" s="772"/>
      <c r="HQ35" s="772"/>
      <c r="HR35" s="772"/>
      <c r="HS35" s="772"/>
      <c r="HT35" s="772"/>
      <c r="HU35" s="772"/>
      <c r="HV35" s="772"/>
      <c r="HW35" s="772"/>
      <c r="HX35" s="772"/>
      <c r="HY35" s="772"/>
      <c r="HZ35" s="772"/>
      <c r="IA35" s="772"/>
      <c r="IB35" s="772"/>
      <c r="IC35" s="772"/>
      <c r="ID35" s="772"/>
      <c r="IE35" s="772"/>
      <c r="IF35" s="772"/>
      <c r="IG35" s="772"/>
      <c r="IH35" s="772"/>
      <c r="II35" s="772"/>
      <c r="IJ35" s="772"/>
      <c r="IK35" s="772"/>
    </row>
    <row r="36" spans="1:245" s="765" customFormat="1" ht="20.100000000000001" customHeight="1" x14ac:dyDescent="0.25">
      <c r="A36" s="772"/>
      <c r="B36" s="783"/>
      <c r="C36" s="784"/>
      <c r="D36" s="784"/>
      <c r="E36" s="784"/>
      <c r="F36" s="784"/>
      <c r="G36" s="784"/>
      <c r="H36" s="772"/>
      <c r="I36" s="1664">
        <f t="shared" si="32"/>
        <v>12</v>
      </c>
      <c r="J36" s="1668">
        <f t="shared" si="17"/>
        <v>0</v>
      </c>
      <c r="K36" s="1666">
        <f t="shared" si="42"/>
        <v>0</v>
      </c>
      <c r="L36" s="1670">
        <f t="shared" si="27"/>
        <v>0</v>
      </c>
      <c r="M36" s="1668">
        <f t="shared" si="33"/>
        <v>0</v>
      </c>
      <c r="N36" s="772"/>
      <c r="O36" s="1664">
        <f t="shared" si="34"/>
        <v>12</v>
      </c>
      <c r="P36" s="1668">
        <f t="shared" si="19"/>
        <v>0</v>
      </c>
      <c r="Q36" s="1666">
        <f t="shared" si="43"/>
        <v>0</v>
      </c>
      <c r="R36" s="1670">
        <f t="shared" si="28"/>
        <v>0</v>
      </c>
      <c r="S36" s="1668">
        <f t="shared" si="35"/>
        <v>0</v>
      </c>
      <c r="T36" s="772"/>
      <c r="U36" s="1664">
        <f t="shared" si="36"/>
        <v>12</v>
      </c>
      <c r="V36" s="1668">
        <f t="shared" si="21"/>
        <v>0</v>
      </c>
      <c r="W36" s="1666">
        <f t="shared" si="44"/>
        <v>0</v>
      </c>
      <c r="X36" s="1670">
        <f t="shared" si="29"/>
        <v>0</v>
      </c>
      <c r="Y36" s="1668">
        <f t="shared" si="37"/>
        <v>0</v>
      </c>
      <c r="Z36" s="772"/>
      <c r="AA36" s="1664">
        <f t="shared" si="38"/>
        <v>12</v>
      </c>
      <c r="AB36" s="1668">
        <f t="shared" si="23"/>
        <v>0</v>
      </c>
      <c r="AC36" s="1666">
        <f t="shared" si="45"/>
        <v>0</v>
      </c>
      <c r="AD36" s="1670">
        <f t="shared" si="30"/>
        <v>0</v>
      </c>
      <c r="AE36" s="1668">
        <f t="shared" si="39"/>
        <v>0</v>
      </c>
      <c r="AF36" s="772"/>
      <c r="AG36" s="1664">
        <f t="shared" si="40"/>
        <v>12</v>
      </c>
      <c r="AH36" s="1668">
        <f t="shared" si="25"/>
        <v>0</v>
      </c>
      <c r="AI36" s="1666">
        <f t="shared" si="46"/>
        <v>0</v>
      </c>
      <c r="AJ36" s="1670">
        <f t="shared" si="31"/>
        <v>0</v>
      </c>
      <c r="AK36" s="1668">
        <f t="shared" si="41"/>
        <v>0</v>
      </c>
      <c r="AL36" s="772"/>
      <c r="AM36" s="772"/>
      <c r="AN36" s="772"/>
      <c r="AO36" s="772"/>
      <c r="AP36" s="772"/>
      <c r="AQ36" s="772"/>
      <c r="AR36" s="772"/>
      <c r="AS36" s="772"/>
      <c r="AT36" s="772"/>
      <c r="AU36" s="772"/>
      <c r="AV36" s="772"/>
      <c r="AW36" s="772"/>
      <c r="AX36" s="772"/>
      <c r="AY36" s="772"/>
      <c r="AZ36" s="772"/>
      <c r="BA36" s="772"/>
      <c r="BB36" s="772"/>
      <c r="BC36" s="772"/>
      <c r="BD36" s="772"/>
      <c r="BE36" s="772"/>
      <c r="BF36" s="772"/>
      <c r="BG36" s="772"/>
      <c r="BH36" s="772"/>
      <c r="BI36" s="772"/>
      <c r="BJ36" s="772"/>
      <c r="BK36" s="772"/>
      <c r="BL36" s="772"/>
      <c r="BM36" s="772"/>
      <c r="BN36" s="772"/>
      <c r="BO36" s="772"/>
      <c r="BP36" s="772"/>
      <c r="BQ36" s="772"/>
      <c r="BR36" s="772"/>
      <c r="BS36" s="772"/>
      <c r="BT36" s="772"/>
      <c r="BU36" s="772"/>
      <c r="BV36" s="772"/>
      <c r="BW36" s="772"/>
      <c r="BX36" s="772"/>
      <c r="BY36" s="772"/>
      <c r="BZ36" s="772"/>
      <c r="CA36" s="772"/>
      <c r="CB36" s="772"/>
      <c r="CC36" s="772"/>
      <c r="CD36" s="772"/>
      <c r="CE36" s="772"/>
      <c r="CF36" s="772"/>
      <c r="CG36" s="772"/>
      <c r="CH36" s="772"/>
      <c r="CI36" s="772"/>
      <c r="CJ36" s="772"/>
      <c r="CK36" s="772"/>
      <c r="CL36" s="772"/>
      <c r="CM36" s="772"/>
      <c r="CN36" s="772"/>
      <c r="CO36" s="772"/>
      <c r="CP36" s="772"/>
      <c r="CQ36" s="772"/>
      <c r="CR36" s="772"/>
      <c r="CS36" s="772"/>
      <c r="CT36" s="772"/>
      <c r="CU36" s="772"/>
      <c r="CV36" s="772"/>
      <c r="CW36" s="772"/>
      <c r="CX36" s="772"/>
      <c r="CY36" s="772"/>
      <c r="CZ36" s="772"/>
      <c r="DA36" s="772"/>
      <c r="DB36" s="772"/>
      <c r="DC36" s="772"/>
      <c r="DD36" s="772"/>
      <c r="DE36" s="772"/>
      <c r="DF36" s="772"/>
      <c r="DG36" s="772"/>
      <c r="DH36" s="772"/>
      <c r="DI36" s="772"/>
      <c r="DJ36" s="772"/>
      <c r="DK36" s="772"/>
      <c r="DL36" s="772"/>
      <c r="DM36" s="772"/>
      <c r="DN36" s="772"/>
      <c r="DO36" s="772"/>
      <c r="DP36" s="772"/>
      <c r="DQ36" s="772"/>
      <c r="DR36" s="772"/>
      <c r="DS36" s="772"/>
      <c r="DT36" s="772"/>
      <c r="DU36" s="772"/>
      <c r="DV36" s="772"/>
      <c r="DW36" s="772"/>
      <c r="DX36" s="772"/>
      <c r="DY36" s="772"/>
      <c r="DZ36" s="772"/>
      <c r="EA36" s="772"/>
      <c r="EB36" s="772"/>
      <c r="EC36" s="772"/>
      <c r="ED36" s="772"/>
      <c r="EE36" s="772"/>
      <c r="EF36" s="772"/>
      <c r="EG36" s="772"/>
      <c r="EH36" s="772"/>
      <c r="EI36" s="772"/>
      <c r="EJ36" s="772"/>
      <c r="EK36" s="772"/>
      <c r="EL36" s="772"/>
      <c r="EM36" s="772"/>
      <c r="EN36" s="772"/>
      <c r="EO36" s="772"/>
      <c r="EP36" s="772"/>
      <c r="EQ36" s="772"/>
      <c r="ER36" s="772"/>
      <c r="ES36" s="772"/>
      <c r="ET36" s="772"/>
      <c r="EU36" s="772"/>
      <c r="EV36" s="772"/>
      <c r="EW36" s="772"/>
      <c r="EX36" s="772"/>
      <c r="EY36" s="772"/>
      <c r="EZ36" s="772"/>
      <c r="FA36" s="772"/>
      <c r="FB36" s="772"/>
      <c r="FC36" s="772"/>
      <c r="FD36" s="772"/>
      <c r="FE36" s="772"/>
      <c r="FF36" s="772"/>
      <c r="FG36" s="772"/>
      <c r="FH36" s="772"/>
      <c r="FI36" s="772"/>
      <c r="FJ36" s="772"/>
      <c r="FK36" s="772"/>
      <c r="FL36" s="772"/>
      <c r="FM36" s="772"/>
      <c r="FN36" s="772"/>
      <c r="FO36" s="772"/>
      <c r="FP36" s="772"/>
      <c r="FQ36" s="772"/>
      <c r="FR36" s="772"/>
      <c r="FS36" s="772"/>
      <c r="FT36" s="772"/>
      <c r="FU36" s="772"/>
      <c r="FV36" s="772"/>
      <c r="FW36" s="772"/>
      <c r="FX36" s="772"/>
      <c r="FY36" s="772"/>
      <c r="FZ36" s="772"/>
      <c r="GA36" s="772"/>
      <c r="GB36" s="772"/>
      <c r="GC36" s="772"/>
      <c r="GD36" s="772"/>
      <c r="GE36" s="772"/>
      <c r="GF36" s="772"/>
      <c r="GG36" s="772"/>
      <c r="GH36" s="772"/>
      <c r="GI36" s="772"/>
      <c r="GJ36" s="772"/>
      <c r="GK36" s="772"/>
      <c r="GL36" s="772"/>
      <c r="GM36" s="772"/>
      <c r="GN36" s="772"/>
      <c r="GO36" s="772"/>
      <c r="GP36" s="772"/>
      <c r="GQ36" s="772"/>
      <c r="GR36" s="772"/>
      <c r="GS36" s="772"/>
      <c r="GT36" s="772"/>
      <c r="GU36" s="772"/>
      <c r="GV36" s="772"/>
      <c r="GW36" s="772"/>
      <c r="GX36" s="772"/>
      <c r="GY36" s="772"/>
      <c r="GZ36" s="772"/>
      <c r="HA36" s="772"/>
      <c r="HB36" s="772"/>
      <c r="HC36" s="772"/>
      <c r="HD36" s="772"/>
      <c r="HE36" s="772"/>
      <c r="HF36" s="772"/>
      <c r="HG36" s="772"/>
      <c r="HH36" s="772"/>
      <c r="HI36" s="772"/>
      <c r="HJ36" s="772"/>
      <c r="HK36" s="772"/>
      <c r="HL36" s="772"/>
      <c r="HM36" s="772"/>
      <c r="HN36" s="772"/>
      <c r="HO36" s="772"/>
      <c r="HP36" s="772"/>
      <c r="HQ36" s="772"/>
      <c r="HR36" s="772"/>
      <c r="HS36" s="772"/>
      <c r="HT36" s="772"/>
      <c r="HU36" s="772"/>
      <c r="HV36" s="772"/>
      <c r="HW36" s="772"/>
      <c r="HX36" s="772"/>
      <c r="HY36" s="772"/>
      <c r="HZ36" s="772"/>
      <c r="IA36" s="772"/>
      <c r="IB36" s="772"/>
      <c r="IC36" s="772"/>
      <c r="ID36" s="772"/>
      <c r="IE36" s="772"/>
      <c r="IF36" s="772"/>
      <c r="IG36" s="772"/>
      <c r="IH36" s="772"/>
      <c r="II36" s="772"/>
      <c r="IJ36" s="772"/>
      <c r="IK36" s="772"/>
    </row>
    <row r="37" spans="1:245" s="765" customFormat="1" ht="20.100000000000001" customHeight="1" x14ac:dyDescent="0.25">
      <c r="A37" s="772"/>
      <c r="B37" s="783"/>
      <c r="C37" s="784"/>
      <c r="D37" s="784"/>
      <c r="E37" s="784"/>
      <c r="F37" s="784"/>
      <c r="G37" s="784"/>
      <c r="H37" s="772"/>
      <c r="I37" s="1664">
        <f t="shared" si="32"/>
        <v>13</v>
      </c>
      <c r="J37" s="1668">
        <f t="shared" si="17"/>
        <v>0</v>
      </c>
      <c r="K37" s="1666">
        <f t="shared" si="42"/>
        <v>0</v>
      </c>
      <c r="L37" s="1670">
        <f t="shared" si="27"/>
        <v>0</v>
      </c>
      <c r="M37" s="1668">
        <f t="shared" si="33"/>
        <v>0</v>
      </c>
      <c r="N37" s="772"/>
      <c r="O37" s="1664">
        <f t="shared" si="34"/>
        <v>13</v>
      </c>
      <c r="P37" s="1668">
        <f t="shared" si="19"/>
        <v>0</v>
      </c>
      <c r="Q37" s="1666">
        <f t="shared" si="43"/>
        <v>0</v>
      </c>
      <c r="R37" s="1670">
        <f t="shared" si="28"/>
        <v>0</v>
      </c>
      <c r="S37" s="1668">
        <f t="shared" si="35"/>
        <v>0</v>
      </c>
      <c r="T37" s="772"/>
      <c r="U37" s="1664">
        <f t="shared" si="36"/>
        <v>13</v>
      </c>
      <c r="V37" s="1668">
        <f t="shared" si="21"/>
        <v>0</v>
      </c>
      <c r="W37" s="1666">
        <f t="shared" si="44"/>
        <v>0</v>
      </c>
      <c r="X37" s="1670">
        <f t="shared" si="29"/>
        <v>0</v>
      </c>
      <c r="Y37" s="1668">
        <f t="shared" si="37"/>
        <v>0</v>
      </c>
      <c r="Z37" s="772"/>
      <c r="AA37" s="1664">
        <f t="shared" si="38"/>
        <v>13</v>
      </c>
      <c r="AB37" s="1668">
        <f t="shared" si="23"/>
        <v>0</v>
      </c>
      <c r="AC37" s="1666">
        <f t="shared" si="45"/>
        <v>0</v>
      </c>
      <c r="AD37" s="1670">
        <f t="shared" si="30"/>
        <v>0</v>
      </c>
      <c r="AE37" s="1668">
        <f t="shared" si="39"/>
        <v>0</v>
      </c>
      <c r="AF37" s="772"/>
      <c r="AG37" s="1664">
        <f t="shared" si="40"/>
        <v>13</v>
      </c>
      <c r="AH37" s="1668">
        <f t="shared" si="25"/>
        <v>0</v>
      </c>
      <c r="AI37" s="1666">
        <f t="shared" si="46"/>
        <v>0</v>
      </c>
      <c r="AJ37" s="1670">
        <f t="shared" si="31"/>
        <v>0</v>
      </c>
      <c r="AK37" s="1668">
        <f t="shared" si="41"/>
        <v>0</v>
      </c>
      <c r="AL37" s="772"/>
      <c r="AM37" s="772"/>
      <c r="AN37" s="772"/>
      <c r="AO37" s="772"/>
      <c r="AP37" s="772"/>
      <c r="AQ37" s="772"/>
      <c r="AR37" s="772"/>
      <c r="AS37" s="772"/>
      <c r="AT37" s="772"/>
      <c r="AU37" s="772"/>
      <c r="AV37" s="772"/>
      <c r="AW37" s="772"/>
      <c r="AX37" s="772"/>
      <c r="AY37" s="772"/>
      <c r="AZ37" s="772"/>
      <c r="BA37" s="772"/>
      <c r="BB37" s="772"/>
      <c r="BC37" s="772"/>
      <c r="BD37" s="772"/>
      <c r="BE37" s="772"/>
      <c r="BF37" s="772"/>
      <c r="BG37" s="772"/>
      <c r="BH37" s="772"/>
      <c r="BI37" s="772"/>
      <c r="BJ37" s="772"/>
      <c r="BK37" s="772"/>
      <c r="BL37" s="772"/>
      <c r="BM37" s="772"/>
      <c r="BN37" s="772"/>
      <c r="BO37" s="772"/>
      <c r="BP37" s="772"/>
      <c r="BQ37" s="772"/>
      <c r="BR37" s="772"/>
      <c r="BS37" s="772"/>
      <c r="BT37" s="772"/>
      <c r="BU37" s="772"/>
      <c r="BV37" s="772"/>
      <c r="BW37" s="772"/>
      <c r="BX37" s="772"/>
      <c r="BY37" s="772"/>
      <c r="BZ37" s="772"/>
      <c r="CA37" s="772"/>
      <c r="CB37" s="772"/>
      <c r="CC37" s="772"/>
      <c r="CD37" s="772"/>
      <c r="CE37" s="772"/>
      <c r="CF37" s="772"/>
      <c r="CG37" s="772"/>
      <c r="CH37" s="772"/>
      <c r="CI37" s="772"/>
      <c r="CJ37" s="772"/>
      <c r="CK37" s="772"/>
      <c r="CL37" s="772"/>
      <c r="CM37" s="772"/>
      <c r="CN37" s="772"/>
      <c r="CO37" s="772"/>
      <c r="CP37" s="772"/>
      <c r="CQ37" s="772"/>
      <c r="CR37" s="772"/>
      <c r="CS37" s="772"/>
      <c r="CT37" s="772"/>
      <c r="CU37" s="772"/>
      <c r="CV37" s="772"/>
      <c r="CW37" s="772"/>
      <c r="CX37" s="772"/>
      <c r="CY37" s="772"/>
      <c r="CZ37" s="772"/>
      <c r="DA37" s="772"/>
      <c r="DB37" s="772"/>
      <c r="DC37" s="772"/>
      <c r="DD37" s="772"/>
      <c r="DE37" s="772"/>
      <c r="DF37" s="772"/>
      <c r="DG37" s="772"/>
      <c r="DH37" s="772"/>
      <c r="DI37" s="772"/>
      <c r="DJ37" s="772"/>
      <c r="DK37" s="772"/>
      <c r="DL37" s="772"/>
      <c r="DM37" s="772"/>
      <c r="DN37" s="772"/>
      <c r="DO37" s="772"/>
      <c r="DP37" s="772"/>
      <c r="DQ37" s="772"/>
      <c r="DR37" s="772"/>
      <c r="DS37" s="772"/>
      <c r="DT37" s="772"/>
      <c r="DU37" s="772"/>
      <c r="DV37" s="772"/>
      <c r="DW37" s="772"/>
      <c r="DX37" s="772"/>
      <c r="DY37" s="772"/>
      <c r="DZ37" s="772"/>
      <c r="EA37" s="772"/>
      <c r="EB37" s="772"/>
      <c r="EC37" s="772"/>
      <c r="ED37" s="772"/>
      <c r="EE37" s="772"/>
      <c r="EF37" s="772"/>
      <c r="EG37" s="772"/>
      <c r="EH37" s="772"/>
      <c r="EI37" s="772"/>
      <c r="EJ37" s="772"/>
      <c r="EK37" s="772"/>
      <c r="EL37" s="772"/>
      <c r="EM37" s="772"/>
      <c r="EN37" s="772"/>
      <c r="EO37" s="772"/>
      <c r="EP37" s="772"/>
      <c r="EQ37" s="772"/>
      <c r="ER37" s="772"/>
      <c r="ES37" s="772"/>
      <c r="ET37" s="772"/>
      <c r="EU37" s="772"/>
      <c r="EV37" s="772"/>
      <c r="EW37" s="772"/>
      <c r="EX37" s="772"/>
      <c r="EY37" s="772"/>
      <c r="EZ37" s="772"/>
      <c r="FA37" s="772"/>
      <c r="FB37" s="772"/>
      <c r="FC37" s="772"/>
      <c r="FD37" s="772"/>
      <c r="FE37" s="772"/>
      <c r="FF37" s="772"/>
      <c r="FG37" s="772"/>
      <c r="FH37" s="772"/>
      <c r="FI37" s="772"/>
      <c r="FJ37" s="772"/>
      <c r="FK37" s="772"/>
      <c r="FL37" s="772"/>
      <c r="FM37" s="772"/>
      <c r="FN37" s="772"/>
      <c r="FO37" s="772"/>
      <c r="FP37" s="772"/>
      <c r="FQ37" s="772"/>
      <c r="FR37" s="772"/>
      <c r="FS37" s="772"/>
      <c r="FT37" s="772"/>
      <c r="FU37" s="772"/>
      <c r="FV37" s="772"/>
      <c r="FW37" s="772"/>
      <c r="FX37" s="772"/>
      <c r="FY37" s="772"/>
      <c r="FZ37" s="772"/>
      <c r="GA37" s="772"/>
      <c r="GB37" s="772"/>
      <c r="GC37" s="772"/>
      <c r="GD37" s="772"/>
      <c r="GE37" s="772"/>
      <c r="GF37" s="772"/>
      <c r="GG37" s="772"/>
      <c r="GH37" s="772"/>
      <c r="GI37" s="772"/>
      <c r="GJ37" s="772"/>
      <c r="GK37" s="772"/>
      <c r="GL37" s="772"/>
      <c r="GM37" s="772"/>
      <c r="GN37" s="772"/>
      <c r="GO37" s="772"/>
      <c r="GP37" s="772"/>
      <c r="GQ37" s="772"/>
      <c r="GR37" s="772"/>
      <c r="GS37" s="772"/>
      <c r="GT37" s="772"/>
      <c r="GU37" s="772"/>
      <c r="GV37" s="772"/>
      <c r="GW37" s="772"/>
      <c r="GX37" s="772"/>
      <c r="GY37" s="772"/>
      <c r="GZ37" s="772"/>
      <c r="HA37" s="772"/>
      <c r="HB37" s="772"/>
      <c r="HC37" s="772"/>
      <c r="HD37" s="772"/>
      <c r="HE37" s="772"/>
      <c r="HF37" s="772"/>
      <c r="HG37" s="772"/>
      <c r="HH37" s="772"/>
      <c r="HI37" s="772"/>
      <c r="HJ37" s="772"/>
      <c r="HK37" s="772"/>
      <c r="HL37" s="772"/>
      <c r="HM37" s="772"/>
      <c r="HN37" s="772"/>
      <c r="HO37" s="772"/>
      <c r="HP37" s="772"/>
      <c r="HQ37" s="772"/>
      <c r="HR37" s="772"/>
      <c r="HS37" s="772"/>
      <c r="HT37" s="772"/>
      <c r="HU37" s="772"/>
      <c r="HV37" s="772"/>
      <c r="HW37" s="772"/>
      <c r="HX37" s="772"/>
      <c r="HY37" s="772"/>
      <c r="HZ37" s="772"/>
      <c r="IA37" s="772"/>
      <c r="IB37" s="772"/>
      <c r="IC37" s="772"/>
      <c r="ID37" s="772"/>
      <c r="IE37" s="772"/>
      <c r="IF37" s="772"/>
      <c r="IG37" s="772"/>
      <c r="IH37" s="772"/>
      <c r="II37" s="772"/>
      <c r="IJ37" s="772"/>
      <c r="IK37" s="772"/>
    </row>
    <row r="38" spans="1:245" s="765" customFormat="1" ht="20.100000000000001" customHeight="1" x14ac:dyDescent="0.25">
      <c r="A38" s="772"/>
      <c r="B38" s="783"/>
      <c r="C38" s="784"/>
      <c r="D38" s="784"/>
      <c r="E38" s="784"/>
      <c r="F38" s="784"/>
      <c r="G38" s="784"/>
      <c r="H38" s="772"/>
      <c r="I38" s="1664">
        <f t="shared" si="32"/>
        <v>14</v>
      </c>
      <c r="J38" s="1668">
        <f t="shared" si="17"/>
        <v>0</v>
      </c>
      <c r="K38" s="1666">
        <f t="shared" si="42"/>
        <v>0</v>
      </c>
      <c r="L38" s="1670">
        <f t="shared" si="27"/>
        <v>0</v>
      </c>
      <c r="M38" s="1668">
        <f t="shared" si="33"/>
        <v>0</v>
      </c>
      <c r="N38" s="772"/>
      <c r="O38" s="1664">
        <f t="shared" si="34"/>
        <v>14</v>
      </c>
      <c r="P38" s="1668">
        <f t="shared" si="19"/>
        <v>0</v>
      </c>
      <c r="Q38" s="1666">
        <f t="shared" si="43"/>
        <v>0</v>
      </c>
      <c r="R38" s="1670">
        <f t="shared" si="28"/>
        <v>0</v>
      </c>
      <c r="S38" s="1668">
        <f t="shared" si="35"/>
        <v>0</v>
      </c>
      <c r="T38" s="772"/>
      <c r="U38" s="1664">
        <f t="shared" si="36"/>
        <v>14</v>
      </c>
      <c r="V38" s="1668">
        <f t="shared" si="21"/>
        <v>0</v>
      </c>
      <c r="W38" s="1666">
        <f t="shared" si="44"/>
        <v>0</v>
      </c>
      <c r="X38" s="1670">
        <f t="shared" si="29"/>
        <v>0</v>
      </c>
      <c r="Y38" s="1668">
        <f t="shared" si="37"/>
        <v>0</v>
      </c>
      <c r="Z38" s="772"/>
      <c r="AA38" s="1664">
        <f t="shared" si="38"/>
        <v>14</v>
      </c>
      <c r="AB38" s="1668">
        <f t="shared" si="23"/>
        <v>0</v>
      </c>
      <c r="AC38" s="1666">
        <f t="shared" si="45"/>
        <v>0</v>
      </c>
      <c r="AD38" s="1670">
        <f t="shared" si="30"/>
        <v>0</v>
      </c>
      <c r="AE38" s="1668">
        <f t="shared" si="39"/>
        <v>0</v>
      </c>
      <c r="AF38" s="772"/>
      <c r="AG38" s="1664">
        <f t="shared" si="40"/>
        <v>14</v>
      </c>
      <c r="AH38" s="1668">
        <f t="shared" si="25"/>
        <v>0</v>
      </c>
      <c r="AI38" s="1666">
        <f t="shared" si="46"/>
        <v>0</v>
      </c>
      <c r="AJ38" s="1670">
        <f t="shared" si="31"/>
        <v>0</v>
      </c>
      <c r="AK38" s="1668">
        <f t="shared" si="41"/>
        <v>0</v>
      </c>
      <c r="AL38" s="772"/>
      <c r="AM38" s="772"/>
      <c r="AN38" s="772"/>
      <c r="AO38" s="772"/>
      <c r="AP38" s="772"/>
      <c r="AQ38" s="772"/>
      <c r="AR38" s="772"/>
      <c r="AS38" s="772"/>
      <c r="AT38" s="772"/>
      <c r="AU38" s="772"/>
      <c r="AV38" s="772"/>
      <c r="AW38" s="772"/>
      <c r="AX38" s="772"/>
      <c r="AY38" s="772"/>
      <c r="AZ38" s="772"/>
      <c r="BA38" s="772"/>
      <c r="BB38" s="772"/>
      <c r="BC38" s="772"/>
      <c r="BD38" s="772"/>
      <c r="BE38" s="772"/>
      <c r="BF38" s="772"/>
      <c r="BG38" s="772"/>
      <c r="BH38" s="772"/>
      <c r="BI38" s="772"/>
      <c r="BJ38" s="772"/>
      <c r="BK38" s="772"/>
      <c r="BL38" s="772"/>
      <c r="BM38" s="772"/>
      <c r="BN38" s="772"/>
      <c r="BO38" s="772"/>
      <c r="BP38" s="772"/>
      <c r="BQ38" s="772"/>
      <c r="BR38" s="772"/>
      <c r="BS38" s="772"/>
      <c r="BT38" s="772"/>
      <c r="BU38" s="772"/>
      <c r="BV38" s="772"/>
      <c r="BW38" s="772"/>
      <c r="BX38" s="772"/>
      <c r="BY38" s="772"/>
      <c r="BZ38" s="772"/>
      <c r="CA38" s="772"/>
      <c r="CB38" s="772"/>
      <c r="CC38" s="772"/>
      <c r="CD38" s="772"/>
      <c r="CE38" s="772"/>
      <c r="CF38" s="772"/>
      <c r="CG38" s="772"/>
      <c r="CH38" s="772"/>
      <c r="CI38" s="772"/>
      <c r="CJ38" s="772"/>
      <c r="CK38" s="772"/>
      <c r="CL38" s="772"/>
      <c r="CM38" s="772"/>
      <c r="CN38" s="772"/>
      <c r="CO38" s="772"/>
      <c r="CP38" s="772"/>
      <c r="CQ38" s="772"/>
      <c r="CR38" s="772"/>
      <c r="CS38" s="772"/>
      <c r="CT38" s="772"/>
      <c r="CU38" s="772"/>
      <c r="CV38" s="772"/>
      <c r="CW38" s="772"/>
      <c r="CX38" s="772"/>
      <c r="CY38" s="772"/>
      <c r="CZ38" s="772"/>
      <c r="DA38" s="772"/>
      <c r="DB38" s="772"/>
      <c r="DC38" s="772"/>
      <c r="DD38" s="772"/>
      <c r="DE38" s="772"/>
      <c r="DF38" s="772"/>
      <c r="DG38" s="772"/>
      <c r="DH38" s="772"/>
      <c r="DI38" s="772"/>
      <c r="DJ38" s="772"/>
      <c r="DK38" s="772"/>
      <c r="DL38" s="772"/>
      <c r="DM38" s="772"/>
      <c r="DN38" s="772"/>
      <c r="DO38" s="772"/>
      <c r="DP38" s="772"/>
      <c r="DQ38" s="772"/>
      <c r="DR38" s="772"/>
      <c r="DS38" s="772"/>
      <c r="DT38" s="772"/>
      <c r="DU38" s="772"/>
      <c r="DV38" s="772"/>
      <c r="DW38" s="772"/>
      <c r="DX38" s="772"/>
      <c r="DY38" s="772"/>
      <c r="DZ38" s="772"/>
      <c r="EA38" s="772"/>
      <c r="EB38" s="772"/>
      <c r="EC38" s="772"/>
      <c r="ED38" s="772"/>
      <c r="EE38" s="772"/>
      <c r="EF38" s="772"/>
      <c r="EG38" s="772"/>
      <c r="EH38" s="772"/>
      <c r="EI38" s="772"/>
      <c r="EJ38" s="772"/>
      <c r="EK38" s="772"/>
      <c r="EL38" s="772"/>
      <c r="EM38" s="772"/>
      <c r="EN38" s="772"/>
      <c r="EO38" s="772"/>
      <c r="EP38" s="772"/>
      <c r="EQ38" s="772"/>
      <c r="ER38" s="772"/>
      <c r="ES38" s="772"/>
      <c r="ET38" s="772"/>
      <c r="EU38" s="772"/>
      <c r="EV38" s="772"/>
      <c r="EW38" s="772"/>
      <c r="EX38" s="772"/>
      <c r="EY38" s="772"/>
      <c r="EZ38" s="772"/>
      <c r="FA38" s="772"/>
      <c r="FB38" s="772"/>
      <c r="FC38" s="772"/>
      <c r="FD38" s="772"/>
      <c r="FE38" s="772"/>
      <c r="FF38" s="772"/>
      <c r="FG38" s="772"/>
      <c r="FH38" s="772"/>
      <c r="FI38" s="772"/>
      <c r="FJ38" s="772"/>
      <c r="FK38" s="772"/>
      <c r="FL38" s="772"/>
      <c r="FM38" s="772"/>
      <c r="FN38" s="772"/>
      <c r="FO38" s="772"/>
      <c r="FP38" s="772"/>
      <c r="FQ38" s="772"/>
      <c r="FR38" s="772"/>
      <c r="FS38" s="772"/>
      <c r="FT38" s="772"/>
      <c r="FU38" s="772"/>
      <c r="FV38" s="772"/>
      <c r="FW38" s="772"/>
      <c r="FX38" s="772"/>
      <c r="FY38" s="772"/>
      <c r="FZ38" s="772"/>
      <c r="GA38" s="772"/>
      <c r="GB38" s="772"/>
      <c r="GC38" s="772"/>
      <c r="GD38" s="772"/>
      <c r="GE38" s="772"/>
      <c r="GF38" s="772"/>
      <c r="GG38" s="772"/>
      <c r="GH38" s="772"/>
      <c r="GI38" s="772"/>
      <c r="GJ38" s="772"/>
      <c r="GK38" s="772"/>
      <c r="GL38" s="772"/>
      <c r="GM38" s="772"/>
      <c r="GN38" s="772"/>
      <c r="GO38" s="772"/>
      <c r="GP38" s="772"/>
      <c r="GQ38" s="772"/>
      <c r="GR38" s="772"/>
      <c r="GS38" s="772"/>
      <c r="GT38" s="772"/>
      <c r="GU38" s="772"/>
      <c r="GV38" s="772"/>
      <c r="GW38" s="772"/>
      <c r="GX38" s="772"/>
      <c r="GY38" s="772"/>
      <c r="GZ38" s="772"/>
      <c r="HA38" s="772"/>
      <c r="HB38" s="772"/>
      <c r="HC38" s="772"/>
      <c r="HD38" s="772"/>
      <c r="HE38" s="772"/>
      <c r="HF38" s="772"/>
      <c r="HG38" s="772"/>
      <c r="HH38" s="772"/>
      <c r="HI38" s="772"/>
      <c r="HJ38" s="772"/>
      <c r="HK38" s="772"/>
      <c r="HL38" s="772"/>
      <c r="HM38" s="772"/>
      <c r="HN38" s="772"/>
      <c r="HO38" s="772"/>
      <c r="HP38" s="772"/>
      <c r="HQ38" s="772"/>
      <c r="HR38" s="772"/>
      <c r="HS38" s="772"/>
      <c r="HT38" s="772"/>
      <c r="HU38" s="772"/>
      <c r="HV38" s="772"/>
      <c r="HW38" s="772"/>
      <c r="HX38" s="772"/>
      <c r="HY38" s="772"/>
      <c r="HZ38" s="772"/>
      <c r="IA38" s="772"/>
      <c r="IB38" s="772"/>
      <c r="IC38" s="772"/>
      <c r="ID38" s="772"/>
      <c r="IE38" s="772"/>
      <c r="IF38" s="772"/>
      <c r="IG38" s="772"/>
      <c r="IH38" s="772"/>
      <c r="II38" s="772"/>
      <c r="IJ38" s="772"/>
      <c r="IK38" s="772"/>
    </row>
    <row r="39" spans="1:245" s="765" customFormat="1" ht="20.100000000000001" customHeight="1" x14ac:dyDescent="0.25">
      <c r="A39" s="772"/>
      <c r="B39" s="783"/>
      <c r="C39" s="784"/>
      <c r="D39" s="784"/>
      <c r="E39" s="784"/>
      <c r="F39" s="784"/>
      <c r="G39" s="784"/>
      <c r="H39" s="772"/>
      <c r="I39" s="1664">
        <f t="shared" si="32"/>
        <v>15</v>
      </c>
      <c r="J39" s="1668">
        <f t="shared" si="17"/>
        <v>0</v>
      </c>
      <c r="K39" s="1666">
        <f t="shared" si="42"/>
        <v>0</v>
      </c>
      <c r="L39" s="1670">
        <f t="shared" si="27"/>
        <v>0</v>
      </c>
      <c r="M39" s="1668">
        <f t="shared" si="33"/>
        <v>0</v>
      </c>
      <c r="N39" s="772"/>
      <c r="O39" s="1664">
        <f t="shared" si="34"/>
        <v>15</v>
      </c>
      <c r="P39" s="1668">
        <f t="shared" si="19"/>
        <v>0</v>
      </c>
      <c r="Q39" s="1666">
        <f t="shared" si="43"/>
        <v>0</v>
      </c>
      <c r="R39" s="1670">
        <f t="shared" si="28"/>
        <v>0</v>
      </c>
      <c r="S39" s="1668">
        <f t="shared" si="35"/>
        <v>0</v>
      </c>
      <c r="T39" s="772"/>
      <c r="U39" s="1664">
        <f t="shared" si="36"/>
        <v>15</v>
      </c>
      <c r="V39" s="1668">
        <f t="shared" si="21"/>
        <v>0</v>
      </c>
      <c r="W39" s="1666">
        <f t="shared" si="44"/>
        <v>0</v>
      </c>
      <c r="X39" s="1670">
        <f t="shared" si="29"/>
        <v>0</v>
      </c>
      <c r="Y39" s="1668">
        <f t="shared" si="37"/>
        <v>0</v>
      </c>
      <c r="Z39" s="772"/>
      <c r="AA39" s="1664">
        <f t="shared" si="38"/>
        <v>15</v>
      </c>
      <c r="AB39" s="1668">
        <f t="shared" si="23"/>
        <v>0</v>
      </c>
      <c r="AC39" s="1666">
        <f t="shared" si="45"/>
        <v>0</v>
      </c>
      <c r="AD39" s="1670">
        <f t="shared" si="30"/>
        <v>0</v>
      </c>
      <c r="AE39" s="1668">
        <f t="shared" si="39"/>
        <v>0</v>
      </c>
      <c r="AF39" s="772"/>
      <c r="AG39" s="1664">
        <f t="shared" si="40"/>
        <v>15</v>
      </c>
      <c r="AH39" s="1668">
        <f t="shared" si="25"/>
        <v>0</v>
      </c>
      <c r="AI39" s="1666">
        <f t="shared" si="46"/>
        <v>0</v>
      </c>
      <c r="AJ39" s="1670">
        <f t="shared" si="31"/>
        <v>0</v>
      </c>
      <c r="AK39" s="1668">
        <f t="shared" si="41"/>
        <v>0</v>
      </c>
      <c r="AL39" s="772"/>
      <c r="AM39" s="772"/>
      <c r="AN39" s="772"/>
      <c r="AO39" s="772"/>
      <c r="AP39" s="772"/>
      <c r="AQ39" s="772"/>
      <c r="AR39" s="772"/>
      <c r="AS39" s="772"/>
      <c r="AT39" s="772"/>
      <c r="AU39" s="772"/>
      <c r="AV39" s="772"/>
      <c r="AW39" s="772"/>
      <c r="AX39" s="772"/>
      <c r="AY39" s="772"/>
      <c r="AZ39" s="772"/>
      <c r="BA39" s="772"/>
      <c r="BB39" s="772"/>
      <c r="BC39" s="772"/>
      <c r="BD39" s="772"/>
      <c r="BE39" s="772"/>
      <c r="BF39" s="772"/>
      <c r="BG39" s="772"/>
      <c r="BH39" s="772"/>
      <c r="BI39" s="772"/>
      <c r="BJ39" s="772"/>
      <c r="BK39" s="772"/>
      <c r="BL39" s="772"/>
      <c r="BM39" s="772"/>
      <c r="BN39" s="772"/>
      <c r="BO39" s="772"/>
      <c r="BP39" s="772"/>
      <c r="BQ39" s="772"/>
      <c r="BR39" s="772"/>
      <c r="BS39" s="772"/>
      <c r="BT39" s="772"/>
      <c r="BU39" s="772"/>
      <c r="BV39" s="772"/>
      <c r="BW39" s="772"/>
      <c r="BX39" s="772"/>
      <c r="BY39" s="772"/>
      <c r="BZ39" s="772"/>
      <c r="CA39" s="772"/>
      <c r="CB39" s="772"/>
      <c r="CC39" s="772"/>
      <c r="CD39" s="772"/>
      <c r="CE39" s="772"/>
      <c r="CF39" s="772"/>
      <c r="CG39" s="772"/>
      <c r="CH39" s="772"/>
      <c r="CI39" s="772"/>
      <c r="CJ39" s="772"/>
      <c r="CK39" s="772"/>
      <c r="CL39" s="772"/>
      <c r="CM39" s="772"/>
      <c r="CN39" s="772"/>
      <c r="CO39" s="772"/>
      <c r="CP39" s="772"/>
      <c r="CQ39" s="772"/>
      <c r="CR39" s="772"/>
      <c r="CS39" s="772"/>
      <c r="CT39" s="772"/>
      <c r="CU39" s="772"/>
      <c r="CV39" s="772"/>
      <c r="CW39" s="772"/>
      <c r="CX39" s="772"/>
      <c r="CY39" s="772"/>
      <c r="CZ39" s="772"/>
      <c r="DA39" s="772"/>
      <c r="DB39" s="772"/>
      <c r="DC39" s="772"/>
      <c r="DD39" s="772"/>
      <c r="DE39" s="772"/>
      <c r="DF39" s="772"/>
      <c r="DG39" s="772"/>
      <c r="DH39" s="772"/>
      <c r="DI39" s="772"/>
      <c r="DJ39" s="772"/>
      <c r="DK39" s="772"/>
      <c r="DL39" s="772"/>
      <c r="DM39" s="772"/>
      <c r="DN39" s="772"/>
      <c r="DO39" s="772"/>
      <c r="DP39" s="772"/>
      <c r="DQ39" s="772"/>
      <c r="DR39" s="772"/>
      <c r="DS39" s="772"/>
      <c r="DT39" s="772"/>
      <c r="DU39" s="772"/>
      <c r="DV39" s="772"/>
      <c r="DW39" s="772"/>
      <c r="DX39" s="772"/>
      <c r="DY39" s="772"/>
      <c r="DZ39" s="772"/>
      <c r="EA39" s="772"/>
      <c r="EB39" s="772"/>
      <c r="EC39" s="772"/>
      <c r="ED39" s="772"/>
      <c r="EE39" s="772"/>
      <c r="EF39" s="772"/>
      <c r="EG39" s="772"/>
      <c r="EH39" s="772"/>
      <c r="EI39" s="772"/>
      <c r="EJ39" s="772"/>
      <c r="EK39" s="772"/>
      <c r="EL39" s="772"/>
      <c r="EM39" s="772"/>
      <c r="EN39" s="772"/>
      <c r="EO39" s="772"/>
      <c r="EP39" s="772"/>
      <c r="EQ39" s="772"/>
      <c r="ER39" s="772"/>
      <c r="ES39" s="772"/>
      <c r="ET39" s="772"/>
      <c r="EU39" s="772"/>
      <c r="EV39" s="772"/>
      <c r="EW39" s="772"/>
      <c r="EX39" s="772"/>
      <c r="EY39" s="772"/>
      <c r="EZ39" s="772"/>
      <c r="FA39" s="772"/>
      <c r="FB39" s="772"/>
      <c r="FC39" s="772"/>
      <c r="FD39" s="772"/>
      <c r="FE39" s="772"/>
      <c r="FF39" s="772"/>
      <c r="FG39" s="772"/>
      <c r="FH39" s="772"/>
      <c r="FI39" s="772"/>
      <c r="FJ39" s="772"/>
      <c r="FK39" s="772"/>
      <c r="FL39" s="772"/>
      <c r="FM39" s="772"/>
      <c r="FN39" s="772"/>
      <c r="FO39" s="772"/>
      <c r="FP39" s="772"/>
      <c r="FQ39" s="772"/>
      <c r="FR39" s="772"/>
      <c r="FS39" s="772"/>
      <c r="FT39" s="772"/>
      <c r="FU39" s="772"/>
      <c r="FV39" s="772"/>
      <c r="FW39" s="772"/>
      <c r="FX39" s="772"/>
      <c r="FY39" s="772"/>
      <c r="FZ39" s="772"/>
      <c r="GA39" s="772"/>
      <c r="GB39" s="772"/>
      <c r="GC39" s="772"/>
      <c r="GD39" s="772"/>
      <c r="GE39" s="772"/>
      <c r="GF39" s="772"/>
      <c r="GG39" s="772"/>
      <c r="GH39" s="772"/>
      <c r="GI39" s="772"/>
      <c r="GJ39" s="772"/>
      <c r="GK39" s="772"/>
      <c r="GL39" s="772"/>
      <c r="GM39" s="772"/>
      <c r="GN39" s="772"/>
      <c r="GO39" s="772"/>
      <c r="GP39" s="772"/>
      <c r="GQ39" s="772"/>
      <c r="GR39" s="772"/>
      <c r="GS39" s="772"/>
      <c r="GT39" s="772"/>
      <c r="GU39" s="772"/>
      <c r="GV39" s="772"/>
      <c r="GW39" s="772"/>
      <c r="GX39" s="772"/>
      <c r="GY39" s="772"/>
      <c r="GZ39" s="772"/>
      <c r="HA39" s="772"/>
      <c r="HB39" s="772"/>
      <c r="HC39" s="772"/>
      <c r="HD39" s="772"/>
      <c r="HE39" s="772"/>
      <c r="HF39" s="772"/>
      <c r="HG39" s="772"/>
      <c r="HH39" s="772"/>
      <c r="HI39" s="772"/>
      <c r="HJ39" s="772"/>
      <c r="HK39" s="772"/>
      <c r="HL39" s="772"/>
      <c r="HM39" s="772"/>
      <c r="HN39" s="772"/>
      <c r="HO39" s="772"/>
      <c r="HP39" s="772"/>
      <c r="HQ39" s="772"/>
      <c r="HR39" s="772"/>
      <c r="HS39" s="772"/>
      <c r="HT39" s="772"/>
      <c r="HU39" s="772"/>
      <c r="HV39" s="772"/>
      <c r="HW39" s="772"/>
      <c r="HX39" s="772"/>
      <c r="HY39" s="772"/>
      <c r="HZ39" s="772"/>
      <c r="IA39" s="772"/>
      <c r="IB39" s="772"/>
      <c r="IC39" s="772"/>
      <c r="ID39" s="772"/>
      <c r="IE39" s="772"/>
      <c r="IF39" s="772"/>
      <c r="IG39" s="772"/>
      <c r="IH39" s="772"/>
      <c r="II39" s="772"/>
      <c r="IJ39" s="772"/>
      <c r="IK39" s="772"/>
    </row>
    <row r="40" spans="1:245" s="765" customFormat="1" ht="20.100000000000001" customHeight="1" x14ac:dyDescent="0.25">
      <c r="A40" s="772"/>
      <c r="B40" s="783"/>
      <c r="C40" s="784"/>
      <c r="D40" s="784"/>
      <c r="E40" s="784"/>
      <c r="F40" s="784"/>
      <c r="G40" s="784"/>
      <c r="H40" s="772"/>
      <c r="I40" s="1664">
        <f t="shared" si="32"/>
        <v>16</v>
      </c>
      <c r="J40" s="1668">
        <f t="shared" si="17"/>
        <v>0</v>
      </c>
      <c r="K40" s="1666">
        <f t="shared" si="42"/>
        <v>0</v>
      </c>
      <c r="L40" s="1670">
        <f t="shared" si="27"/>
        <v>0</v>
      </c>
      <c r="M40" s="1668">
        <f t="shared" si="33"/>
        <v>0</v>
      </c>
      <c r="N40" s="772"/>
      <c r="O40" s="1664">
        <f t="shared" si="34"/>
        <v>16</v>
      </c>
      <c r="P40" s="1668">
        <f t="shared" si="19"/>
        <v>0</v>
      </c>
      <c r="Q40" s="1666">
        <f t="shared" si="43"/>
        <v>0</v>
      </c>
      <c r="R40" s="1670">
        <f t="shared" si="28"/>
        <v>0</v>
      </c>
      <c r="S40" s="1668">
        <f t="shared" si="35"/>
        <v>0</v>
      </c>
      <c r="T40" s="772"/>
      <c r="U40" s="1664">
        <f t="shared" si="36"/>
        <v>16</v>
      </c>
      <c r="V40" s="1668">
        <f t="shared" si="21"/>
        <v>0</v>
      </c>
      <c r="W40" s="1666">
        <f t="shared" si="44"/>
        <v>0</v>
      </c>
      <c r="X40" s="1670">
        <f t="shared" si="29"/>
        <v>0</v>
      </c>
      <c r="Y40" s="1668">
        <f t="shared" si="37"/>
        <v>0</v>
      </c>
      <c r="Z40" s="772"/>
      <c r="AA40" s="1664">
        <f t="shared" si="38"/>
        <v>16</v>
      </c>
      <c r="AB40" s="1668">
        <f t="shared" si="23"/>
        <v>0</v>
      </c>
      <c r="AC40" s="1666">
        <f t="shared" si="45"/>
        <v>0</v>
      </c>
      <c r="AD40" s="1670">
        <f t="shared" si="30"/>
        <v>0</v>
      </c>
      <c r="AE40" s="1668">
        <f t="shared" si="39"/>
        <v>0</v>
      </c>
      <c r="AF40" s="772"/>
      <c r="AG40" s="1664">
        <f t="shared" si="40"/>
        <v>16</v>
      </c>
      <c r="AH40" s="1668">
        <f t="shared" si="25"/>
        <v>0</v>
      </c>
      <c r="AI40" s="1666">
        <f t="shared" si="46"/>
        <v>0</v>
      </c>
      <c r="AJ40" s="1670">
        <f t="shared" si="31"/>
        <v>0</v>
      </c>
      <c r="AK40" s="1668">
        <f t="shared" si="41"/>
        <v>0</v>
      </c>
      <c r="AL40" s="772"/>
      <c r="AM40" s="772"/>
      <c r="AN40" s="772"/>
      <c r="AO40" s="772"/>
      <c r="AP40" s="772"/>
      <c r="AQ40" s="772"/>
      <c r="AR40" s="772"/>
      <c r="AS40" s="772"/>
      <c r="AT40" s="772"/>
      <c r="AU40" s="772"/>
      <c r="AV40" s="772"/>
      <c r="AW40" s="772"/>
      <c r="AX40" s="772"/>
      <c r="AY40" s="772"/>
      <c r="AZ40" s="772"/>
      <c r="BA40" s="772"/>
      <c r="BB40" s="772"/>
      <c r="BC40" s="772"/>
      <c r="BD40" s="772"/>
      <c r="BE40" s="772"/>
      <c r="BF40" s="772"/>
      <c r="BG40" s="772"/>
      <c r="BH40" s="772"/>
      <c r="BI40" s="772"/>
      <c r="BJ40" s="772"/>
      <c r="BK40" s="772"/>
      <c r="BL40" s="772"/>
      <c r="BM40" s="772"/>
      <c r="BN40" s="772"/>
      <c r="BO40" s="772"/>
      <c r="BP40" s="772"/>
      <c r="BQ40" s="772"/>
      <c r="BR40" s="772"/>
      <c r="BS40" s="772"/>
      <c r="BT40" s="772"/>
      <c r="BU40" s="772"/>
      <c r="BV40" s="772"/>
      <c r="BW40" s="772"/>
      <c r="BX40" s="772"/>
      <c r="BY40" s="772"/>
      <c r="BZ40" s="772"/>
      <c r="CA40" s="772"/>
      <c r="CB40" s="772"/>
      <c r="CC40" s="772"/>
      <c r="CD40" s="772"/>
      <c r="CE40" s="772"/>
      <c r="CF40" s="772"/>
      <c r="CG40" s="772"/>
      <c r="CH40" s="772"/>
      <c r="CI40" s="772"/>
      <c r="CJ40" s="772"/>
      <c r="CK40" s="772"/>
      <c r="CL40" s="772"/>
      <c r="CM40" s="772"/>
      <c r="CN40" s="772"/>
      <c r="CO40" s="772"/>
      <c r="CP40" s="772"/>
      <c r="CQ40" s="772"/>
      <c r="CR40" s="772"/>
      <c r="CS40" s="772"/>
      <c r="CT40" s="772"/>
      <c r="CU40" s="772"/>
      <c r="CV40" s="772"/>
      <c r="CW40" s="772"/>
      <c r="CX40" s="772"/>
      <c r="CY40" s="772"/>
      <c r="CZ40" s="772"/>
      <c r="DA40" s="772"/>
      <c r="DB40" s="772"/>
      <c r="DC40" s="772"/>
      <c r="DD40" s="772"/>
      <c r="DE40" s="772"/>
      <c r="DF40" s="772"/>
      <c r="DG40" s="772"/>
      <c r="DH40" s="772"/>
      <c r="DI40" s="772"/>
      <c r="DJ40" s="772"/>
      <c r="DK40" s="772"/>
      <c r="DL40" s="772"/>
      <c r="DM40" s="772"/>
      <c r="DN40" s="772"/>
      <c r="DO40" s="772"/>
      <c r="DP40" s="772"/>
      <c r="DQ40" s="772"/>
      <c r="DR40" s="772"/>
      <c r="DS40" s="772"/>
      <c r="DT40" s="772"/>
      <c r="DU40" s="772"/>
      <c r="DV40" s="772"/>
      <c r="DW40" s="772"/>
      <c r="DX40" s="772"/>
      <c r="DY40" s="772"/>
      <c r="DZ40" s="772"/>
      <c r="EA40" s="772"/>
      <c r="EB40" s="772"/>
      <c r="EC40" s="772"/>
      <c r="ED40" s="772"/>
      <c r="EE40" s="772"/>
      <c r="EF40" s="772"/>
      <c r="EG40" s="772"/>
      <c r="EH40" s="772"/>
      <c r="EI40" s="772"/>
      <c r="EJ40" s="772"/>
      <c r="EK40" s="772"/>
      <c r="EL40" s="772"/>
      <c r="EM40" s="772"/>
      <c r="EN40" s="772"/>
      <c r="EO40" s="772"/>
      <c r="EP40" s="772"/>
      <c r="EQ40" s="772"/>
      <c r="ER40" s="772"/>
      <c r="ES40" s="772"/>
      <c r="ET40" s="772"/>
      <c r="EU40" s="772"/>
      <c r="EV40" s="772"/>
      <c r="EW40" s="772"/>
      <c r="EX40" s="772"/>
      <c r="EY40" s="772"/>
      <c r="EZ40" s="772"/>
      <c r="FA40" s="772"/>
      <c r="FB40" s="772"/>
      <c r="FC40" s="772"/>
      <c r="FD40" s="772"/>
      <c r="FE40" s="772"/>
      <c r="FF40" s="772"/>
      <c r="FG40" s="772"/>
      <c r="FH40" s="772"/>
      <c r="FI40" s="772"/>
      <c r="FJ40" s="772"/>
      <c r="FK40" s="772"/>
      <c r="FL40" s="772"/>
      <c r="FM40" s="772"/>
      <c r="FN40" s="772"/>
      <c r="FO40" s="772"/>
      <c r="FP40" s="772"/>
      <c r="FQ40" s="772"/>
      <c r="FR40" s="772"/>
      <c r="FS40" s="772"/>
      <c r="FT40" s="772"/>
      <c r="FU40" s="772"/>
      <c r="FV40" s="772"/>
      <c r="FW40" s="772"/>
      <c r="FX40" s="772"/>
      <c r="FY40" s="772"/>
      <c r="FZ40" s="772"/>
      <c r="GA40" s="772"/>
      <c r="GB40" s="772"/>
      <c r="GC40" s="772"/>
      <c r="GD40" s="772"/>
      <c r="GE40" s="772"/>
      <c r="GF40" s="772"/>
      <c r="GG40" s="772"/>
      <c r="GH40" s="772"/>
      <c r="GI40" s="772"/>
      <c r="GJ40" s="772"/>
      <c r="GK40" s="772"/>
      <c r="GL40" s="772"/>
      <c r="GM40" s="772"/>
      <c r="GN40" s="772"/>
      <c r="GO40" s="772"/>
      <c r="GP40" s="772"/>
      <c r="GQ40" s="772"/>
      <c r="GR40" s="772"/>
      <c r="GS40" s="772"/>
      <c r="GT40" s="772"/>
      <c r="GU40" s="772"/>
      <c r="GV40" s="772"/>
      <c r="GW40" s="772"/>
      <c r="GX40" s="772"/>
      <c r="GY40" s="772"/>
      <c r="GZ40" s="772"/>
      <c r="HA40" s="772"/>
      <c r="HB40" s="772"/>
      <c r="HC40" s="772"/>
      <c r="HD40" s="772"/>
      <c r="HE40" s="772"/>
      <c r="HF40" s="772"/>
      <c r="HG40" s="772"/>
      <c r="HH40" s="772"/>
      <c r="HI40" s="772"/>
      <c r="HJ40" s="772"/>
      <c r="HK40" s="772"/>
      <c r="HL40" s="772"/>
      <c r="HM40" s="772"/>
      <c r="HN40" s="772"/>
      <c r="HO40" s="772"/>
      <c r="HP40" s="772"/>
      <c r="HQ40" s="772"/>
      <c r="HR40" s="772"/>
      <c r="HS40" s="772"/>
      <c r="HT40" s="772"/>
      <c r="HU40" s="772"/>
      <c r="HV40" s="772"/>
      <c r="HW40" s="772"/>
      <c r="HX40" s="772"/>
      <c r="HY40" s="772"/>
      <c r="HZ40" s="772"/>
      <c r="IA40" s="772"/>
      <c r="IB40" s="772"/>
      <c r="IC40" s="772"/>
      <c r="ID40" s="772"/>
      <c r="IE40" s="772"/>
      <c r="IF40" s="772"/>
      <c r="IG40" s="772"/>
      <c r="IH40" s="772"/>
      <c r="II40" s="772"/>
      <c r="IJ40" s="772"/>
      <c r="IK40" s="772"/>
    </row>
    <row r="41" spans="1:245" s="765" customFormat="1" ht="20.100000000000001" customHeight="1" x14ac:dyDescent="0.25">
      <c r="A41" s="772"/>
      <c r="B41" s="783"/>
      <c r="C41" s="784"/>
      <c r="D41" s="784"/>
      <c r="E41" s="784"/>
      <c r="F41" s="784"/>
      <c r="G41" s="784"/>
      <c r="H41" s="772"/>
      <c r="I41" s="1664">
        <f t="shared" si="32"/>
        <v>17</v>
      </c>
      <c r="J41" s="1668">
        <f t="shared" si="17"/>
        <v>0</v>
      </c>
      <c r="K41" s="1666">
        <f t="shared" si="42"/>
        <v>0</v>
      </c>
      <c r="L41" s="1670">
        <f t="shared" si="27"/>
        <v>0</v>
      </c>
      <c r="M41" s="1668">
        <f t="shared" si="33"/>
        <v>0</v>
      </c>
      <c r="N41" s="772"/>
      <c r="O41" s="1664">
        <f t="shared" si="34"/>
        <v>17</v>
      </c>
      <c r="P41" s="1668">
        <f t="shared" si="19"/>
        <v>0</v>
      </c>
      <c r="Q41" s="1666">
        <f t="shared" si="43"/>
        <v>0</v>
      </c>
      <c r="R41" s="1670">
        <f t="shared" si="28"/>
        <v>0</v>
      </c>
      <c r="S41" s="1668">
        <f t="shared" si="35"/>
        <v>0</v>
      </c>
      <c r="T41" s="772"/>
      <c r="U41" s="1664">
        <f t="shared" si="36"/>
        <v>17</v>
      </c>
      <c r="V41" s="1668">
        <f t="shared" si="21"/>
        <v>0</v>
      </c>
      <c r="W41" s="1666">
        <f t="shared" si="44"/>
        <v>0</v>
      </c>
      <c r="X41" s="1670">
        <f t="shared" si="29"/>
        <v>0</v>
      </c>
      <c r="Y41" s="1668">
        <f t="shared" si="37"/>
        <v>0</v>
      </c>
      <c r="Z41" s="772"/>
      <c r="AA41" s="1664">
        <f t="shared" si="38"/>
        <v>17</v>
      </c>
      <c r="AB41" s="1668">
        <f t="shared" si="23"/>
        <v>0</v>
      </c>
      <c r="AC41" s="1666">
        <f t="shared" si="45"/>
        <v>0</v>
      </c>
      <c r="AD41" s="1670">
        <f t="shared" si="30"/>
        <v>0</v>
      </c>
      <c r="AE41" s="1668">
        <f t="shared" si="39"/>
        <v>0</v>
      </c>
      <c r="AF41" s="772"/>
      <c r="AG41" s="1664">
        <f t="shared" si="40"/>
        <v>17</v>
      </c>
      <c r="AH41" s="1668">
        <f t="shared" si="25"/>
        <v>0</v>
      </c>
      <c r="AI41" s="1666">
        <f t="shared" si="46"/>
        <v>0</v>
      </c>
      <c r="AJ41" s="1670">
        <f t="shared" si="31"/>
        <v>0</v>
      </c>
      <c r="AK41" s="1668">
        <f t="shared" si="41"/>
        <v>0</v>
      </c>
      <c r="AL41" s="772"/>
      <c r="AM41" s="772"/>
      <c r="AN41" s="772"/>
      <c r="AO41" s="772"/>
      <c r="AP41" s="772"/>
      <c r="AQ41" s="772"/>
      <c r="AR41" s="772"/>
      <c r="AS41" s="772"/>
      <c r="AT41" s="772"/>
      <c r="AU41" s="772"/>
      <c r="AV41" s="772"/>
      <c r="AW41" s="772"/>
      <c r="AX41" s="772"/>
      <c r="AY41" s="772"/>
      <c r="AZ41" s="772"/>
      <c r="BA41" s="772"/>
      <c r="BB41" s="772"/>
      <c r="BC41" s="772"/>
      <c r="BD41" s="772"/>
      <c r="BE41" s="772"/>
      <c r="BF41" s="772"/>
      <c r="BG41" s="772"/>
      <c r="BH41" s="772"/>
      <c r="BI41" s="772"/>
      <c r="BJ41" s="772"/>
      <c r="BK41" s="772"/>
      <c r="BL41" s="772"/>
      <c r="BM41" s="772"/>
      <c r="BN41" s="772"/>
      <c r="BO41" s="772"/>
      <c r="BP41" s="772"/>
      <c r="BQ41" s="772"/>
      <c r="BR41" s="772"/>
      <c r="BS41" s="772"/>
      <c r="BT41" s="772"/>
      <c r="BU41" s="772"/>
      <c r="BV41" s="772"/>
      <c r="BW41" s="772"/>
      <c r="BX41" s="772"/>
      <c r="BY41" s="772"/>
      <c r="BZ41" s="772"/>
      <c r="CA41" s="772"/>
      <c r="CB41" s="772"/>
      <c r="CC41" s="772"/>
      <c r="CD41" s="772"/>
      <c r="CE41" s="772"/>
      <c r="CF41" s="772"/>
      <c r="CG41" s="772"/>
      <c r="CH41" s="772"/>
      <c r="CI41" s="772"/>
      <c r="CJ41" s="772"/>
      <c r="CK41" s="772"/>
      <c r="CL41" s="772"/>
      <c r="CM41" s="772"/>
      <c r="CN41" s="772"/>
      <c r="CO41" s="772"/>
      <c r="CP41" s="772"/>
      <c r="CQ41" s="772"/>
      <c r="CR41" s="772"/>
      <c r="CS41" s="772"/>
      <c r="CT41" s="772"/>
      <c r="CU41" s="772"/>
      <c r="CV41" s="772"/>
      <c r="CW41" s="772"/>
      <c r="CX41" s="772"/>
      <c r="CY41" s="772"/>
      <c r="CZ41" s="772"/>
      <c r="DA41" s="772"/>
      <c r="DB41" s="772"/>
      <c r="DC41" s="772"/>
      <c r="DD41" s="772"/>
      <c r="DE41" s="772"/>
      <c r="DF41" s="772"/>
      <c r="DG41" s="772"/>
      <c r="DH41" s="772"/>
      <c r="DI41" s="772"/>
      <c r="DJ41" s="772"/>
      <c r="DK41" s="772"/>
      <c r="DL41" s="772"/>
      <c r="DM41" s="772"/>
      <c r="DN41" s="772"/>
      <c r="DO41" s="772"/>
      <c r="DP41" s="772"/>
      <c r="DQ41" s="772"/>
      <c r="DR41" s="772"/>
      <c r="DS41" s="772"/>
      <c r="DT41" s="772"/>
      <c r="DU41" s="772"/>
      <c r="DV41" s="772"/>
      <c r="DW41" s="772"/>
      <c r="DX41" s="772"/>
      <c r="DY41" s="772"/>
      <c r="DZ41" s="772"/>
      <c r="EA41" s="772"/>
      <c r="EB41" s="772"/>
      <c r="EC41" s="772"/>
      <c r="ED41" s="772"/>
      <c r="EE41" s="772"/>
      <c r="EF41" s="772"/>
      <c r="EG41" s="772"/>
      <c r="EH41" s="772"/>
      <c r="EI41" s="772"/>
      <c r="EJ41" s="772"/>
      <c r="EK41" s="772"/>
      <c r="EL41" s="772"/>
      <c r="EM41" s="772"/>
      <c r="EN41" s="772"/>
      <c r="EO41" s="772"/>
      <c r="EP41" s="772"/>
      <c r="EQ41" s="772"/>
      <c r="ER41" s="772"/>
      <c r="ES41" s="772"/>
      <c r="ET41" s="772"/>
      <c r="EU41" s="772"/>
      <c r="EV41" s="772"/>
      <c r="EW41" s="772"/>
      <c r="EX41" s="772"/>
      <c r="EY41" s="772"/>
      <c r="EZ41" s="772"/>
      <c r="FA41" s="772"/>
      <c r="FB41" s="772"/>
      <c r="FC41" s="772"/>
      <c r="FD41" s="772"/>
      <c r="FE41" s="772"/>
      <c r="FF41" s="772"/>
      <c r="FG41" s="772"/>
      <c r="FH41" s="772"/>
      <c r="FI41" s="772"/>
      <c r="FJ41" s="772"/>
      <c r="FK41" s="772"/>
      <c r="FL41" s="772"/>
      <c r="FM41" s="772"/>
      <c r="FN41" s="772"/>
      <c r="FO41" s="772"/>
      <c r="FP41" s="772"/>
      <c r="FQ41" s="772"/>
      <c r="FR41" s="772"/>
      <c r="FS41" s="772"/>
      <c r="FT41" s="772"/>
      <c r="FU41" s="772"/>
      <c r="FV41" s="772"/>
      <c r="FW41" s="772"/>
      <c r="FX41" s="772"/>
      <c r="FY41" s="772"/>
      <c r="FZ41" s="772"/>
      <c r="GA41" s="772"/>
      <c r="GB41" s="772"/>
      <c r="GC41" s="772"/>
      <c r="GD41" s="772"/>
      <c r="GE41" s="772"/>
      <c r="GF41" s="772"/>
      <c r="GG41" s="772"/>
      <c r="GH41" s="772"/>
      <c r="GI41" s="772"/>
      <c r="GJ41" s="772"/>
      <c r="GK41" s="772"/>
      <c r="GL41" s="772"/>
      <c r="GM41" s="772"/>
      <c r="GN41" s="772"/>
      <c r="GO41" s="772"/>
      <c r="GP41" s="772"/>
      <c r="GQ41" s="772"/>
      <c r="GR41" s="772"/>
      <c r="GS41" s="772"/>
      <c r="GT41" s="772"/>
      <c r="GU41" s="772"/>
      <c r="GV41" s="772"/>
      <c r="GW41" s="772"/>
      <c r="GX41" s="772"/>
      <c r="GY41" s="772"/>
      <c r="GZ41" s="772"/>
      <c r="HA41" s="772"/>
      <c r="HB41" s="772"/>
      <c r="HC41" s="772"/>
      <c r="HD41" s="772"/>
      <c r="HE41" s="772"/>
      <c r="HF41" s="772"/>
      <c r="HG41" s="772"/>
      <c r="HH41" s="772"/>
      <c r="HI41" s="772"/>
      <c r="HJ41" s="772"/>
      <c r="HK41" s="772"/>
      <c r="HL41" s="772"/>
      <c r="HM41" s="772"/>
      <c r="HN41" s="772"/>
      <c r="HO41" s="772"/>
      <c r="HP41" s="772"/>
      <c r="HQ41" s="772"/>
      <c r="HR41" s="772"/>
      <c r="HS41" s="772"/>
      <c r="HT41" s="772"/>
      <c r="HU41" s="772"/>
      <c r="HV41" s="772"/>
      <c r="HW41" s="772"/>
      <c r="HX41" s="772"/>
      <c r="HY41" s="772"/>
      <c r="HZ41" s="772"/>
      <c r="IA41" s="772"/>
      <c r="IB41" s="772"/>
      <c r="IC41" s="772"/>
      <c r="ID41" s="772"/>
      <c r="IE41" s="772"/>
      <c r="IF41" s="772"/>
      <c r="IG41" s="772"/>
      <c r="IH41" s="772"/>
      <c r="II41" s="772"/>
      <c r="IJ41" s="772"/>
      <c r="IK41" s="772"/>
    </row>
    <row r="42" spans="1:245" s="765" customFormat="1" ht="20.100000000000001" customHeight="1" x14ac:dyDescent="0.25">
      <c r="A42" s="772"/>
      <c r="B42" s="783"/>
      <c r="C42" s="784"/>
      <c r="D42" s="784"/>
      <c r="E42" s="784"/>
      <c r="F42" s="784"/>
      <c r="G42" s="784"/>
      <c r="H42" s="772"/>
      <c r="I42" s="1664">
        <f t="shared" si="32"/>
        <v>18</v>
      </c>
      <c r="J42" s="1668">
        <f t="shared" si="17"/>
        <v>0</v>
      </c>
      <c r="K42" s="1666">
        <f t="shared" si="42"/>
        <v>0</v>
      </c>
      <c r="L42" s="1670">
        <f t="shared" si="27"/>
        <v>0</v>
      </c>
      <c r="M42" s="1668">
        <f t="shared" si="33"/>
        <v>0</v>
      </c>
      <c r="N42" s="772"/>
      <c r="O42" s="1664">
        <f t="shared" si="34"/>
        <v>18</v>
      </c>
      <c r="P42" s="1668">
        <f t="shared" si="19"/>
        <v>0</v>
      </c>
      <c r="Q42" s="1666">
        <f t="shared" si="43"/>
        <v>0</v>
      </c>
      <c r="R42" s="1670">
        <f t="shared" si="28"/>
        <v>0</v>
      </c>
      <c r="S42" s="1668">
        <f t="shared" si="35"/>
        <v>0</v>
      </c>
      <c r="T42" s="772"/>
      <c r="U42" s="1664">
        <f t="shared" si="36"/>
        <v>18</v>
      </c>
      <c r="V42" s="1668">
        <f t="shared" si="21"/>
        <v>0</v>
      </c>
      <c r="W42" s="1666">
        <f t="shared" si="44"/>
        <v>0</v>
      </c>
      <c r="X42" s="1670">
        <f t="shared" si="29"/>
        <v>0</v>
      </c>
      <c r="Y42" s="1668">
        <f t="shared" si="37"/>
        <v>0</v>
      </c>
      <c r="Z42" s="772"/>
      <c r="AA42" s="1664">
        <f t="shared" si="38"/>
        <v>18</v>
      </c>
      <c r="AB42" s="1668">
        <f t="shared" si="23"/>
        <v>0</v>
      </c>
      <c r="AC42" s="1666">
        <f t="shared" si="45"/>
        <v>0</v>
      </c>
      <c r="AD42" s="1670">
        <f t="shared" si="30"/>
        <v>0</v>
      </c>
      <c r="AE42" s="1668">
        <f t="shared" si="39"/>
        <v>0</v>
      </c>
      <c r="AF42" s="772"/>
      <c r="AG42" s="1664">
        <f t="shared" si="40"/>
        <v>18</v>
      </c>
      <c r="AH42" s="1668">
        <f t="shared" si="25"/>
        <v>0</v>
      </c>
      <c r="AI42" s="1666">
        <f t="shared" si="46"/>
        <v>0</v>
      </c>
      <c r="AJ42" s="1670">
        <f t="shared" si="31"/>
        <v>0</v>
      </c>
      <c r="AK42" s="1668">
        <f t="shared" si="41"/>
        <v>0</v>
      </c>
      <c r="AL42" s="772"/>
      <c r="AM42" s="772"/>
      <c r="AN42" s="772"/>
      <c r="AO42" s="772"/>
      <c r="AP42" s="772"/>
      <c r="AQ42" s="772"/>
      <c r="AR42" s="772"/>
      <c r="AS42" s="772"/>
      <c r="AT42" s="772"/>
      <c r="AU42" s="772"/>
      <c r="AV42" s="772"/>
      <c r="AW42" s="772"/>
      <c r="AX42" s="772"/>
      <c r="AY42" s="772"/>
      <c r="AZ42" s="772"/>
      <c r="BA42" s="772"/>
      <c r="BB42" s="772"/>
      <c r="BC42" s="772"/>
      <c r="BD42" s="772"/>
      <c r="BE42" s="772"/>
      <c r="BF42" s="772"/>
      <c r="BG42" s="772"/>
      <c r="BH42" s="772"/>
      <c r="BI42" s="772"/>
      <c r="BJ42" s="772"/>
      <c r="BK42" s="772"/>
      <c r="BL42" s="772"/>
      <c r="BM42" s="772"/>
      <c r="BN42" s="772"/>
      <c r="BO42" s="772"/>
      <c r="BP42" s="772"/>
      <c r="BQ42" s="772"/>
      <c r="BR42" s="772"/>
      <c r="BS42" s="772"/>
      <c r="BT42" s="772"/>
      <c r="BU42" s="772"/>
      <c r="BV42" s="772"/>
      <c r="BW42" s="772"/>
      <c r="BX42" s="772"/>
      <c r="BY42" s="772"/>
      <c r="BZ42" s="772"/>
      <c r="CA42" s="772"/>
      <c r="CB42" s="772"/>
      <c r="CC42" s="772"/>
      <c r="CD42" s="772"/>
      <c r="CE42" s="772"/>
      <c r="CF42" s="772"/>
      <c r="CG42" s="772"/>
      <c r="CH42" s="772"/>
      <c r="CI42" s="772"/>
      <c r="CJ42" s="772"/>
      <c r="CK42" s="772"/>
      <c r="CL42" s="772"/>
      <c r="CM42" s="772"/>
      <c r="CN42" s="772"/>
      <c r="CO42" s="772"/>
      <c r="CP42" s="772"/>
      <c r="CQ42" s="772"/>
      <c r="CR42" s="772"/>
      <c r="CS42" s="772"/>
      <c r="CT42" s="772"/>
      <c r="CU42" s="772"/>
      <c r="CV42" s="772"/>
      <c r="CW42" s="772"/>
      <c r="CX42" s="772"/>
      <c r="CY42" s="772"/>
      <c r="CZ42" s="772"/>
      <c r="DA42" s="772"/>
      <c r="DB42" s="772"/>
      <c r="DC42" s="772"/>
      <c r="DD42" s="772"/>
      <c r="DE42" s="772"/>
      <c r="DF42" s="772"/>
      <c r="DG42" s="772"/>
      <c r="DH42" s="772"/>
      <c r="DI42" s="772"/>
      <c r="DJ42" s="772"/>
      <c r="DK42" s="772"/>
      <c r="DL42" s="772"/>
      <c r="DM42" s="772"/>
      <c r="DN42" s="772"/>
      <c r="DO42" s="772"/>
      <c r="DP42" s="772"/>
      <c r="DQ42" s="772"/>
      <c r="DR42" s="772"/>
      <c r="DS42" s="772"/>
      <c r="DT42" s="772"/>
      <c r="DU42" s="772"/>
      <c r="DV42" s="772"/>
      <c r="DW42" s="772"/>
      <c r="DX42" s="772"/>
      <c r="DY42" s="772"/>
      <c r="DZ42" s="772"/>
      <c r="EA42" s="772"/>
      <c r="EB42" s="772"/>
      <c r="EC42" s="772"/>
      <c r="ED42" s="772"/>
      <c r="EE42" s="772"/>
      <c r="EF42" s="772"/>
      <c r="EG42" s="772"/>
      <c r="EH42" s="772"/>
      <c r="EI42" s="772"/>
      <c r="EJ42" s="772"/>
      <c r="EK42" s="772"/>
      <c r="EL42" s="772"/>
      <c r="EM42" s="772"/>
      <c r="EN42" s="772"/>
      <c r="EO42" s="772"/>
      <c r="EP42" s="772"/>
      <c r="EQ42" s="772"/>
      <c r="ER42" s="772"/>
      <c r="ES42" s="772"/>
      <c r="ET42" s="772"/>
      <c r="EU42" s="772"/>
      <c r="EV42" s="772"/>
      <c r="EW42" s="772"/>
      <c r="EX42" s="772"/>
      <c r="EY42" s="772"/>
      <c r="EZ42" s="772"/>
      <c r="FA42" s="772"/>
      <c r="FB42" s="772"/>
      <c r="FC42" s="772"/>
      <c r="FD42" s="772"/>
      <c r="FE42" s="772"/>
      <c r="FF42" s="772"/>
      <c r="FG42" s="772"/>
      <c r="FH42" s="772"/>
      <c r="FI42" s="772"/>
      <c r="FJ42" s="772"/>
      <c r="FK42" s="772"/>
      <c r="FL42" s="772"/>
      <c r="FM42" s="772"/>
      <c r="FN42" s="772"/>
      <c r="FO42" s="772"/>
      <c r="FP42" s="772"/>
      <c r="FQ42" s="772"/>
      <c r="FR42" s="772"/>
      <c r="FS42" s="772"/>
      <c r="FT42" s="772"/>
      <c r="FU42" s="772"/>
      <c r="FV42" s="772"/>
      <c r="FW42" s="772"/>
      <c r="FX42" s="772"/>
      <c r="FY42" s="772"/>
      <c r="FZ42" s="772"/>
      <c r="GA42" s="772"/>
      <c r="GB42" s="772"/>
      <c r="GC42" s="772"/>
      <c r="GD42" s="772"/>
      <c r="GE42" s="772"/>
      <c r="GF42" s="772"/>
      <c r="GG42" s="772"/>
      <c r="GH42" s="772"/>
      <c r="GI42" s="772"/>
      <c r="GJ42" s="772"/>
      <c r="GK42" s="772"/>
      <c r="GL42" s="772"/>
      <c r="GM42" s="772"/>
      <c r="GN42" s="772"/>
      <c r="GO42" s="772"/>
      <c r="GP42" s="772"/>
      <c r="GQ42" s="772"/>
      <c r="GR42" s="772"/>
      <c r="GS42" s="772"/>
      <c r="GT42" s="772"/>
      <c r="GU42" s="772"/>
      <c r="GV42" s="772"/>
      <c r="GW42" s="772"/>
      <c r="GX42" s="772"/>
      <c r="GY42" s="772"/>
      <c r="GZ42" s="772"/>
      <c r="HA42" s="772"/>
      <c r="HB42" s="772"/>
      <c r="HC42" s="772"/>
      <c r="HD42" s="772"/>
      <c r="HE42" s="772"/>
      <c r="HF42" s="772"/>
      <c r="HG42" s="772"/>
      <c r="HH42" s="772"/>
      <c r="HI42" s="772"/>
      <c r="HJ42" s="772"/>
      <c r="HK42" s="772"/>
      <c r="HL42" s="772"/>
      <c r="HM42" s="772"/>
      <c r="HN42" s="772"/>
      <c r="HO42" s="772"/>
      <c r="HP42" s="772"/>
      <c r="HQ42" s="772"/>
      <c r="HR42" s="772"/>
      <c r="HS42" s="772"/>
      <c r="HT42" s="772"/>
      <c r="HU42" s="772"/>
      <c r="HV42" s="772"/>
      <c r="HW42" s="772"/>
      <c r="HX42" s="772"/>
      <c r="HY42" s="772"/>
      <c r="HZ42" s="772"/>
      <c r="IA42" s="772"/>
      <c r="IB42" s="772"/>
      <c r="IC42" s="772"/>
      <c r="ID42" s="772"/>
      <c r="IE42" s="772"/>
      <c r="IF42" s="772"/>
      <c r="IG42" s="772"/>
      <c r="IH42" s="772"/>
      <c r="II42" s="772"/>
      <c r="IJ42" s="772"/>
      <c r="IK42" s="772"/>
    </row>
    <row r="43" spans="1:245" s="765" customFormat="1" ht="20.100000000000001" customHeight="1" x14ac:dyDescent="0.25">
      <c r="A43" s="772"/>
      <c r="B43" s="783"/>
      <c r="C43" s="784"/>
      <c r="D43" s="784"/>
      <c r="E43" s="784"/>
      <c r="F43" s="784"/>
      <c r="G43" s="784"/>
      <c r="H43" s="772"/>
      <c r="I43" s="1664">
        <f t="shared" si="32"/>
        <v>19</v>
      </c>
      <c r="J43" s="1668">
        <f t="shared" si="17"/>
        <v>0</v>
      </c>
      <c r="K43" s="1666">
        <f t="shared" si="42"/>
        <v>0</v>
      </c>
      <c r="L43" s="1670">
        <f t="shared" si="27"/>
        <v>0</v>
      </c>
      <c r="M43" s="1668">
        <f t="shared" si="33"/>
        <v>0</v>
      </c>
      <c r="N43" s="772"/>
      <c r="O43" s="1664">
        <f t="shared" si="34"/>
        <v>19</v>
      </c>
      <c r="P43" s="1668">
        <f t="shared" si="19"/>
        <v>0</v>
      </c>
      <c r="Q43" s="1666">
        <f t="shared" si="43"/>
        <v>0</v>
      </c>
      <c r="R43" s="1670">
        <f t="shared" si="28"/>
        <v>0</v>
      </c>
      <c r="S43" s="1668">
        <f t="shared" si="35"/>
        <v>0</v>
      </c>
      <c r="T43" s="772"/>
      <c r="U43" s="1664">
        <f t="shared" si="36"/>
        <v>19</v>
      </c>
      <c r="V43" s="1668">
        <f t="shared" si="21"/>
        <v>0</v>
      </c>
      <c r="W43" s="1666">
        <f t="shared" si="44"/>
        <v>0</v>
      </c>
      <c r="X43" s="1670">
        <f t="shared" si="29"/>
        <v>0</v>
      </c>
      <c r="Y43" s="1668">
        <f t="shared" si="37"/>
        <v>0</v>
      </c>
      <c r="Z43" s="772"/>
      <c r="AA43" s="1664">
        <f t="shared" si="38"/>
        <v>19</v>
      </c>
      <c r="AB43" s="1668">
        <f t="shared" si="23"/>
        <v>0</v>
      </c>
      <c r="AC43" s="1666">
        <f t="shared" si="45"/>
        <v>0</v>
      </c>
      <c r="AD43" s="1670">
        <f t="shared" si="30"/>
        <v>0</v>
      </c>
      <c r="AE43" s="1668">
        <f t="shared" si="39"/>
        <v>0</v>
      </c>
      <c r="AF43" s="772"/>
      <c r="AG43" s="1664">
        <f t="shared" si="40"/>
        <v>19</v>
      </c>
      <c r="AH43" s="1668">
        <f t="shared" si="25"/>
        <v>0</v>
      </c>
      <c r="AI43" s="1666">
        <f t="shared" si="46"/>
        <v>0</v>
      </c>
      <c r="AJ43" s="1670">
        <f t="shared" si="31"/>
        <v>0</v>
      </c>
      <c r="AK43" s="1668">
        <f t="shared" si="41"/>
        <v>0</v>
      </c>
      <c r="AL43" s="772"/>
      <c r="AM43" s="772"/>
      <c r="AN43" s="772"/>
      <c r="AO43" s="772"/>
      <c r="AP43" s="772"/>
      <c r="AQ43" s="772"/>
      <c r="AR43" s="772"/>
      <c r="AS43" s="772"/>
      <c r="AT43" s="772"/>
      <c r="AU43" s="772"/>
      <c r="AV43" s="772"/>
      <c r="AW43" s="772"/>
      <c r="AX43" s="772"/>
      <c r="AY43" s="772"/>
      <c r="AZ43" s="772"/>
      <c r="BA43" s="772"/>
      <c r="BB43" s="772"/>
      <c r="BC43" s="772"/>
      <c r="BD43" s="772"/>
      <c r="BE43" s="772"/>
      <c r="BF43" s="772"/>
      <c r="BG43" s="772"/>
      <c r="BH43" s="772"/>
      <c r="BI43" s="772"/>
      <c r="BJ43" s="772"/>
      <c r="BK43" s="772"/>
      <c r="BL43" s="772"/>
      <c r="BM43" s="772"/>
      <c r="BN43" s="772"/>
      <c r="BO43" s="772"/>
      <c r="BP43" s="772"/>
      <c r="BQ43" s="772"/>
      <c r="BR43" s="772"/>
      <c r="BS43" s="772"/>
      <c r="BT43" s="772"/>
      <c r="BU43" s="772"/>
      <c r="BV43" s="772"/>
      <c r="BW43" s="772"/>
      <c r="BX43" s="772"/>
      <c r="BY43" s="772"/>
      <c r="BZ43" s="772"/>
      <c r="CA43" s="772"/>
      <c r="CB43" s="772"/>
      <c r="CC43" s="772"/>
      <c r="CD43" s="772"/>
      <c r="CE43" s="772"/>
      <c r="CF43" s="772"/>
      <c r="CG43" s="772"/>
      <c r="CH43" s="772"/>
      <c r="CI43" s="772"/>
      <c r="CJ43" s="772"/>
      <c r="CK43" s="772"/>
      <c r="CL43" s="772"/>
      <c r="CM43" s="772"/>
      <c r="CN43" s="772"/>
      <c r="CO43" s="772"/>
      <c r="CP43" s="772"/>
      <c r="CQ43" s="772"/>
      <c r="CR43" s="772"/>
      <c r="CS43" s="772"/>
      <c r="CT43" s="772"/>
      <c r="CU43" s="772"/>
      <c r="CV43" s="772"/>
      <c r="CW43" s="772"/>
      <c r="CX43" s="772"/>
      <c r="CY43" s="772"/>
      <c r="CZ43" s="772"/>
      <c r="DA43" s="772"/>
      <c r="DB43" s="772"/>
      <c r="DC43" s="772"/>
      <c r="DD43" s="772"/>
      <c r="DE43" s="772"/>
      <c r="DF43" s="772"/>
      <c r="DG43" s="772"/>
      <c r="DH43" s="772"/>
      <c r="DI43" s="772"/>
      <c r="DJ43" s="772"/>
      <c r="DK43" s="772"/>
      <c r="DL43" s="772"/>
      <c r="DM43" s="772"/>
      <c r="DN43" s="772"/>
      <c r="DO43" s="772"/>
      <c r="DP43" s="772"/>
      <c r="DQ43" s="772"/>
      <c r="DR43" s="772"/>
      <c r="DS43" s="772"/>
      <c r="DT43" s="772"/>
      <c r="DU43" s="772"/>
      <c r="DV43" s="772"/>
      <c r="DW43" s="772"/>
      <c r="DX43" s="772"/>
      <c r="DY43" s="772"/>
      <c r="DZ43" s="772"/>
      <c r="EA43" s="772"/>
      <c r="EB43" s="772"/>
      <c r="EC43" s="772"/>
      <c r="ED43" s="772"/>
      <c r="EE43" s="772"/>
      <c r="EF43" s="772"/>
      <c r="EG43" s="772"/>
      <c r="EH43" s="772"/>
      <c r="EI43" s="772"/>
      <c r="EJ43" s="772"/>
      <c r="EK43" s="772"/>
      <c r="EL43" s="772"/>
      <c r="EM43" s="772"/>
      <c r="EN43" s="772"/>
      <c r="EO43" s="772"/>
      <c r="EP43" s="772"/>
      <c r="EQ43" s="772"/>
      <c r="ER43" s="772"/>
      <c r="ES43" s="772"/>
      <c r="ET43" s="772"/>
      <c r="EU43" s="772"/>
      <c r="EV43" s="772"/>
      <c r="EW43" s="772"/>
      <c r="EX43" s="772"/>
      <c r="EY43" s="772"/>
      <c r="EZ43" s="772"/>
      <c r="FA43" s="772"/>
      <c r="FB43" s="772"/>
      <c r="FC43" s="772"/>
      <c r="FD43" s="772"/>
      <c r="FE43" s="772"/>
      <c r="FF43" s="772"/>
      <c r="FG43" s="772"/>
      <c r="FH43" s="772"/>
      <c r="FI43" s="772"/>
      <c r="FJ43" s="772"/>
      <c r="FK43" s="772"/>
      <c r="FL43" s="772"/>
      <c r="FM43" s="772"/>
      <c r="FN43" s="772"/>
      <c r="FO43" s="772"/>
      <c r="FP43" s="772"/>
      <c r="FQ43" s="772"/>
      <c r="FR43" s="772"/>
      <c r="FS43" s="772"/>
      <c r="FT43" s="772"/>
      <c r="FU43" s="772"/>
      <c r="FV43" s="772"/>
      <c r="FW43" s="772"/>
      <c r="FX43" s="772"/>
      <c r="FY43" s="772"/>
      <c r="FZ43" s="772"/>
      <c r="GA43" s="772"/>
      <c r="GB43" s="772"/>
      <c r="GC43" s="772"/>
      <c r="GD43" s="772"/>
      <c r="GE43" s="772"/>
      <c r="GF43" s="772"/>
      <c r="GG43" s="772"/>
      <c r="GH43" s="772"/>
      <c r="GI43" s="772"/>
      <c r="GJ43" s="772"/>
      <c r="GK43" s="772"/>
      <c r="GL43" s="772"/>
      <c r="GM43" s="772"/>
      <c r="GN43" s="772"/>
      <c r="GO43" s="772"/>
      <c r="GP43" s="772"/>
      <c r="GQ43" s="772"/>
      <c r="GR43" s="772"/>
      <c r="GS43" s="772"/>
      <c r="GT43" s="772"/>
      <c r="GU43" s="772"/>
      <c r="GV43" s="772"/>
      <c r="GW43" s="772"/>
      <c r="GX43" s="772"/>
      <c r="GY43" s="772"/>
      <c r="GZ43" s="772"/>
      <c r="HA43" s="772"/>
      <c r="HB43" s="772"/>
      <c r="HC43" s="772"/>
      <c r="HD43" s="772"/>
      <c r="HE43" s="772"/>
      <c r="HF43" s="772"/>
      <c r="HG43" s="772"/>
      <c r="HH43" s="772"/>
      <c r="HI43" s="772"/>
      <c r="HJ43" s="772"/>
      <c r="HK43" s="772"/>
      <c r="HL43" s="772"/>
      <c r="HM43" s="772"/>
      <c r="HN43" s="772"/>
      <c r="HO43" s="772"/>
      <c r="HP43" s="772"/>
      <c r="HQ43" s="772"/>
      <c r="HR43" s="772"/>
      <c r="HS43" s="772"/>
      <c r="HT43" s="772"/>
      <c r="HU43" s="772"/>
      <c r="HV43" s="772"/>
      <c r="HW43" s="772"/>
      <c r="HX43" s="772"/>
      <c r="HY43" s="772"/>
      <c r="HZ43" s="772"/>
      <c r="IA43" s="772"/>
      <c r="IB43" s="772"/>
      <c r="IC43" s="772"/>
      <c r="ID43" s="772"/>
      <c r="IE43" s="772"/>
      <c r="IF43" s="772"/>
      <c r="IG43" s="772"/>
      <c r="IH43" s="772"/>
      <c r="II43" s="772"/>
      <c r="IJ43" s="772"/>
      <c r="IK43" s="772"/>
    </row>
    <row r="44" spans="1:245" s="765" customFormat="1" ht="20.100000000000001" customHeight="1" x14ac:dyDescent="0.25">
      <c r="A44" s="772"/>
      <c r="B44" s="783"/>
      <c r="C44" s="784"/>
      <c r="D44" s="784"/>
      <c r="E44" s="784"/>
      <c r="F44" s="784"/>
      <c r="G44" s="784"/>
      <c r="H44" s="772"/>
      <c r="I44" s="1664">
        <f t="shared" si="32"/>
        <v>20</v>
      </c>
      <c r="J44" s="1668">
        <f t="shared" si="17"/>
        <v>0</v>
      </c>
      <c r="K44" s="1666">
        <f t="shared" si="42"/>
        <v>0</v>
      </c>
      <c r="L44" s="1670">
        <f t="shared" si="27"/>
        <v>0</v>
      </c>
      <c r="M44" s="1668">
        <f t="shared" si="33"/>
        <v>0</v>
      </c>
      <c r="N44" s="772"/>
      <c r="O44" s="1664">
        <f t="shared" si="34"/>
        <v>20</v>
      </c>
      <c r="P44" s="1668">
        <f t="shared" si="19"/>
        <v>0</v>
      </c>
      <c r="Q44" s="1666">
        <f t="shared" si="43"/>
        <v>0</v>
      </c>
      <c r="R44" s="1670">
        <f t="shared" si="28"/>
        <v>0</v>
      </c>
      <c r="S44" s="1668">
        <f t="shared" si="35"/>
        <v>0</v>
      </c>
      <c r="T44" s="772"/>
      <c r="U44" s="1664">
        <f t="shared" si="36"/>
        <v>20</v>
      </c>
      <c r="V44" s="1668">
        <f t="shared" si="21"/>
        <v>0</v>
      </c>
      <c r="W44" s="1666">
        <f t="shared" si="44"/>
        <v>0</v>
      </c>
      <c r="X44" s="1670">
        <f t="shared" si="29"/>
        <v>0</v>
      </c>
      <c r="Y44" s="1668">
        <f t="shared" si="37"/>
        <v>0</v>
      </c>
      <c r="Z44" s="772"/>
      <c r="AA44" s="1664">
        <f t="shared" si="38"/>
        <v>20</v>
      </c>
      <c r="AB44" s="1668">
        <f t="shared" si="23"/>
        <v>0</v>
      </c>
      <c r="AC44" s="1666">
        <f t="shared" si="45"/>
        <v>0</v>
      </c>
      <c r="AD44" s="1670">
        <f t="shared" si="30"/>
        <v>0</v>
      </c>
      <c r="AE44" s="1668">
        <f t="shared" si="39"/>
        <v>0</v>
      </c>
      <c r="AF44" s="772"/>
      <c r="AG44" s="1664">
        <f t="shared" si="40"/>
        <v>20</v>
      </c>
      <c r="AH44" s="1668">
        <f t="shared" si="25"/>
        <v>0</v>
      </c>
      <c r="AI44" s="1666">
        <f t="shared" si="46"/>
        <v>0</v>
      </c>
      <c r="AJ44" s="1670">
        <f t="shared" si="31"/>
        <v>0</v>
      </c>
      <c r="AK44" s="1668">
        <f t="shared" si="41"/>
        <v>0</v>
      </c>
      <c r="AL44" s="772"/>
      <c r="AM44" s="772"/>
      <c r="AN44" s="772"/>
      <c r="AO44" s="772"/>
      <c r="AP44" s="772"/>
      <c r="AQ44" s="772"/>
      <c r="AR44" s="772"/>
      <c r="AS44" s="772"/>
      <c r="AT44" s="772"/>
      <c r="AU44" s="772"/>
      <c r="AV44" s="772"/>
      <c r="AW44" s="772"/>
      <c r="AX44" s="772"/>
      <c r="AY44" s="772"/>
      <c r="AZ44" s="772"/>
      <c r="BA44" s="772"/>
      <c r="BB44" s="772"/>
      <c r="BC44" s="772"/>
      <c r="BD44" s="772"/>
      <c r="BE44" s="772"/>
      <c r="BF44" s="772"/>
      <c r="BG44" s="772"/>
      <c r="BH44" s="772"/>
      <c r="BI44" s="772"/>
      <c r="BJ44" s="772"/>
      <c r="BK44" s="772"/>
      <c r="BL44" s="772"/>
      <c r="BM44" s="772"/>
      <c r="BN44" s="772"/>
      <c r="BO44" s="772"/>
      <c r="BP44" s="772"/>
      <c r="BQ44" s="772"/>
      <c r="BR44" s="772"/>
      <c r="BS44" s="772"/>
      <c r="BT44" s="772"/>
      <c r="BU44" s="772"/>
      <c r="BV44" s="772"/>
      <c r="BW44" s="772"/>
      <c r="BX44" s="772"/>
      <c r="BY44" s="772"/>
      <c r="BZ44" s="772"/>
      <c r="CA44" s="772"/>
      <c r="CB44" s="772"/>
      <c r="CC44" s="772"/>
      <c r="CD44" s="772"/>
      <c r="CE44" s="772"/>
      <c r="CF44" s="772"/>
      <c r="CG44" s="772"/>
      <c r="CH44" s="772"/>
      <c r="CI44" s="772"/>
      <c r="CJ44" s="772"/>
      <c r="CK44" s="772"/>
      <c r="CL44" s="772"/>
      <c r="CM44" s="772"/>
      <c r="CN44" s="772"/>
      <c r="CO44" s="772"/>
      <c r="CP44" s="772"/>
      <c r="CQ44" s="772"/>
      <c r="CR44" s="772"/>
      <c r="CS44" s="772"/>
      <c r="CT44" s="772"/>
      <c r="CU44" s="772"/>
      <c r="CV44" s="772"/>
      <c r="CW44" s="772"/>
      <c r="CX44" s="772"/>
      <c r="CY44" s="772"/>
      <c r="CZ44" s="772"/>
      <c r="DA44" s="772"/>
      <c r="DB44" s="772"/>
      <c r="DC44" s="772"/>
      <c r="DD44" s="772"/>
      <c r="DE44" s="772"/>
      <c r="DF44" s="772"/>
      <c r="DG44" s="772"/>
      <c r="DH44" s="772"/>
      <c r="DI44" s="772"/>
      <c r="DJ44" s="772"/>
      <c r="DK44" s="772"/>
      <c r="DL44" s="772"/>
      <c r="DM44" s="772"/>
      <c r="DN44" s="772"/>
      <c r="DO44" s="772"/>
      <c r="DP44" s="772"/>
      <c r="DQ44" s="772"/>
      <c r="DR44" s="772"/>
      <c r="DS44" s="772"/>
      <c r="DT44" s="772"/>
      <c r="DU44" s="772"/>
      <c r="DV44" s="772"/>
      <c r="DW44" s="772"/>
      <c r="DX44" s="772"/>
      <c r="DY44" s="772"/>
      <c r="DZ44" s="772"/>
      <c r="EA44" s="772"/>
      <c r="EB44" s="772"/>
      <c r="EC44" s="772"/>
      <c r="ED44" s="772"/>
      <c r="EE44" s="772"/>
      <c r="EF44" s="772"/>
      <c r="EG44" s="772"/>
      <c r="EH44" s="772"/>
      <c r="EI44" s="772"/>
      <c r="EJ44" s="772"/>
      <c r="EK44" s="772"/>
      <c r="EL44" s="772"/>
      <c r="EM44" s="772"/>
      <c r="EN44" s="772"/>
      <c r="EO44" s="772"/>
      <c r="EP44" s="772"/>
      <c r="EQ44" s="772"/>
      <c r="ER44" s="772"/>
      <c r="ES44" s="772"/>
      <c r="ET44" s="772"/>
      <c r="EU44" s="772"/>
      <c r="EV44" s="772"/>
      <c r="EW44" s="772"/>
      <c r="EX44" s="772"/>
      <c r="EY44" s="772"/>
      <c r="EZ44" s="772"/>
      <c r="FA44" s="772"/>
      <c r="FB44" s="772"/>
      <c r="FC44" s="772"/>
      <c r="FD44" s="772"/>
      <c r="FE44" s="772"/>
      <c r="FF44" s="772"/>
      <c r="FG44" s="772"/>
      <c r="FH44" s="772"/>
      <c r="FI44" s="772"/>
      <c r="FJ44" s="772"/>
      <c r="FK44" s="772"/>
      <c r="FL44" s="772"/>
      <c r="FM44" s="772"/>
      <c r="FN44" s="772"/>
      <c r="FO44" s="772"/>
      <c r="FP44" s="772"/>
      <c r="FQ44" s="772"/>
      <c r="FR44" s="772"/>
      <c r="FS44" s="772"/>
      <c r="FT44" s="772"/>
      <c r="FU44" s="772"/>
      <c r="FV44" s="772"/>
      <c r="FW44" s="772"/>
      <c r="FX44" s="772"/>
      <c r="FY44" s="772"/>
      <c r="FZ44" s="772"/>
      <c r="GA44" s="772"/>
      <c r="GB44" s="772"/>
      <c r="GC44" s="772"/>
      <c r="GD44" s="772"/>
      <c r="GE44" s="772"/>
      <c r="GF44" s="772"/>
      <c r="GG44" s="772"/>
      <c r="GH44" s="772"/>
      <c r="GI44" s="772"/>
      <c r="GJ44" s="772"/>
      <c r="GK44" s="772"/>
      <c r="GL44" s="772"/>
      <c r="GM44" s="772"/>
      <c r="GN44" s="772"/>
      <c r="GO44" s="772"/>
      <c r="GP44" s="772"/>
      <c r="GQ44" s="772"/>
      <c r="GR44" s="772"/>
      <c r="GS44" s="772"/>
      <c r="GT44" s="772"/>
      <c r="GU44" s="772"/>
      <c r="GV44" s="772"/>
      <c r="GW44" s="772"/>
      <c r="GX44" s="772"/>
      <c r="GY44" s="772"/>
      <c r="GZ44" s="772"/>
      <c r="HA44" s="772"/>
      <c r="HB44" s="772"/>
      <c r="HC44" s="772"/>
      <c r="HD44" s="772"/>
      <c r="HE44" s="772"/>
      <c r="HF44" s="772"/>
      <c r="HG44" s="772"/>
      <c r="HH44" s="772"/>
      <c r="HI44" s="772"/>
      <c r="HJ44" s="772"/>
      <c r="HK44" s="772"/>
      <c r="HL44" s="772"/>
      <c r="HM44" s="772"/>
      <c r="HN44" s="772"/>
      <c r="HO44" s="772"/>
      <c r="HP44" s="772"/>
      <c r="HQ44" s="772"/>
      <c r="HR44" s="772"/>
      <c r="HS44" s="772"/>
      <c r="HT44" s="772"/>
      <c r="HU44" s="772"/>
      <c r="HV44" s="772"/>
      <c r="HW44" s="772"/>
      <c r="HX44" s="772"/>
      <c r="HY44" s="772"/>
      <c r="HZ44" s="772"/>
      <c r="IA44" s="772"/>
      <c r="IB44" s="772"/>
      <c r="IC44" s="772"/>
      <c r="ID44" s="772"/>
      <c r="IE44" s="772"/>
      <c r="IF44" s="772"/>
      <c r="IG44" s="772"/>
      <c r="IH44" s="772"/>
      <c r="II44" s="772"/>
      <c r="IJ44" s="772"/>
      <c r="IK44" s="772"/>
    </row>
    <row r="45" spans="1:245" s="765" customFormat="1" ht="20.100000000000001" customHeight="1" x14ac:dyDescent="0.25">
      <c r="A45" s="772"/>
      <c r="B45" s="783"/>
      <c r="C45" s="784"/>
      <c r="D45" s="784"/>
      <c r="E45" s="784"/>
      <c r="F45" s="784"/>
      <c r="G45" s="784"/>
      <c r="H45" s="772"/>
      <c r="I45" s="1664">
        <f t="shared" si="32"/>
        <v>21</v>
      </c>
      <c r="J45" s="1668">
        <f t="shared" si="17"/>
        <v>0</v>
      </c>
      <c r="K45" s="1666">
        <f t="shared" si="42"/>
        <v>0</v>
      </c>
      <c r="L45" s="1670">
        <f t="shared" si="27"/>
        <v>0</v>
      </c>
      <c r="M45" s="1668">
        <f t="shared" si="33"/>
        <v>0</v>
      </c>
      <c r="N45" s="772"/>
      <c r="O45" s="1664">
        <f t="shared" si="34"/>
        <v>21</v>
      </c>
      <c r="P45" s="1668">
        <f t="shared" si="19"/>
        <v>0</v>
      </c>
      <c r="Q45" s="1666">
        <f t="shared" si="43"/>
        <v>0</v>
      </c>
      <c r="R45" s="1670">
        <f t="shared" si="28"/>
        <v>0</v>
      </c>
      <c r="S45" s="1668">
        <f t="shared" si="35"/>
        <v>0</v>
      </c>
      <c r="T45" s="772"/>
      <c r="U45" s="1664">
        <f t="shared" si="36"/>
        <v>21</v>
      </c>
      <c r="V45" s="1668">
        <f t="shared" si="21"/>
        <v>0</v>
      </c>
      <c r="W45" s="1666">
        <f t="shared" si="44"/>
        <v>0</v>
      </c>
      <c r="X45" s="1670">
        <f t="shared" si="29"/>
        <v>0</v>
      </c>
      <c r="Y45" s="1668">
        <f t="shared" si="37"/>
        <v>0</v>
      </c>
      <c r="Z45" s="772"/>
      <c r="AA45" s="1664">
        <f t="shared" si="38"/>
        <v>21</v>
      </c>
      <c r="AB45" s="1668">
        <f t="shared" si="23"/>
        <v>0</v>
      </c>
      <c r="AC45" s="1666">
        <f t="shared" si="45"/>
        <v>0</v>
      </c>
      <c r="AD45" s="1670">
        <f t="shared" si="30"/>
        <v>0</v>
      </c>
      <c r="AE45" s="1668">
        <f t="shared" si="39"/>
        <v>0</v>
      </c>
      <c r="AF45" s="772"/>
      <c r="AG45" s="1664">
        <f t="shared" si="40"/>
        <v>21</v>
      </c>
      <c r="AH45" s="1668">
        <f t="shared" si="25"/>
        <v>0</v>
      </c>
      <c r="AI45" s="1666">
        <f t="shared" si="46"/>
        <v>0</v>
      </c>
      <c r="AJ45" s="1670">
        <f t="shared" si="31"/>
        <v>0</v>
      </c>
      <c r="AK45" s="1668">
        <f t="shared" si="41"/>
        <v>0</v>
      </c>
      <c r="AL45" s="772"/>
      <c r="AM45" s="772"/>
      <c r="AN45" s="772"/>
      <c r="AO45" s="772"/>
      <c r="AP45" s="772"/>
      <c r="AQ45" s="772"/>
      <c r="AR45" s="772"/>
      <c r="AS45" s="772"/>
      <c r="AT45" s="772"/>
      <c r="AU45" s="772"/>
      <c r="AV45" s="772"/>
      <c r="AW45" s="772"/>
      <c r="AX45" s="772"/>
      <c r="AY45" s="772"/>
      <c r="AZ45" s="772"/>
      <c r="BA45" s="772"/>
      <c r="BB45" s="772"/>
      <c r="BC45" s="772"/>
      <c r="BD45" s="772"/>
      <c r="BE45" s="772"/>
      <c r="BF45" s="772"/>
      <c r="BG45" s="772"/>
      <c r="BH45" s="772"/>
      <c r="BI45" s="772"/>
      <c r="BJ45" s="772"/>
      <c r="BK45" s="772"/>
      <c r="BL45" s="772"/>
      <c r="BM45" s="772"/>
      <c r="BN45" s="772"/>
      <c r="BO45" s="772"/>
      <c r="BP45" s="772"/>
      <c r="BQ45" s="772"/>
      <c r="BR45" s="772"/>
      <c r="BS45" s="772"/>
      <c r="BT45" s="772"/>
      <c r="BU45" s="772"/>
      <c r="BV45" s="772"/>
      <c r="BW45" s="772"/>
      <c r="BX45" s="772"/>
      <c r="BY45" s="772"/>
      <c r="BZ45" s="772"/>
      <c r="CA45" s="772"/>
      <c r="CB45" s="772"/>
      <c r="CC45" s="772"/>
      <c r="CD45" s="772"/>
      <c r="CE45" s="772"/>
      <c r="CF45" s="772"/>
      <c r="CG45" s="772"/>
      <c r="CH45" s="772"/>
      <c r="CI45" s="772"/>
      <c r="CJ45" s="772"/>
      <c r="CK45" s="772"/>
      <c r="CL45" s="772"/>
      <c r="CM45" s="772"/>
      <c r="CN45" s="772"/>
      <c r="CO45" s="772"/>
      <c r="CP45" s="772"/>
      <c r="CQ45" s="772"/>
      <c r="CR45" s="772"/>
      <c r="CS45" s="772"/>
      <c r="CT45" s="772"/>
      <c r="CU45" s="772"/>
      <c r="CV45" s="772"/>
      <c r="CW45" s="772"/>
      <c r="CX45" s="772"/>
      <c r="CY45" s="772"/>
      <c r="CZ45" s="772"/>
      <c r="DA45" s="772"/>
      <c r="DB45" s="772"/>
      <c r="DC45" s="772"/>
      <c r="DD45" s="772"/>
      <c r="DE45" s="772"/>
      <c r="DF45" s="772"/>
      <c r="DG45" s="772"/>
      <c r="DH45" s="772"/>
      <c r="DI45" s="772"/>
      <c r="DJ45" s="772"/>
      <c r="DK45" s="772"/>
      <c r="DL45" s="772"/>
      <c r="DM45" s="772"/>
      <c r="DN45" s="772"/>
      <c r="DO45" s="772"/>
      <c r="DP45" s="772"/>
      <c r="DQ45" s="772"/>
      <c r="DR45" s="772"/>
      <c r="DS45" s="772"/>
      <c r="DT45" s="772"/>
      <c r="DU45" s="772"/>
      <c r="DV45" s="772"/>
      <c r="DW45" s="772"/>
      <c r="DX45" s="772"/>
      <c r="DY45" s="772"/>
      <c r="DZ45" s="772"/>
      <c r="EA45" s="772"/>
      <c r="EB45" s="772"/>
      <c r="EC45" s="772"/>
      <c r="ED45" s="772"/>
      <c r="EE45" s="772"/>
      <c r="EF45" s="772"/>
      <c r="EG45" s="772"/>
      <c r="EH45" s="772"/>
      <c r="EI45" s="772"/>
      <c r="EJ45" s="772"/>
      <c r="EK45" s="772"/>
      <c r="EL45" s="772"/>
      <c r="EM45" s="772"/>
      <c r="EN45" s="772"/>
      <c r="EO45" s="772"/>
      <c r="EP45" s="772"/>
      <c r="EQ45" s="772"/>
      <c r="ER45" s="772"/>
      <c r="ES45" s="772"/>
      <c r="ET45" s="772"/>
      <c r="EU45" s="772"/>
      <c r="EV45" s="772"/>
      <c r="EW45" s="772"/>
      <c r="EX45" s="772"/>
      <c r="EY45" s="772"/>
      <c r="EZ45" s="772"/>
      <c r="FA45" s="772"/>
      <c r="FB45" s="772"/>
      <c r="FC45" s="772"/>
      <c r="FD45" s="772"/>
      <c r="FE45" s="772"/>
      <c r="FF45" s="772"/>
      <c r="FG45" s="772"/>
      <c r="FH45" s="772"/>
      <c r="FI45" s="772"/>
      <c r="FJ45" s="772"/>
      <c r="FK45" s="772"/>
      <c r="FL45" s="772"/>
      <c r="FM45" s="772"/>
      <c r="FN45" s="772"/>
      <c r="FO45" s="772"/>
      <c r="FP45" s="772"/>
      <c r="FQ45" s="772"/>
      <c r="FR45" s="772"/>
      <c r="FS45" s="772"/>
      <c r="FT45" s="772"/>
      <c r="FU45" s="772"/>
      <c r="FV45" s="772"/>
      <c r="FW45" s="772"/>
      <c r="FX45" s="772"/>
      <c r="FY45" s="772"/>
      <c r="FZ45" s="772"/>
      <c r="GA45" s="772"/>
      <c r="GB45" s="772"/>
      <c r="GC45" s="772"/>
      <c r="GD45" s="772"/>
      <c r="GE45" s="772"/>
      <c r="GF45" s="772"/>
      <c r="GG45" s="772"/>
      <c r="GH45" s="772"/>
      <c r="GI45" s="772"/>
      <c r="GJ45" s="772"/>
      <c r="GK45" s="772"/>
      <c r="GL45" s="772"/>
      <c r="GM45" s="772"/>
      <c r="GN45" s="772"/>
      <c r="GO45" s="772"/>
      <c r="GP45" s="772"/>
      <c r="GQ45" s="772"/>
      <c r="GR45" s="772"/>
      <c r="GS45" s="772"/>
      <c r="GT45" s="772"/>
      <c r="GU45" s="772"/>
      <c r="GV45" s="772"/>
      <c r="GW45" s="772"/>
      <c r="GX45" s="772"/>
      <c r="GY45" s="772"/>
      <c r="GZ45" s="772"/>
      <c r="HA45" s="772"/>
      <c r="HB45" s="772"/>
      <c r="HC45" s="772"/>
      <c r="HD45" s="772"/>
      <c r="HE45" s="772"/>
      <c r="HF45" s="772"/>
      <c r="HG45" s="772"/>
      <c r="HH45" s="772"/>
      <c r="HI45" s="772"/>
      <c r="HJ45" s="772"/>
      <c r="HK45" s="772"/>
      <c r="HL45" s="772"/>
      <c r="HM45" s="772"/>
      <c r="HN45" s="772"/>
      <c r="HO45" s="772"/>
      <c r="HP45" s="772"/>
      <c r="HQ45" s="772"/>
      <c r="HR45" s="772"/>
      <c r="HS45" s="772"/>
      <c r="HT45" s="772"/>
      <c r="HU45" s="772"/>
      <c r="HV45" s="772"/>
      <c r="HW45" s="772"/>
      <c r="HX45" s="772"/>
      <c r="HY45" s="772"/>
      <c r="HZ45" s="772"/>
      <c r="IA45" s="772"/>
      <c r="IB45" s="772"/>
      <c r="IC45" s="772"/>
      <c r="ID45" s="772"/>
      <c r="IE45" s="772"/>
      <c r="IF45" s="772"/>
      <c r="IG45" s="772"/>
      <c r="IH45" s="772"/>
      <c r="II45" s="772"/>
      <c r="IJ45" s="772"/>
      <c r="IK45" s="772"/>
    </row>
    <row r="46" spans="1:245" s="765" customFormat="1" ht="20.100000000000001" customHeight="1" x14ac:dyDescent="0.25">
      <c r="A46" s="772"/>
      <c r="B46" s="783"/>
      <c r="C46" s="784"/>
      <c r="D46" s="784"/>
      <c r="E46" s="784"/>
      <c r="F46" s="784"/>
      <c r="G46" s="784"/>
      <c r="H46" s="772"/>
      <c r="I46" s="1664">
        <f t="shared" si="32"/>
        <v>22</v>
      </c>
      <c r="J46" s="1668">
        <f t="shared" si="17"/>
        <v>0</v>
      </c>
      <c r="K46" s="1666">
        <f t="shared" si="42"/>
        <v>0</v>
      </c>
      <c r="L46" s="1670">
        <f t="shared" si="27"/>
        <v>0</v>
      </c>
      <c r="M46" s="1668">
        <f t="shared" si="33"/>
        <v>0</v>
      </c>
      <c r="N46" s="772"/>
      <c r="O46" s="1664">
        <f t="shared" si="34"/>
        <v>22</v>
      </c>
      <c r="P46" s="1668">
        <f t="shared" si="19"/>
        <v>0</v>
      </c>
      <c r="Q46" s="1666">
        <f t="shared" si="43"/>
        <v>0</v>
      </c>
      <c r="R46" s="1670">
        <f t="shared" si="28"/>
        <v>0</v>
      </c>
      <c r="S46" s="1668">
        <f t="shared" si="35"/>
        <v>0</v>
      </c>
      <c r="T46" s="772"/>
      <c r="U46" s="1664">
        <f t="shared" si="36"/>
        <v>22</v>
      </c>
      <c r="V46" s="1668">
        <f t="shared" si="21"/>
        <v>0</v>
      </c>
      <c r="W46" s="1666">
        <f t="shared" si="44"/>
        <v>0</v>
      </c>
      <c r="X46" s="1670">
        <f t="shared" si="29"/>
        <v>0</v>
      </c>
      <c r="Y46" s="1668">
        <f t="shared" si="37"/>
        <v>0</v>
      </c>
      <c r="Z46" s="772"/>
      <c r="AA46" s="1664">
        <f t="shared" si="38"/>
        <v>22</v>
      </c>
      <c r="AB46" s="1668">
        <f t="shared" si="23"/>
        <v>0</v>
      </c>
      <c r="AC46" s="1666">
        <f t="shared" si="45"/>
        <v>0</v>
      </c>
      <c r="AD46" s="1670">
        <f t="shared" si="30"/>
        <v>0</v>
      </c>
      <c r="AE46" s="1668">
        <f t="shared" si="39"/>
        <v>0</v>
      </c>
      <c r="AF46" s="772"/>
      <c r="AG46" s="1664">
        <f t="shared" si="40"/>
        <v>22</v>
      </c>
      <c r="AH46" s="1668">
        <f t="shared" si="25"/>
        <v>0</v>
      </c>
      <c r="AI46" s="1666">
        <f t="shared" si="46"/>
        <v>0</v>
      </c>
      <c r="AJ46" s="1670">
        <f t="shared" si="31"/>
        <v>0</v>
      </c>
      <c r="AK46" s="1668">
        <f t="shared" si="41"/>
        <v>0</v>
      </c>
      <c r="AL46" s="772"/>
      <c r="AM46" s="772"/>
      <c r="AN46" s="772"/>
      <c r="AO46" s="772"/>
      <c r="AP46" s="772"/>
      <c r="AQ46" s="772"/>
      <c r="AR46" s="772"/>
      <c r="AS46" s="772"/>
      <c r="AT46" s="772"/>
      <c r="AU46" s="772"/>
      <c r="AV46" s="772"/>
      <c r="AW46" s="772"/>
      <c r="AX46" s="772"/>
      <c r="AY46" s="772"/>
      <c r="AZ46" s="772"/>
      <c r="BA46" s="772"/>
      <c r="BB46" s="772"/>
      <c r="BC46" s="772"/>
      <c r="BD46" s="772"/>
      <c r="BE46" s="772"/>
      <c r="BF46" s="772"/>
      <c r="BG46" s="772"/>
      <c r="BH46" s="772"/>
      <c r="BI46" s="772"/>
      <c r="BJ46" s="772"/>
      <c r="BK46" s="772"/>
      <c r="BL46" s="772"/>
      <c r="BM46" s="772"/>
      <c r="BN46" s="772"/>
      <c r="BO46" s="772"/>
      <c r="BP46" s="772"/>
      <c r="BQ46" s="772"/>
      <c r="BR46" s="772"/>
      <c r="BS46" s="772"/>
      <c r="BT46" s="772"/>
      <c r="BU46" s="772"/>
      <c r="BV46" s="772"/>
      <c r="BW46" s="772"/>
      <c r="BX46" s="772"/>
      <c r="BY46" s="772"/>
      <c r="BZ46" s="772"/>
      <c r="CA46" s="772"/>
      <c r="CB46" s="772"/>
      <c r="CC46" s="772"/>
      <c r="CD46" s="772"/>
      <c r="CE46" s="772"/>
      <c r="CF46" s="772"/>
      <c r="CG46" s="772"/>
      <c r="CH46" s="772"/>
      <c r="CI46" s="772"/>
      <c r="CJ46" s="772"/>
      <c r="CK46" s="772"/>
      <c r="CL46" s="772"/>
      <c r="CM46" s="772"/>
      <c r="CN46" s="772"/>
      <c r="CO46" s="772"/>
      <c r="CP46" s="772"/>
      <c r="CQ46" s="772"/>
      <c r="CR46" s="772"/>
      <c r="CS46" s="772"/>
      <c r="CT46" s="772"/>
      <c r="CU46" s="772"/>
      <c r="CV46" s="772"/>
      <c r="CW46" s="772"/>
      <c r="CX46" s="772"/>
      <c r="CY46" s="772"/>
      <c r="CZ46" s="772"/>
      <c r="DA46" s="772"/>
      <c r="DB46" s="772"/>
      <c r="DC46" s="772"/>
      <c r="DD46" s="772"/>
      <c r="DE46" s="772"/>
      <c r="DF46" s="772"/>
      <c r="DG46" s="772"/>
      <c r="DH46" s="772"/>
      <c r="DI46" s="772"/>
      <c r="DJ46" s="772"/>
      <c r="DK46" s="772"/>
      <c r="DL46" s="772"/>
      <c r="DM46" s="772"/>
      <c r="DN46" s="772"/>
      <c r="DO46" s="772"/>
      <c r="DP46" s="772"/>
      <c r="DQ46" s="772"/>
      <c r="DR46" s="772"/>
      <c r="DS46" s="772"/>
      <c r="DT46" s="772"/>
      <c r="DU46" s="772"/>
      <c r="DV46" s="772"/>
      <c r="DW46" s="772"/>
      <c r="DX46" s="772"/>
      <c r="DY46" s="772"/>
      <c r="DZ46" s="772"/>
      <c r="EA46" s="772"/>
      <c r="EB46" s="772"/>
      <c r="EC46" s="772"/>
      <c r="ED46" s="772"/>
      <c r="EE46" s="772"/>
      <c r="EF46" s="772"/>
      <c r="EG46" s="772"/>
      <c r="EH46" s="772"/>
      <c r="EI46" s="772"/>
      <c r="EJ46" s="772"/>
      <c r="EK46" s="772"/>
      <c r="EL46" s="772"/>
      <c r="EM46" s="772"/>
      <c r="EN46" s="772"/>
      <c r="EO46" s="772"/>
      <c r="EP46" s="772"/>
      <c r="EQ46" s="772"/>
      <c r="ER46" s="772"/>
      <c r="ES46" s="772"/>
      <c r="ET46" s="772"/>
      <c r="EU46" s="772"/>
      <c r="EV46" s="772"/>
      <c r="EW46" s="772"/>
      <c r="EX46" s="772"/>
      <c r="EY46" s="772"/>
      <c r="EZ46" s="772"/>
      <c r="FA46" s="772"/>
      <c r="FB46" s="772"/>
      <c r="FC46" s="772"/>
      <c r="FD46" s="772"/>
      <c r="FE46" s="772"/>
      <c r="FF46" s="772"/>
      <c r="FG46" s="772"/>
      <c r="FH46" s="772"/>
      <c r="FI46" s="772"/>
      <c r="FJ46" s="772"/>
      <c r="FK46" s="772"/>
      <c r="FL46" s="772"/>
      <c r="FM46" s="772"/>
      <c r="FN46" s="772"/>
      <c r="FO46" s="772"/>
      <c r="FP46" s="772"/>
      <c r="FQ46" s="772"/>
      <c r="FR46" s="772"/>
      <c r="FS46" s="772"/>
      <c r="FT46" s="772"/>
      <c r="FU46" s="772"/>
      <c r="FV46" s="772"/>
      <c r="FW46" s="772"/>
      <c r="FX46" s="772"/>
      <c r="FY46" s="772"/>
      <c r="FZ46" s="772"/>
      <c r="GA46" s="772"/>
      <c r="GB46" s="772"/>
      <c r="GC46" s="772"/>
      <c r="GD46" s="772"/>
      <c r="GE46" s="772"/>
      <c r="GF46" s="772"/>
      <c r="GG46" s="772"/>
      <c r="GH46" s="772"/>
      <c r="GI46" s="772"/>
      <c r="GJ46" s="772"/>
      <c r="GK46" s="772"/>
      <c r="GL46" s="772"/>
      <c r="GM46" s="772"/>
      <c r="GN46" s="772"/>
      <c r="GO46" s="772"/>
      <c r="GP46" s="772"/>
      <c r="GQ46" s="772"/>
      <c r="GR46" s="772"/>
      <c r="GS46" s="772"/>
      <c r="GT46" s="772"/>
      <c r="GU46" s="772"/>
      <c r="GV46" s="772"/>
      <c r="GW46" s="772"/>
      <c r="GX46" s="772"/>
      <c r="GY46" s="772"/>
      <c r="GZ46" s="772"/>
      <c r="HA46" s="772"/>
      <c r="HB46" s="772"/>
      <c r="HC46" s="772"/>
      <c r="HD46" s="772"/>
      <c r="HE46" s="772"/>
      <c r="HF46" s="772"/>
      <c r="HG46" s="772"/>
      <c r="HH46" s="772"/>
      <c r="HI46" s="772"/>
      <c r="HJ46" s="772"/>
      <c r="HK46" s="772"/>
      <c r="HL46" s="772"/>
      <c r="HM46" s="772"/>
      <c r="HN46" s="772"/>
      <c r="HO46" s="772"/>
      <c r="HP46" s="772"/>
      <c r="HQ46" s="772"/>
      <c r="HR46" s="772"/>
      <c r="HS46" s="772"/>
      <c r="HT46" s="772"/>
      <c r="HU46" s="772"/>
      <c r="HV46" s="772"/>
      <c r="HW46" s="772"/>
      <c r="HX46" s="772"/>
      <c r="HY46" s="772"/>
      <c r="HZ46" s="772"/>
      <c r="IA46" s="772"/>
      <c r="IB46" s="772"/>
      <c r="IC46" s="772"/>
      <c r="ID46" s="772"/>
      <c r="IE46" s="772"/>
      <c r="IF46" s="772"/>
      <c r="IG46" s="772"/>
      <c r="IH46" s="772"/>
      <c r="II46" s="772"/>
      <c r="IJ46" s="772"/>
      <c r="IK46" s="772"/>
    </row>
    <row r="47" spans="1:245" s="765" customFormat="1" ht="20.100000000000001" customHeight="1" x14ac:dyDescent="0.25">
      <c r="A47" s="772"/>
      <c r="B47" s="783"/>
      <c r="C47" s="784"/>
      <c r="D47" s="784"/>
      <c r="E47" s="784"/>
      <c r="F47" s="784"/>
      <c r="G47" s="784"/>
      <c r="H47" s="772"/>
      <c r="I47" s="1664">
        <f t="shared" si="32"/>
        <v>23</v>
      </c>
      <c r="J47" s="1668">
        <f t="shared" si="17"/>
        <v>0</v>
      </c>
      <c r="K47" s="1666">
        <f t="shared" si="42"/>
        <v>0</v>
      </c>
      <c r="L47" s="1670">
        <f t="shared" si="27"/>
        <v>0</v>
      </c>
      <c r="M47" s="1668">
        <f t="shared" si="33"/>
        <v>0</v>
      </c>
      <c r="N47" s="772"/>
      <c r="O47" s="1664">
        <f t="shared" si="34"/>
        <v>23</v>
      </c>
      <c r="P47" s="1668">
        <f t="shared" si="19"/>
        <v>0</v>
      </c>
      <c r="Q47" s="1666">
        <f t="shared" si="43"/>
        <v>0</v>
      </c>
      <c r="R47" s="1670">
        <f t="shared" si="28"/>
        <v>0</v>
      </c>
      <c r="S47" s="1668">
        <f t="shared" si="35"/>
        <v>0</v>
      </c>
      <c r="T47" s="772"/>
      <c r="U47" s="1664">
        <f t="shared" si="36"/>
        <v>23</v>
      </c>
      <c r="V47" s="1668">
        <f t="shared" si="21"/>
        <v>0</v>
      </c>
      <c r="W47" s="1666">
        <f t="shared" si="44"/>
        <v>0</v>
      </c>
      <c r="X47" s="1670">
        <f t="shared" si="29"/>
        <v>0</v>
      </c>
      <c r="Y47" s="1668">
        <f t="shared" si="37"/>
        <v>0</v>
      </c>
      <c r="Z47" s="772"/>
      <c r="AA47" s="1664">
        <f t="shared" si="38"/>
        <v>23</v>
      </c>
      <c r="AB47" s="1668">
        <f t="shared" si="23"/>
        <v>0</v>
      </c>
      <c r="AC47" s="1666">
        <f t="shared" si="45"/>
        <v>0</v>
      </c>
      <c r="AD47" s="1670">
        <f t="shared" si="30"/>
        <v>0</v>
      </c>
      <c r="AE47" s="1668">
        <f t="shared" si="39"/>
        <v>0</v>
      </c>
      <c r="AF47" s="772"/>
      <c r="AG47" s="1664">
        <f t="shared" si="40"/>
        <v>23</v>
      </c>
      <c r="AH47" s="1668">
        <f t="shared" si="25"/>
        <v>0</v>
      </c>
      <c r="AI47" s="1666">
        <f t="shared" si="46"/>
        <v>0</v>
      </c>
      <c r="AJ47" s="1670">
        <f t="shared" si="31"/>
        <v>0</v>
      </c>
      <c r="AK47" s="1668">
        <f t="shared" si="41"/>
        <v>0</v>
      </c>
      <c r="AL47" s="772"/>
      <c r="AM47" s="772"/>
      <c r="AN47" s="772"/>
      <c r="AO47" s="772"/>
      <c r="AP47" s="772"/>
      <c r="AQ47" s="772"/>
      <c r="AR47" s="772"/>
      <c r="AS47" s="772"/>
      <c r="AT47" s="772"/>
      <c r="AU47" s="772"/>
      <c r="AV47" s="772"/>
      <c r="AW47" s="772"/>
      <c r="AX47" s="772"/>
      <c r="AY47" s="772"/>
      <c r="AZ47" s="772"/>
      <c r="BA47" s="772"/>
      <c r="BB47" s="772"/>
      <c r="BC47" s="772"/>
      <c r="BD47" s="772"/>
      <c r="BE47" s="772"/>
      <c r="BF47" s="772"/>
      <c r="BG47" s="772"/>
      <c r="BH47" s="772"/>
      <c r="BI47" s="772"/>
      <c r="BJ47" s="772"/>
      <c r="BK47" s="772"/>
      <c r="BL47" s="772"/>
      <c r="BM47" s="772"/>
      <c r="BN47" s="772"/>
      <c r="BO47" s="772"/>
      <c r="BP47" s="772"/>
      <c r="BQ47" s="772"/>
      <c r="BR47" s="772"/>
      <c r="BS47" s="772"/>
      <c r="BT47" s="772"/>
      <c r="BU47" s="772"/>
      <c r="BV47" s="772"/>
      <c r="BW47" s="772"/>
      <c r="BX47" s="772"/>
      <c r="BY47" s="772"/>
      <c r="BZ47" s="772"/>
      <c r="CA47" s="772"/>
      <c r="CB47" s="772"/>
      <c r="CC47" s="772"/>
      <c r="CD47" s="772"/>
      <c r="CE47" s="772"/>
      <c r="CF47" s="772"/>
      <c r="CG47" s="772"/>
      <c r="CH47" s="772"/>
      <c r="CI47" s="772"/>
      <c r="CJ47" s="772"/>
      <c r="CK47" s="772"/>
      <c r="CL47" s="772"/>
      <c r="CM47" s="772"/>
      <c r="CN47" s="772"/>
      <c r="CO47" s="772"/>
      <c r="CP47" s="772"/>
      <c r="CQ47" s="772"/>
      <c r="CR47" s="772"/>
      <c r="CS47" s="772"/>
      <c r="CT47" s="772"/>
      <c r="CU47" s="772"/>
      <c r="CV47" s="772"/>
      <c r="CW47" s="772"/>
      <c r="CX47" s="772"/>
      <c r="CY47" s="772"/>
      <c r="CZ47" s="772"/>
      <c r="DA47" s="772"/>
      <c r="DB47" s="772"/>
      <c r="DC47" s="772"/>
      <c r="DD47" s="772"/>
      <c r="DE47" s="772"/>
      <c r="DF47" s="772"/>
      <c r="DG47" s="772"/>
      <c r="DH47" s="772"/>
      <c r="DI47" s="772"/>
      <c r="DJ47" s="772"/>
      <c r="DK47" s="772"/>
      <c r="DL47" s="772"/>
      <c r="DM47" s="772"/>
      <c r="DN47" s="772"/>
      <c r="DO47" s="772"/>
      <c r="DP47" s="772"/>
      <c r="DQ47" s="772"/>
      <c r="DR47" s="772"/>
      <c r="DS47" s="772"/>
      <c r="DT47" s="772"/>
      <c r="DU47" s="772"/>
      <c r="DV47" s="772"/>
      <c r="DW47" s="772"/>
      <c r="DX47" s="772"/>
      <c r="DY47" s="772"/>
      <c r="DZ47" s="772"/>
      <c r="EA47" s="772"/>
      <c r="EB47" s="772"/>
      <c r="EC47" s="772"/>
      <c r="ED47" s="772"/>
      <c r="EE47" s="772"/>
      <c r="EF47" s="772"/>
      <c r="EG47" s="772"/>
      <c r="EH47" s="772"/>
      <c r="EI47" s="772"/>
      <c r="EJ47" s="772"/>
      <c r="EK47" s="772"/>
      <c r="EL47" s="772"/>
      <c r="EM47" s="772"/>
      <c r="EN47" s="772"/>
      <c r="EO47" s="772"/>
      <c r="EP47" s="772"/>
      <c r="EQ47" s="772"/>
      <c r="ER47" s="772"/>
      <c r="ES47" s="772"/>
      <c r="ET47" s="772"/>
      <c r="EU47" s="772"/>
      <c r="EV47" s="772"/>
      <c r="EW47" s="772"/>
      <c r="EX47" s="772"/>
      <c r="EY47" s="772"/>
      <c r="EZ47" s="772"/>
      <c r="FA47" s="772"/>
      <c r="FB47" s="772"/>
      <c r="FC47" s="772"/>
      <c r="FD47" s="772"/>
      <c r="FE47" s="772"/>
      <c r="FF47" s="772"/>
      <c r="FG47" s="772"/>
      <c r="FH47" s="772"/>
      <c r="FI47" s="772"/>
      <c r="FJ47" s="772"/>
      <c r="FK47" s="772"/>
      <c r="FL47" s="772"/>
      <c r="FM47" s="772"/>
      <c r="FN47" s="772"/>
      <c r="FO47" s="772"/>
      <c r="FP47" s="772"/>
      <c r="FQ47" s="772"/>
      <c r="FR47" s="772"/>
      <c r="FS47" s="772"/>
      <c r="FT47" s="772"/>
      <c r="FU47" s="772"/>
      <c r="FV47" s="772"/>
      <c r="FW47" s="772"/>
      <c r="FX47" s="772"/>
      <c r="FY47" s="772"/>
      <c r="FZ47" s="772"/>
      <c r="GA47" s="772"/>
      <c r="GB47" s="772"/>
      <c r="GC47" s="772"/>
      <c r="GD47" s="772"/>
      <c r="GE47" s="772"/>
      <c r="GF47" s="772"/>
      <c r="GG47" s="772"/>
      <c r="GH47" s="772"/>
      <c r="GI47" s="772"/>
      <c r="GJ47" s="772"/>
      <c r="GK47" s="772"/>
      <c r="GL47" s="772"/>
      <c r="GM47" s="772"/>
      <c r="GN47" s="772"/>
      <c r="GO47" s="772"/>
      <c r="GP47" s="772"/>
      <c r="GQ47" s="772"/>
      <c r="GR47" s="772"/>
      <c r="GS47" s="772"/>
      <c r="GT47" s="772"/>
      <c r="GU47" s="772"/>
      <c r="GV47" s="772"/>
      <c r="GW47" s="772"/>
      <c r="GX47" s="772"/>
      <c r="GY47" s="772"/>
      <c r="GZ47" s="772"/>
      <c r="HA47" s="772"/>
      <c r="HB47" s="772"/>
      <c r="HC47" s="772"/>
      <c r="HD47" s="772"/>
      <c r="HE47" s="772"/>
      <c r="HF47" s="772"/>
      <c r="HG47" s="772"/>
      <c r="HH47" s="772"/>
      <c r="HI47" s="772"/>
      <c r="HJ47" s="772"/>
      <c r="HK47" s="772"/>
      <c r="HL47" s="772"/>
      <c r="HM47" s="772"/>
      <c r="HN47" s="772"/>
      <c r="HO47" s="772"/>
      <c r="HP47" s="772"/>
      <c r="HQ47" s="772"/>
      <c r="HR47" s="772"/>
      <c r="HS47" s="772"/>
      <c r="HT47" s="772"/>
      <c r="HU47" s="772"/>
      <c r="HV47" s="772"/>
      <c r="HW47" s="772"/>
      <c r="HX47" s="772"/>
      <c r="HY47" s="772"/>
      <c r="HZ47" s="772"/>
      <c r="IA47" s="772"/>
      <c r="IB47" s="772"/>
      <c r="IC47" s="772"/>
      <c r="ID47" s="772"/>
      <c r="IE47" s="772"/>
      <c r="IF47" s="772"/>
      <c r="IG47" s="772"/>
      <c r="IH47" s="772"/>
      <c r="II47" s="772"/>
      <c r="IJ47" s="772"/>
      <c r="IK47" s="772"/>
    </row>
    <row r="48" spans="1:245" s="765" customFormat="1" ht="20.100000000000001" customHeight="1" x14ac:dyDescent="0.25">
      <c r="A48" s="772"/>
      <c r="B48" s="783"/>
      <c r="C48" s="784"/>
      <c r="D48" s="784"/>
      <c r="E48" s="784"/>
      <c r="F48" s="784"/>
      <c r="G48" s="784"/>
      <c r="H48" s="772"/>
      <c r="I48" s="1664">
        <f t="shared" si="32"/>
        <v>24</v>
      </c>
      <c r="J48" s="1668">
        <f t="shared" si="17"/>
        <v>0</v>
      </c>
      <c r="K48" s="1666">
        <f t="shared" si="42"/>
        <v>0</v>
      </c>
      <c r="L48" s="1670">
        <f t="shared" si="27"/>
        <v>0</v>
      </c>
      <c r="M48" s="1668">
        <f t="shared" si="33"/>
        <v>0</v>
      </c>
      <c r="N48" s="772"/>
      <c r="O48" s="1664">
        <f t="shared" si="34"/>
        <v>24</v>
      </c>
      <c r="P48" s="1668">
        <f t="shared" si="19"/>
        <v>0</v>
      </c>
      <c r="Q48" s="1666">
        <f t="shared" si="43"/>
        <v>0</v>
      </c>
      <c r="R48" s="1670">
        <f t="shared" si="28"/>
        <v>0</v>
      </c>
      <c r="S48" s="1668">
        <f t="shared" si="35"/>
        <v>0</v>
      </c>
      <c r="T48" s="772"/>
      <c r="U48" s="1664">
        <f t="shared" si="36"/>
        <v>24</v>
      </c>
      <c r="V48" s="1668">
        <f t="shared" si="21"/>
        <v>0</v>
      </c>
      <c r="W48" s="1666">
        <f t="shared" si="44"/>
        <v>0</v>
      </c>
      <c r="X48" s="1670">
        <f t="shared" si="29"/>
        <v>0</v>
      </c>
      <c r="Y48" s="1668">
        <f t="shared" si="37"/>
        <v>0</v>
      </c>
      <c r="Z48" s="772"/>
      <c r="AA48" s="1664">
        <f t="shared" si="38"/>
        <v>24</v>
      </c>
      <c r="AB48" s="1668">
        <f t="shared" si="23"/>
        <v>0</v>
      </c>
      <c r="AC48" s="1666">
        <f t="shared" si="45"/>
        <v>0</v>
      </c>
      <c r="AD48" s="1670">
        <f t="shared" si="30"/>
        <v>0</v>
      </c>
      <c r="AE48" s="1668">
        <f t="shared" si="39"/>
        <v>0</v>
      </c>
      <c r="AF48" s="772"/>
      <c r="AG48" s="1664">
        <f t="shared" si="40"/>
        <v>24</v>
      </c>
      <c r="AH48" s="1668">
        <f t="shared" si="25"/>
        <v>0</v>
      </c>
      <c r="AI48" s="1666">
        <f t="shared" si="46"/>
        <v>0</v>
      </c>
      <c r="AJ48" s="1670">
        <f t="shared" si="31"/>
        <v>0</v>
      </c>
      <c r="AK48" s="1668">
        <f t="shared" si="41"/>
        <v>0</v>
      </c>
      <c r="AL48" s="772"/>
      <c r="AM48" s="772"/>
      <c r="AN48" s="772"/>
      <c r="AO48" s="772"/>
      <c r="AP48" s="772"/>
      <c r="AQ48" s="772"/>
      <c r="AR48" s="772"/>
      <c r="AS48" s="772"/>
      <c r="AT48" s="772"/>
      <c r="AU48" s="772"/>
      <c r="AV48" s="772"/>
      <c r="AW48" s="772"/>
      <c r="AX48" s="772"/>
      <c r="AY48" s="772"/>
      <c r="AZ48" s="772"/>
      <c r="BA48" s="772"/>
      <c r="BB48" s="772"/>
      <c r="BC48" s="772"/>
      <c r="BD48" s="772"/>
      <c r="BE48" s="772"/>
      <c r="BF48" s="772"/>
      <c r="BG48" s="772"/>
      <c r="BH48" s="772"/>
      <c r="BI48" s="772"/>
      <c r="BJ48" s="772"/>
      <c r="BK48" s="772"/>
      <c r="BL48" s="772"/>
      <c r="BM48" s="772"/>
      <c r="BN48" s="772"/>
      <c r="BO48" s="772"/>
      <c r="BP48" s="772"/>
      <c r="BQ48" s="772"/>
      <c r="BR48" s="772"/>
      <c r="BS48" s="772"/>
      <c r="BT48" s="772"/>
      <c r="BU48" s="772"/>
      <c r="BV48" s="772"/>
      <c r="BW48" s="772"/>
      <c r="BX48" s="772"/>
      <c r="BY48" s="772"/>
      <c r="BZ48" s="772"/>
      <c r="CA48" s="772"/>
      <c r="CB48" s="772"/>
      <c r="CC48" s="772"/>
      <c r="CD48" s="772"/>
      <c r="CE48" s="772"/>
      <c r="CF48" s="772"/>
      <c r="CG48" s="772"/>
      <c r="CH48" s="772"/>
      <c r="CI48" s="772"/>
      <c r="CJ48" s="772"/>
      <c r="CK48" s="772"/>
      <c r="CL48" s="772"/>
      <c r="CM48" s="772"/>
      <c r="CN48" s="772"/>
      <c r="CO48" s="772"/>
      <c r="CP48" s="772"/>
      <c r="CQ48" s="772"/>
      <c r="CR48" s="772"/>
      <c r="CS48" s="772"/>
      <c r="CT48" s="772"/>
      <c r="CU48" s="772"/>
      <c r="CV48" s="772"/>
      <c r="CW48" s="772"/>
      <c r="CX48" s="772"/>
      <c r="CY48" s="772"/>
      <c r="CZ48" s="772"/>
      <c r="DA48" s="772"/>
      <c r="DB48" s="772"/>
      <c r="DC48" s="772"/>
      <c r="DD48" s="772"/>
      <c r="DE48" s="772"/>
      <c r="DF48" s="772"/>
      <c r="DG48" s="772"/>
      <c r="DH48" s="772"/>
      <c r="DI48" s="772"/>
      <c r="DJ48" s="772"/>
      <c r="DK48" s="772"/>
      <c r="DL48" s="772"/>
      <c r="DM48" s="772"/>
      <c r="DN48" s="772"/>
      <c r="DO48" s="772"/>
      <c r="DP48" s="772"/>
      <c r="DQ48" s="772"/>
      <c r="DR48" s="772"/>
      <c r="DS48" s="772"/>
      <c r="DT48" s="772"/>
      <c r="DU48" s="772"/>
      <c r="DV48" s="772"/>
      <c r="DW48" s="772"/>
      <c r="DX48" s="772"/>
      <c r="DY48" s="772"/>
      <c r="DZ48" s="772"/>
      <c r="EA48" s="772"/>
      <c r="EB48" s="772"/>
      <c r="EC48" s="772"/>
      <c r="ED48" s="772"/>
      <c r="EE48" s="772"/>
      <c r="EF48" s="772"/>
      <c r="EG48" s="772"/>
      <c r="EH48" s="772"/>
      <c r="EI48" s="772"/>
      <c r="EJ48" s="772"/>
      <c r="EK48" s="772"/>
      <c r="EL48" s="772"/>
      <c r="EM48" s="772"/>
      <c r="EN48" s="772"/>
      <c r="EO48" s="772"/>
      <c r="EP48" s="772"/>
      <c r="EQ48" s="772"/>
      <c r="ER48" s="772"/>
      <c r="ES48" s="772"/>
      <c r="ET48" s="772"/>
      <c r="EU48" s="772"/>
      <c r="EV48" s="772"/>
      <c r="EW48" s="772"/>
      <c r="EX48" s="772"/>
      <c r="EY48" s="772"/>
      <c r="EZ48" s="772"/>
      <c r="FA48" s="772"/>
      <c r="FB48" s="772"/>
      <c r="FC48" s="772"/>
      <c r="FD48" s="772"/>
      <c r="FE48" s="772"/>
      <c r="FF48" s="772"/>
      <c r="FG48" s="772"/>
      <c r="FH48" s="772"/>
      <c r="FI48" s="772"/>
      <c r="FJ48" s="772"/>
      <c r="FK48" s="772"/>
      <c r="FL48" s="772"/>
      <c r="FM48" s="772"/>
      <c r="FN48" s="772"/>
      <c r="FO48" s="772"/>
      <c r="FP48" s="772"/>
      <c r="FQ48" s="772"/>
      <c r="FR48" s="772"/>
      <c r="FS48" s="772"/>
      <c r="FT48" s="772"/>
      <c r="FU48" s="772"/>
      <c r="FV48" s="772"/>
      <c r="FW48" s="772"/>
      <c r="FX48" s="772"/>
      <c r="FY48" s="772"/>
      <c r="FZ48" s="772"/>
      <c r="GA48" s="772"/>
      <c r="GB48" s="772"/>
      <c r="GC48" s="772"/>
      <c r="GD48" s="772"/>
      <c r="GE48" s="772"/>
      <c r="GF48" s="772"/>
      <c r="GG48" s="772"/>
      <c r="GH48" s="772"/>
      <c r="GI48" s="772"/>
      <c r="GJ48" s="772"/>
      <c r="GK48" s="772"/>
      <c r="GL48" s="772"/>
      <c r="GM48" s="772"/>
      <c r="GN48" s="772"/>
      <c r="GO48" s="772"/>
      <c r="GP48" s="772"/>
      <c r="GQ48" s="772"/>
      <c r="GR48" s="772"/>
      <c r="GS48" s="772"/>
      <c r="GT48" s="772"/>
      <c r="GU48" s="772"/>
      <c r="GV48" s="772"/>
      <c r="GW48" s="772"/>
      <c r="GX48" s="772"/>
      <c r="GY48" s="772"/>
      <c r="GZ48" s="772"/>
      <c r="HA48" s="772"/>
      <c r="HB48" s="772"/>
      <c r="HC48" s="772"/>
      <c r="HD48" s="772"/>
      <c r="HE48" s="772"/>
      <c r="HF48" s="772"/>
      <c r="HG48" s="772"/>
      <c r="HH48" s="772"/>
      <c r="HI48" s="772"/>
      <c r="HJ48" s="772"/>
      <c r="HK48" s="772"/>
      <c r="HL48" s="772"/>
      <c r="HM48" s="772"/>
      <c r="HN48" s="772"/>
      <c r="HO48" s="772"/>
      <c r="HP48" s="772"/>
      <c r="HQ48" s="772"/>
      <c r="HR48" s="772"/>
      <c r="HS48" s="772"/>
      <c r="HT48" s="772"/>
      <c r="HU48" s="772"/>
      <c r="HV48" s="772"/>
      <c r="HW48" s="772"/>
      <c r="HX48" s="772"/>
      <c r="HY48" s="772"/>
      <c r="HZ48" s="772"/>
      <c r="IA48" s="772"/>
      <c r="IB48" s="772"/>
      <c r="IC48" s="772"/>
      <c r="ID48" s="772"/>
      <c r="IE48" s="772"/>
      <c r="IF48" s="772"/>
      <c r="IG48" s="772"/>
      <c r="IH48" s="772"/>
      <c r="II48" s="772"/>
      <c r="IJ48" s="772"/>
      <c r="IK48" s="772"/>
    </row>
    <row r="49" spans="1:245" s="765" customFormat="1" ht="20.100000000000001" customHeight="1" x14ac:dyDescent="0.25">
      <c r="A49" s="772"/>
      <c r="B49" s="783"/>
      <c r="C49" s="784"/>
      <c r="D49" s="784"/>
      <c r="E49" s="784"/>
      <c r="F49" s="784"/>
      <c r="G49" s="784"/>
      <c r="H49" s="772"/>
      <c r="I49" s="1664">
        <f t="shared" si="32"/>
        <v>25</v>
      </c>
      <c r="J49" s="1668">
        <f t="shared" si="17"/>
        <v>0</v>
      </c>
      <c r="K49" s="1666">
        <f t="shared" si="42"/>
        <v>0</v>
      </c>
      <c r="L49" s="1670">
        <f t="shared" si="27"/>
        <v>0</v>
      </c>
      <c r="M49" s="1668">
        <f t="shared" si="33"/>
        <v>0</v>
      </c>
      <c r="N49" s="772"/>
      <c r="O49" s="1664">
        <f t="shared" si="34"/>
        <v>25</v>
      </c>
      <c r="P49" s="1668">
        <f t="shared" si="19"/>
        <v>0</v>
      </c>
      <c r="Q49" s="1666">
        <f t="shared" si="43"/>
        <v>0</v>
      </c>
      <c r="R49" s="1670">
        <f t="shared" si="28"/>
        <v>0</v>
      </c>
      <c r="S49" s="1668">
        <f t="shared" si="35"/>
        <v>0</v>
      </c>
      <c r="T49" s="772"/>
      <c r="U49" s="1664">
        <f t="shared" si="36"/>
        <v>25</v>
      </c>
      <c r="V49" s="1668">
        <f t="shared" si="21"/>
        <v>0</v>
      </c>
      <c r="W49" s="1666">
        <f t="shared" si="44"/>
        <v>0</v>
      </c>
      <c r="X49" s="1670">
        <f t="shared" si="29"/>
        <v>0</v>
      </c>
      <c r="Y49" s="1668">
        <f t="shared" si="37"/>
        <v>0</v>
      </c>
      <c r="Z49" s="772"/>
      <c r="AA49" s="1664">
        <f t="shared" si="38"/>
        <v>25</v>
      </c>
      <c r="AB49" s="1668">
        <f t="shared" si="23"/>
        <v>0</v>
      </c>
      <c r="AC49" s="1666">
        <f t="shared" si="45"/>
        <v>0</v>
      </c>
      <c r="AD49" s="1670">
        <f t="shared" si="30"/>
        <v>0</v>
      </c>
      <c r="AE49" s="1668">
        <f t="shared" si="39"/>
        <v>0</v>
      </c>
      <c r="AF49" s="772"/>
      <c r="AG49" s="1664">
        <f t="shared" si="40"/>
        <v>25</v>
      </c>
      <c r="AH49" s="1668">
        <f t="shared" si="25"/>
        <v>0</v>
      </c>
      <c r="AI49" s="1666">
        <f t="shared" si="46"/>
        <v>0</v>
      </c>
      <c r="AJ49" s="1670">
        <f t="shared" si="31"/>
        <v>0</v>
      </c>
      <c r="AK49" s="1668">
        <f t="shared" si="41"/>
        <v>0</v>
      </c>
      <c r="AL49" s="772"/>
      <c r="AM49" s="772"/>
      <c r="AN49" s="772"/>
      <c r="AO49" s="772"/>
      <c r="AP49" s="772"/>
      <c r="AQ49" s="772"/>
      <c r="AR49" s="772"/>
      <c r="AS49" s="772"/>
      <c r="AT49" s="772"/>
      <c r="AU49" s="772"/>
      <c r="AV49" s="772"/>
      <c r="AW49" s="772"/>
      <c r="AX49" s="772"/>
      <c r="AY49" s="772"/>
      <c r="AZ49" s="772"/>
      <c r="BA49" s="772"/>
      <c r="BB49" s="772"/>
      <c r="BC49" s="772"/>
      <c r="BD49" s="772"/>
      <c r="BE49" s="772"/>
      <c r="BF49" s="772"/>
      <c r="BG49" s="772"/>
      <c r="BH49" s="772"/>
      <c r="BI49" s="772"/>
      <c r="BJ49" s="772"/>
      <c r="BK49" s="772"/>
      <c r="BL49" s="772"/>
      <c r="BM49" s="772"/>
      <c r="BN49" s="772"/>
      <c r="BO49" s="772"/>
      <c r="BP49" s="772"/>
      <c r="BQ49" s="772"/>
      <c r="BR49" s="772"/>
      <c r="BS49" s="772"/>
      <c r="BT49" s="772"/>
      <c r="BU49" s="772"/>
      <c r="BV49" s="772"/>
      <c r="BW49" s="772"/>
      <c r="BX49" s="772"/>
      <c r="BY49" s="772"/>
      <c r="BZ49" s="772"/>
      <c r="CA49" s="772"/>
      <c r="CB49" s="772"/>
      <c r="CC49" s="772"/>
      <c r="CD49" s="772"/>
      <c r="CE49" s="772"/>
      <c r="CF49" s="772"/>
      <c r="CG49" s="772"/>
      <c r="CH49" s="772"/>
      <c r="CI49" s="772"/>
      <c r="CJ49" s="772"/>
      <c r="CK49" s="772"/>
      <c r="CL49" s="772"/>
      <c r="CM49" s="772"/>
      <c r="CN49" s="772"/>
      <c r="CO49" s="772"/>
      <c r="CP49" s="772"/>
      <c r="CQ49" s="772"/>
      <c r="CR49" s="772"/>
      <c r="CS49" s="772"/>
      <c r="CT49" s="772"/>
      <c r="CU49" s="772"/>
      <c r="CV49" s="772"/>
      <c r="CW49" s="772"/>
      <c r="CX49" s="772"/>
      <c r="CY49" s="772"/>
      <c r="CZ49" s="772"/>
      <c r="DA49" s="772"/>
      <c r="DB49" s="772"/>
      <c r="DC49" s="772"/>
      <c r="DD49" s="772"/>
      <c r="DE49" s="772"/>
      <c r="DF49" s="772"/>
      <c r="DG49" s="772"/>
      <c r="DH49" s="772"/>
      <c r="DI49" s="772"/>
      <c r="DJ49" s="772"/>
      <c r="DK49" s="772"/>
      <c r="DL49" s="772"/>
      <c r="DM49" s="772"/>
      <c r="DN49" s="772"/>
      <c r="DO49" s="772"/>
      <c r="DP49" s="772"/>
      <c r="DQ49" s="772"/>
      <c r="DR49" s="772"/>
      <c r="DS49" s="772"/>
      <c r="DT49" s="772"/>
      <c r="DU49" s="772"/>
      <c r="DV49" s="772"/>
      <c r="DW49" s="772"/>
      <c r="DX49" s="772"/>
      <c r="DY49" s="772"/>
      <c r="DZ49" s="772"/>
      <c r="EA49" s="772"/>
      <c r="EB49" s="772"/>
      <c r="EC49" s="772"/>
      <c r="ED49" s="772"/>
      <c r="EE49" s="772"/>
      <c r="EF49" s="772"/>
      <c r="EG49" s="772"/>
      <c r="EH49" s="772"/>
      <c r="EI49" s="772"/>
      <c r="EJ49" s="772"/>
      <c r="EK49" s="772"/>
      <c r="EL49" s="772"/>
      <c r="EM49" s="772"/>
      <c r="EN49" s="772"/>
      <c r="EO49" s="772"/>
      <c r="EP49" s="772"/>
      <c r="EQ49" s="772"/>
      <c r="ER49" s="772"/>
      <c r="ES49" s="772"/>
      <c r="ET49" s="772"/>
      <c r="EU49" s="772"/>
      <c r="EV49" s="772"/>
      <c r="EW49" s="772"/>
      <c r="EX49" s="772"/>
      <c r="EY49" s="772"/>
      <c r="EZ49" s="772"/>
      <c r="FA49" s="772"/>
      <c r="FB49" s="772"/>
      <c r="FC49" s="772"/>
      <c r="FD49" s="772"/>
      <c r="FE49" s="772"/>
      <c r="FF49" s="772"/>
      <c r="FG49" s="772"/>
      <c r="FH49" s="772"/>
      <c r="FI49" s="772"/>
      <c r="FJ49" s="772"/>
      <c r="FK49" s="772"/>
      <c r="FL49" s="772"/>
      <c r="FM49" s="772"/>
      <c r="FN49" s="772"/>
      <c r="FO49" s="772"/>
      <c r="FP49" s="772"/>
      <c r="FQ49" s="772"/>
      <c r="FR49" s="772"/>
      <c r="FS49" s="772"/>
      <c r="FT49" s="772"/>
      <c r="FU49" s="772"/>
      <c r="FV49" s="772"/>
      <c r="FW49" s="772"/>
      <c r="FX49" s="772"/>
      <c r="FY49" s="772"/>
      <c r="FZ49" s="772"/>
      <c r="GA49" s="772"/>
      <c r="GB49" s="772"/>
      <c r="GC49" s="772"/>
      <c r="GD49" s="772"/>
      <c r="GE49" s="772"/>
      <c r="GF49" s="772"/>
      <c r="GG49" s="772"/>
      <c r="GH49" s="772"/>
      <c r="GI49" s="772"/>
      <c r="GJ49" s="772"/>
      <c r="GK49" s="772"/>
      <c r="GL49" s="772"/>
      <c r="GM49" s="772"/>
      <c r="GN49" s="772"/>
      <c r="GO49" s="772"/>
      <c r="GP49" s="772"/>
      <c r="GQ49" s="772"/>
      <c r="GR49" s="772"/>
      <c r="GS49" s="772"/>
      <c r="GT49" s="772"/>
      <c r="GU49" s="772"/>
      <c r="GV49" s="772"/>
      <c r="GW49" s="772"/>
      <c r="GX49" s="772"/>
      <c r="GY49" s="772"/>
      <c r="GZ49" s="772"/>
      <c r="HA49" s="772"/>
      <c r="HB49" s="772"/>
      <c r="HC49" s="772"/>
      <c r="HD49" s="772"/>
      <c r="HE49" s="772"/>
      <c r="HF49" s="772"/>
      <c r="HG49" s="772"/>
      <c r="HH49" s="772"/>
      <c r="HI49" s="772"/>
      <c r="HJ49" s="772"/>
      <c r="HK49" s="772"/>
      <c r="HL49" s="772"/>
      <c r="HM49" s="772"/>
      <c r="HN49" s="772"/>
      <c r="HO49" s="772"/>
      <c r="HP49" s="772"/>
      <c r="HQ49" s="772"/>
      <c r="HR49" s="772"/>
      <c r="HS49" s="772"/>
      <c r="HT49" s="772"/>
      <c r="HU49" s="772"/>
      <c r="HV49" s="772"/>
      <c r="HW49" s="772"/>
      <c r="HX49" s="772"/>
      <c r="HY49" s="772"/>
      <c r="HZ49" s="772"/>
      <c r="IA49" s="772"/>
      <c r="IB49" s="772"/>
      <c r="IC49" s="772"/>
      <c r="ID49" s="772"/>
      <c r="IE49" s="772"/>
      <c r="IF49" s="772"/>
      <c r="IG49" s="772"/>
      <c r="IH49" s="772"/>
      <c r="II49" s="772"/>
      <c r="IJ49" s="772"/>
      <c r="IK49" s="772"/>
    </row>
    <row r="50" spans="1:245" s="765" customFormat="1" ht="20.100000000000001" customHeight="1" x14ac:dyDescent="0.25">
      <c r="A50" s="772"/>
      <c r="B50" s="783"/>
      <c r="C50" s="784"/>
      <c r="D50" s="784"/>
      <c r="E50" s="784"/>
      <c r="F50" s="784"/>
      <c r="G50" s="784"/>
      <c r="H50" s="772"/>
      <c r="I50" s="1664">
        <f t="shared" si="32"/>
        <v>26</v>
      </c>
      <c r="J50" s="1668">
        <f t="shared" si="17"/>
        <v>0</v>
      </c>
      <c r="K50" s="1666">
        <f t="shared" si="42"/>
        <v>0</v>
      </c>
      <c r="L50" s="1670">
        <f t="shared" si="27"/>
        <v>0</v>
      </c>
      <c r="M50" s="1668">
        <f t="shared" si="33"/>
        <v>0</v>
      </c>
      <c r="N50" s="772"/>
      <c r="O50" s="1664">
        <f t="shared" si="34"/>
        <v>26</v>
      </c>
      <c r="P50" s="1668">
        <f t="shared" si="19"/>
        <v>0</v>
      </c>
      <c r="Q50" s="1666">
        <f t="shared" si="43"/>
        <v>0</v>
      </c>
      <c r="R50" s="1670">
        <f t="shared" si="28"/>
        <v>0</v>
      </c>
      <c r="S50" s="1668">
        <f t="shared" si="35"/>
        <v>0</v>
      </c>
      <c r="T50" s="772"/>
      <c r="U50" s="1664">
        <f t="shared" si="36"/>
        <v>26</v>
      </c>
      <c r="V50" s="1668">
        <f t="shared" si="21"/>
        <v>0</v>
      </c>
      <c r="W50" s="1666">
        <f t="shared" si="44"/>
        <v>0</v>
      </c>
      <c r="X50" s="1670">
        <f t="shared" si="29"/>
        <v>0</v>
      </c>
      <c r="Y50" s="1668">
        <f t="shared" si="37"/>
        <v>0</v>
      </c>
      <c r="Z50" s="772"/>
      <c r="AA50" s="1664">
        <f t="shared" si="38"/>
        <v>26</v>
      </c>
      <c r="AB50" s="1668">
        <f t="shared" si="23"/>
        <v>0</v>
      </c>
      <c r="AC50" s="1666">
        <f t="shared" si="45"/>
        <v>0</v>
      </c>
      <c r="AD50" s="1670">
        <f t="shared" si="30"/>
        <v>0</v>
      </c>
      <c r="AE50" s="1668">
        <f t="shared" si="39"/>
        <v>0</v>
      </c>
      <c r="AF50" s="772"/>
      <c r="AG50" s="1664">
        <f t="shared" si="40"/>
        <v>26</v>
      </c>
      <c r="AH50" s="1668">
        <f t="shared" si="25"/>
        <v>0</v>
      </c>
      <c r="AI50" s="1666">
        <f t="shared" si="46"/>
        <v>0</v>
      </c>
      <c r="AJ50" s="1670">
        <f t="shared" si="31"/>
        <v>0</v>
      </c>
      <c r="AK50" s="1668">
        <f t="shared" si="41"/>
        <v>0</v>
      </c>
      <c r="AL50" s="772"/>
      <c r="AM50" s="772"/>
      <c r="AN50" s="772"/>
      <c r="AO50" s="772"/>
      <c r="AP50" s="772"/>
      <c r="AQ50" s="772"/>
      <c r="AR50" s="772"/>
      <c r="AS50" s="772"/>
      <c r="AT50" s="772"/>
      <c r="AU50" s="772"/>
      <c r="AV50" s="772"/>
      <c r="AW50" s="772"/>
      <c r="AX50" s="772"/>
      <c r="AY50" s="772"/>
      <c r="AZ50" s="772"/>
      <c r="BA50" s="772"/>
      <c r="BB50" s="772"/>
      <c r="BC50" s="772"/>
      <c r="BD50" s="772"/>
      <c r="BE50" s="772"/>
      <c r="BF50" s="772"/>
      <c r="BG50" s="772"/>
      <c r="BH50" s="772"/>
      <c r="BI50" s="772"/>
      <c r="BJ50" s="772"/>
      <c r="BK50" s="772"/>
      <c r="BL50" s="772"/>
      <c r="BM50" s="772"/>
      <c r="BN50" s="772"/>
      <c r="BO50" s="772"/>
      <c r="BP50" s="772"/>
      <c r="BQ50" s="772"/>
      <c r="BR50" s="772"/>
      <c r="BS50" s="772"/>
      <c r="BT50" s="772"/>
      <c r="BU50" s="772"/>
      <c r="BV50" s="772"/>
      <c r="BW50" s="772"/>
      <c r="BX50" s="772"/>
      <c r="BY50" s="772"/>
      <c r="BZ50" s="772"/>
      <c r="CA50" s="772"/>
      <c r="CB50" s="772"/>
      <c r="CC50" s="772"/>
      <c r="CD50" s="772"/>
      <c r="CE50" s="772"/>
      <c r="CF50" s="772"/>
      <c r="CG50" s="772"/>
      <c r="CH50" s="772"/>
      <c r="CI50" s="772"/>
      <c r="CJ50" s="772"/>
      <c r="CK50" s="772"/>
      <c r="CL50" s="772"/>
      <c r="CM50" s="772"/>
      <c r="CN50" s="772"/>
      <c r="CO50" s="772"/>
      <c r="CP50" s="772"/>
      <c r="CQ50" s="772"/>
      <c r="CR50" s="772"/>
      <c r="CS50" s="772"/>
      <c r="CT50" s="772"/>
      <c r="CU50" s="772"/>
      <c r="CV50" s="772"/>
      <c r="CW50" s="772"/>
      <c r="CX50" s="772"/>
      <c r="CY50" s="772"/>
      <c r="CZ50" s="772"/>
      <c r="DA50" s="772"/>
      <c r="DB50" s="772"/>
      <c r="DC50" s="772"/>
      <c r="DD50" s="772"/>
      <c r="DE50" s="772"/>
      <c r="DF50" s="772"/>
      <c r="DG50" s="772"/>
      <c r="DH50" s="772"/>
      <c r="DI50" s="772"/>
      <c r="DJ50" s="772"/>
      <c r="DK50" s="772"/>
      <c r="DL50" s="772"/>
      <c r="DM50" s="772"/>
      <c r="DN50" s="772"/>
      <c r="DO50" s="772"/>
      <c r="DP50" s="772"/>
      <c r="DQ50" s="772"/>
      <c r="DR50" s="772"/>
      <c r="DS50" s="772"/>
      <c r="DT50" s="772"/>
      <c r="DU50" s="772"/>
      <c r="DV50" s="772"/>
      <c r="DW50" s="772"/>
      <c r="DX50" s="772"/>
      <c r="DY50" s="772"/>
      <c r="DZ50" s="772"/>
      <c r="EA50" s="772"/>
      <c r="EB50" s="772"/>
      <c r="EC50" s="772"/>
      <c r="ED50" s="772"/>
      <c r="EE50" s="772"/>
      <c r="EF50" s="772"/>
      <c r="EG50" s="772"/>
      <c r="EH50" s="772"/>
      <c r="EI50" s="772"/>
      <c r="EJ50" s="772"/>
      <c r="EK50" s="772"/>
      <c r="EL50" s="772"/>
      <c r="EM50" s="772"/>
      <c r="EN50" s="772"/>
      <c r="EO50" s="772"/>
      <c r="EP50" s="772"/>
      <c r="EQ50" s="772"/>
      <c r="ER50" s="772"/>
      <c r="ES50" s="772"/>
      <c r="ET50" s="772"/>
      <c r="EU50" s="772"/>
      <c r="EV50" s="772"/>
      <c r="EW50" s="772"/>
      <c r="EX50" s="772"/>
      <c r="EY50" s="772"/>
      <c r="EZ50" s="772"/>
      <c r="FA50" s="772"/>
      <c r="FB50" s="772"/>
      <c r="FC50" s="772"/>
      <c r="FD50" s="772"/>
      <c r="FE50" s="772"/>
      <c r="FF50" s="772"/>
      <c r="FG50" s="772"/>
      <c r="FH50" s="772"/>
      <c r="FI50" s="772"/>
      <c r="FJ50" s="772"/>
      <c r="FK50" s="772"/>
      <c r="FL50" s="772"/>
      <c r="FM50" s="772"/>
      <c r="FN50" s="772"/>
      <c r="FO50" s="772"/>
      <c r="FP50" s="772"/>
      <c r="FQ50" s="772"/>
      <c r="FR50" s="772"/>
      <c r="FS50" s="772"/>
      <c r="FT50" s="772"/>
      <c r="FU50" s="772"/>
      <c r="FV50" s="772"/>
      <c r="FW50" s="772"/>
      <c r="FX50" s="772"/>
      <c r="FY50" s="772"/>
      <c r="FZ50" s="772"/>
      <c r="GA50" s="772"/>
      <c r="GB50" s="772"/>
      <c r="GC50" s="772"/>
      <c r="GD50" s="772"/>
      <c r="GE50" s="772"/>
      <c r="GF50" s="772"/>
      <c r="GG50" s="772"/>
      <c r="GH50" s="772"/>
      <c r="GI50" s="772"/>
      <c r="GJ50" s="772"/>
      <c r="GK50" s="772"/>
      <c r="GL50" s="772"/>
      <c r="GM50" s="772"/>
      <c r="GN50" s="772"/>
      <c r="GO50" s="772"/>
      <c r="GP50" s="772"/>
      <c r="GQ50" s="772"/>
      <c r="GR50" s="772"/>
      <c r="GS50" s="772"/>
      <c r="GT50" s="772"/>
      <c r="GU50" s="772"/>
      <c r="GV50" s="772"/>
      <c r="GW50" s="772"/>
      <c r="GX50" s="772"/>
      <c r="GY50" s="772"/>
      <c r="GZ50" s="772"/>
      <c r="HA50" s="772"/>
      <c r="HB50" s="772"/>
      <c r="HC50" s="772"/>
      <c r="HD50" s="772"/>
      <c r="HE50" s="772"/>
      <c r="HF50" s="772"/>
      <c r="HG50" s="772"/>
      <c r="HH50" s="772"/>
      <c r="HI50" s="772"/>
      <c r="HJ50" s="772"/>
      <c r="HK50" s="772"/>
      <c r="HL50" s="772"/>
      <c r="HM50" s="772"/>
      <c r="HN50" s="772"/>
      <c r="HO50" s="772"/>
      <c r="HP50" s="772"/>
      <c r="HQ50" s="772"/>
      <c r="HR50" s="772"/>
      <c r="HS50" s="772"/>
      <c r="HT50" s="772"/>
      <c r="HU50" s="772"/>
      <c r="HV50" s="772"/>
      <c r="HW50" s="772"/>
      <c r="HX50" s="772"/>
      <c r="HY50" s="772"/>
      <c r="HZ50" s="772"/>
      <c r="IA50" s="772"/>
      <c r="IB50" s="772"/>
      <c r="IC50" s="772"/>
      <c r="ID50" s="772"/>
      <c r="IE50" s="772"/>
      <c r="IF50" s="772"/>
      <c r="IG50" s="772"/>
      <c r="IH50" s="772"/>
      <c r="II50" s="772"/>
      <c r="IJ50" s="772"/>
      <c r="IK50" s="772"/>
    </row>
    <row r="51" spans="1:245" s="765" customFormat="1" ht="20.100000000000001" customHeight="1" x14ac:dyDescent="0.25">
      <c r="A51" s="772"/>
      <c r="B51" s="783"/>
      <c r="C51" s="784"/>
      <c r="D51" s="784"/>
      <c r="E51" s="784"/>
      <c r="F51" s="784"/>
      <c r="G51" s="784"/>
      <c r="H51" s="772"/>
      <c r="I51" s="1664">
        <f t="shared" si="32"/>
        <v>27</v>
      </c>
      <c r="J51" s="1668">
        <f t="shared" si="17"/>
        <v>0</v>
      </c>
      <c r="K51" s="1666">
        <f t="shared" si="42"/>
        <v>0</v>
      </c>
      <c r="L51" s="1670">
        <f t="shared" si="27"/>
        <v>0</v>
      </c>
      <c r="M51" s="1668">
        <f t="shared" si="33"/>
        <v>0</v>
      </c>
      <c r="N51" s="772"/>
      <c r="O51" s="1664">
        <f t="shared" si="34"/>
        <v>27</v>
      </c>
      <c r="P51" s="1668">
        <f t="shared" si="19"/>
        <v>0</v>
      </c>
      <c r="Q51" s="1666">
        <f t="shared" si="43"/>
        <v>0</v>
      </c>
      <c r="R51" s="1670">
        <f t="shared" si="28"/>
        <v>0</v>
      </c>
      <c r="S51" s="1668">
        <f t="shared" si="35"/>
        <v>0</v>
      </c>
      <c r="T51" s="772"/>
      <c r="U51" s="1664">
        <f t="shared" si="36"/>
        <v>27</v>
      </c>
      <c r="V51" s="1668">
        <f t="shared" si="21"/>
        <v>0</v>
      </c>
      <c r="W51" s="1666">
        <f t="shared" si="44"/>
        <v>0</v>
      </c>
      <c r="X51" s="1670">
        <f t="shared" si="29"/>
        <v>0</v>
      </c>
      <c r="Y51" s="1668">
        <f t="shared" si="37"/>
        <v>0</v>
      </c>
      <c r="Z51" s="772"/>
      <c r="AA51" s="1664">
        <f t="shared" si="38"/>
        <v>27</v>
      </c>
      <c r="AB51" s="1668">
        <f t="shared" si="23"/>
        <v>0</v>
      </c>
      <c r="AC51" s="1666">
        <f t="shared" si="45"/>
        <v>0</v>
      </c>
      <c r="AD51" s="1670">
        <f t="shared" si="30"/>
        <v>0</v>
      </c>
      <c r="AE51" s="1668">
        <f t="shared" si="39"/>
        <v>0</v>
      </c>
      <c r="AF51" s="772"/>
      <c r="AG51" s="1664">
        <f t="shared" si="40"/>
        <v>27</v>
      </c>
      <c r="AH51" s="1668">
        <f t="shared" si="25"/>
        <v>0</v>
      </c>
      <c r="AI51" s="1666">
        <f t="shared" si="46"/>
        <v>0</v>
      </c>
      <c r="AJ51" s="1670">
        <f t="shared" si="31"/>
        <v>0</v>
      </c>
      <c r="AK51" s="1668">
        <f t="shared" si="41"/>
        <v>0</v>
      </c>
      <c r="AL51" s="772"/>
      <c r="AM51" s="772"/>
      <c r="AN51" s="772"/>
      <c r="AO51" s="772"/>
      <c r="AP51" s="772"/>
      <c r="AQ51" s="772"/>
      <c r="AR51" s="772"/>
      <c r="AS51" s="772"/>
      <c r="AT51" s="772"/>
      <c r="AU51" s="772"/>
      <c r="AV51" s="772"/>
      <c r="AW51" s="772"/>
      <c r="AX51" s="772"/>
      <c r="AY51" s="772"/>
      <c r="AZ51" s="772"/>
      <c r="BA51" s="772"/>
      <c r="BB51" s="772"/>
      <c r="BC51" s="772"/>
      <c r="BD51" s="772"/>
      <c r="BE51" s="772"/>
      <c r="BF51" s="772"/>
      <c r="BG51" s="772"/>
      <c r="BH51" s="772"/>
      <c r="BI51" s="772"/>
      <c r="BJ51" s="772"/>
      <c r="BK51" s="772"/>
      <c r="BL51" s="772"/>
      <c r="BM51" s="772"/>
      <c r="BN51" s="772"/>
      <c r="BO51" s="772"/>
      <c r="BP51" s="772"/>
      <c r="BQ51" s="772"/>
      <c r="BR51" s="772"/>
      <c r="BS51" s="772"/>
      <c r="BT51" s="772"/>
      <c r="BU51" s="772"/>
      <c r="BV51" s="772"/>
      <c r="BW51" s="772"/>
      <c r="BX51" s="772"/>
      <c r="BY51" s="772"/>
      <c r="BZ51" s="772"/>
      <c r="CA51" s="772"/>
      <c r="CB51" s="772"/>
      <c r="CC51" s="772"/>
      <c r="CD51" s="772"/>
      <c r="CE51" s="772"/>
      <c r="CF51" s="772"/>
      <c r="CG51" s="772"/>
      <c r="CH51" s="772"/>
      <c r="CI51" s="772"/>
      <c r="CJ51" s="772"/>
      <c r="CK51" s="772"/>
      <c r="CL51" s="772"/>
      <c r="CM51" s="772"/>
      <c r="CN51" s="772"/>
      <c r="CO51" s="772"/>
      <c r="CP51" s="772"/>
      <c r="CQ51" s="772"/>
      <c r="CR51" s="772"/>
      <c r="CS51" s="772"/>
      <c r="CT51" s="772"/>
      <c r="CU51" s="772"/>
      <c r="CV51" s="772"/>
      <c r="CW51" s="772"/>
      <c r="CX51" s="772"/>
      <c r="CY51" s="772"/>
      <c r="CZ51" s="772"/>
      <c r="DA51" s="772"/>
      <c r="DB51" s="772"/>
      <c r="DC51" s="772"/>
      <c r="DD51" s="772"/>
      <c r="DE51" s="772"/>
      <c r="DF51" s="772"/>
      <c r="DG51" s="772"/>
      <c r="DH51" s="772"/>
      <c r="DI51" s="772"/>
      <c r="DJ51" s="772"/>
      <c r="DK51" s="772"/>
      <c r="DL51" s="772"/>
      <c r="DM51" s="772"/>
      <c r="DN51" s="772"/>
      <c r="DO51" s="772"/>
      <c r="DP51" s="772"/>
      <c r="DQ51" s="772"/>
      <c r="DR51" s="772"/>
      <c r="DS51" s="772"/>
      <c r="DT51" s="772"/>
      <c r="DU51" s="772"/>
      <c r="DV51" s="772"/>
      <c r="DW51" s="772"/>
      <c r="DX51" s="772"/>
      <c r="DY51" s="772"/>
      <c r="DZ51" s="772"/>
      <c r="EA51" s="772"/>
      <c r="EB51" s="772"/>
      <c r="EC51" s="772"/>
      <c r="ED51" s="772"/>
      <c r="EE51" s="772"/>
      <c r="EF51" s="772"/>
      <c r="EG51" s="772"/>
      <c r="EH51" s="772"/>
      <c r="EI51" s="772"/>
      <c r="EJ51" s="772"/>
      <c r="EK51" s="772"/>
      <c r="EL51" s="772"/>
      <c r="EM51" s="772"/>
      <c r="EN51" s="772"/>
      <c r="EO51" s="772"/>
      <c r="EP51" s="772"/>
      <c r="EQ51" s="772"/>
      <c r="ER51" s="772"/>
      <c r="ES51" s="772"/>
      <c r="ET51" s="772"/>
      <c r="EU51" s="772"/>
      <c r="EV51" s="772"/>
      <c r="EW51" s="772"/>
      <c r="EX51" s="772"/>
      <c r="EY51" s="772"/>
      <c r="EZ51" s="772"/>
      <c r="FA51" s="772"/>
      <c r="FB51" s="772"/>
      <c r="FC51" s="772"/>
      <c r="FD51" s="772"/>
      <c r="FE51" s="772"/>
      <c r="FF51" s="772"/>
      <c r="FG51" s="772"/>
      <c r="FH51" s="772"/>
      <c r="FI51" s="772"/>
      <c r="FJ51" s="772"/>
      <c r="FK51" s="772"/>
      <c r="FL51" s="772"/>
      <c r="FM51" s="772"/>
      <c r="FN51" s="772"/>
      <c r="FO51" s="772"/>
      <c r="FP51" s="772"/>
      <c r="FQ51" s="772"/>
      <c r="FR51" s="772"/>
      <c r="FS51" s="772"/>
      <c r="FT51" s="772"/>
      <c r="FU51" s="772"/>
      <c r="FV51" s="772"/>
      <c r="FW51" s="772"/>
      <c r="FX51" s="772"/>
      <c r="FY51" s="772"/>
      <c r="FZ51" s="772"/>
      <c r="GA51" s="772"/>
      <c r="GB51" s="772"/>
      <c r="GC51" s="772"/>
      <c r="GD51" s="772"/>
      <c r="GE51" s="772"/>
      <c r="GF51" s="772"/>
      <c r="GG51" s="772"/>
      <c r="GH51" s="772"/>
      <c r="GI51" s="772"/>
      <c r="GJ51" s="772"/>
      <c r="GK51" s="772"/>
      <c r="GL51" s="772"/>
      <c r="GM51" s="772"/>
      <c r="GN51" s="772"/>
      <c r="GO51" s="772"/>
      <c r="GP51" s="772"/>
      <c r="GQ51" s="772"/>
      <c r="GR51" s="772"/>
      <c r="GS51" s="772"/>
      <c r="GT51" s="772"/>
      <c r="GU51" s="772"/>
      <c r="GV51" s="772"/>
      <c r="GW51" s="772"/>
      <c r="GX51" s="772"/>
      <c r="GY51" s="772"/>
      <c r="GZ51" s="772"/>
      <c r="HA51" s="772"/>
      <c r="HB51" s="772"/>
      <c r="HC51" s="772"/>
      <c r="HD51" s="772"/>
      <c r="HE51" s="772"/>
      <c r="HF51" s="772"/>
      <c r="HG51" s="772"/>
      <c r="HH51" s="772"/>
      <c r="HI51" s="772"/>
      <c r="HJ51" s="772"/>
      <c r="HK51" s="772"/>
      <c r="HL51" s="772"/>
      <c r="HM51" s="772"/>
      <c r="HN51" s="772"/>
      <c r="HO51" s="772"/>
      <c r="HP51" s="772"/>
      <c r="HQ51" s="772"/>
      <c r="HR51" s="772"/>
      <c r="HS51" s="772"/>
      <c r="HT51" s="772"/>
      <c r="HU51" s="772"/>
      <c r="HV51" s="772"/>
      <c r="HW51" s="772"/>
      <c r="HX51" s="772"/>
      <c r="HY51" s="772"/>
      <c r="HZ51" s="772"/>
      <c r="IA51" s="772"/>
      <c r="IB51" s="772"/>
      <c r="IC51" s="772"/>
      <c r="ID51" s="772"/>
      <c r="IE51" s="772"/>
      <c r="IF51" s="772"/>
      <c r="IG51" s="772"/>
      <c r="IH51" s="772"/>
      <c r="II51" s="772"/>
      <c r="IJ51" s="772"/>
      <c r="IK51" s="772"/>
    </row>
    <row r="52" spans="1:245" s="765" customFormat="1" ht="20.100000000000001" customHeight="1" x14ac:dyDescent="0.25">
      <c r="A52" s="772"/>
      <c r="B52" s="783"/>
      <c r="C52" s="784"/>
      <c r="D52" s="784"/>
      <c r="E52" s="784"/>
      <c r="F52" s="784"/>
      <c r="G52" s="784"/>
      <c r="H52" s="772"/>
      <c r="I52" s="1664">
        <f t="shared" si="32"/>
        <v>28</v>
      </c>
      <c r="J52" s="1668">
        <f t="shared" si="17"/>
        <v>0</v>
      </c>
      <c r="K52" s="1666">
        <f t="shared" si="42"/>
        <v>0</v>
      </c>
      <c r="L52" s="1670">
        <f t="shared" si="27"/>
        <v>0</v>
      </c>
      <c r="M52" s="1668">
        <f t="shared" si="33"/>
        <v>0</v>
      </c>
      <c r="N52" s="772"/>
      <c r="O52" s="1664">
        <f t="shared" si="34"/>
        <v>28</v>
      </c>
      <c r="P52" s="1668">
        <f t="shared" si="19"/>
        <v>0</v>
      </c>
      <c r="Q52" s="1666">
        <f t="shared" si="43"/>
        <v>0</v>
      </c>
      <c r="R52" s="1670">
        <f t="shared" si="28"/>
        <v>0</v>
      </c>
      <c r="S52" s="1668">
        <f t="shared" si="35"/>
        <v>0</v>
      </c>
      <c r="T52" s="772"/>
      <c r="U52" s="1664">
        <f t="shared" si="36"/>
        <v>28</v>
      </c>
      <c r="V52" s="1668">
        <f t="shared" si="21"/>
        <v>0</v>
      </c>
      <c r="W52" s="1666">
        <f t="shared" si="44"/>
        <v>0</v>
      </c>
      <c r="X52" s="1670">
        <f t="shared" si="29"/>
        <v>0</v>
      </c>
      <c r="Y52" s="1668">
        <f t="shared" si="37"/>
        <v>0</v>
      </c>
      <c r="Z52" s="772"/>
      <c r="AA52" s="1664">
        <f t="shared" si="38"/>
        <v>28</v>
      </c>
      <c r="AB52" s="1668">
        <f t="shared" si="23"/>
        <v>0</v>
      </c>
      <c r="AC52" s="1666">
        <f t="shared" si="45"/>
        <v>0</v>
      </c>
      <c r="AD52" s="1670">
        <f t="shared" si="30"/>
        <v>0</v>
      </c>
      <c r="AE52" s="1668">
        <f t="shared" si="39"/>
        <v>0</v>
      </c>
      <c r="AF52" s="772"/>
      <c r="AG52" s="1664">
        <f t="shared" si="40"/>
        <v>28</v>
      </c>
      <c r="AH52" s="1668">
        <f t="shared" si="25"/>
        <v>0</v>
      </c>
      <c r="AI52" s="1666">
        <f t="shared" si="46"/>
        <v>0</v>
      </c>
      <c r="AJ52" s="1670">
        <f t="shared" si="31"/>
        <v>0</v>
      </c>
      <c r="AK52" s="1668">
        <f t="shared" si="41"/>
        <v>0</v>
      </c>
      <c r="AL52" s="772"/>
      <c r="AM52" s="772"/>
      <c r="AN52" s="772"/>
      <c r="AO52" s="772"/>
      <c r="AP52" s="772"/>
      <c r="AQ52" s="772"/>
      <c r="AR52" s="772"/>
      <c r="AS52" s="772"/>
      <c r="AT52" s="772"/>
      <c r="AU52" s="772"/>
      <c r="AV52" s="772"/>
      <c r="AW52" s="772"/>
      <c r="AX52" s="772"/>
      <c r="AY52" s="772"/>
      <c r="AZ52" s="772"/>
      <c r="BA52" s="772"/>
      <c r="BB52" s="772"/>
      <c r="BC52" s="772"/>
      <c r="BD52" s="772"/>
      <c r="BE52" s="772"/>
      <c r="BF52" s="772"/>
      <c r="BG52" s="772"/>
      <c r="BH52" s="772"/>
      <c r="BI52" s="772"/>
      <c r="BJ52" s="772"/>
      <c r="BK52" s="772"/>
      <c r="BL52" s="772"/>
      <c r="BM52" s="772"/>
      <c r="BN52" s="772"/>
      <c r="BO52" s="772"/>
      <c r="BP52" s="772"/>
      <c r="BQ52" s="772"/>
      <c r="BR52" s="772"/>
      <c r="BS52" s="772"/>
      <c r="BT52" s="772"/>
      <c r="BU52" s="772"/>
      <c r="BV52" s="772"/>
      <c r="BW52" s="772"/>
      <c r="BX52" s="772"/>
      <c r="BY52" s="772"/>
      <c r="BZ52" s="772"/>
      <c r="CA52" s="772"/>
      <c r="CB52" s="772"/>
      <c r="CC52" s="772"/>
      <c r="CD52" s="772"/>
      <c r="CE52" s="772"/>
      <c r="CF52" s="772"/>
      <c r="CG52" s="772"/>
      <c r="CH52" s="772"/>
      <c r="CI52" s="772"/>
      <c r="CJ52" s="772"/>
      <c r="CK52" s="772"/>
      <c r="CL52" s="772"/>
      <c r="CM52" s="772"/>
      <c r="CN52" s="772"/>
      <c r="CO52" s="772"/>
      <c r="CP52" s="772"/>
      <c r="CQ52" s="772"/>
      <c r="CR52" s="772"/>
      <c r="CS52" s="772"/>
      <c r="CT52" s="772"/>
      <c r="CU52" s="772"/>
      <c r="CV52" s="772"/>
      <c r="CW52" s="772"/>
      <c r="CX52" s="772"/>
      <c r="CY52" s="772"/>
      <c r="CZ52" s="772"/>
      <c r="DA52" s="772"/>
      <c r="DB52" s="772"/>
      <c r="DC52" s="772"/>
      <c r="DD52" s="772"/>
      <c r="DE52" s="772"/>
      <c r="DF52" s="772"/>
      <c r="DG52" s="772"/>
      <c r="DH52" s="772"/>
      <c r="DI52" s="772"/>
      <c r="DJ52" s="772"/>
      <c r="DK52" s="772"/>
      <c r="DL52" s="772"/>
      <c r="DM52" s="772"/>
      <c r="DN52" s="772"/>
      <c r="DO52" s="772"/>
      <c r="DP52" s="772"/>
      <c r="DQ52" s="772"/>
      <c r="DR52" s="772"/>
      <c r="DS52" s="772"/>
      <c r="DT52" s="772"/>
      <c r="DU52" s="772"/>
      <c r="DV52" s="772"/>
      <c r="DW52" s="772"/>
      <c r="DX52" s="772"/>
      <c r="DY52" s="772"/>
      <c r="DZ52" s="772"/>
      <c r="EA52" s="772"/>
      <c r="EB52" s="772"/>
      <c r="EC52" s="772"/>
      <c r="ED52" s="772"/>
      <c r="EE52" s="772"/>
      <c r="EF52" s="772"/>
      <c r="EG52" s="772"/>
      <c r="EH52" s="772"/>
      <c r="EI52" s="772"/>
      <c r="EJ52" s="772"/>
      <c r="EK52" s="772"/>
      <c r="EL52" s="772"/>
      <c r="EM52" s="772"/>
      <c r="EN52" s="772"/>
      <c r="EO52" s="772"/>
      <c r="EP52" s="772"/>
      <c r="EQ52" s="772"/>
      <c r="ER52" s="772"/>
      <c r="ES52" s="772"/>
      <c r="ET52" s="772"/>
      <c r="EU52" s="772"/>
      <c r="EV52" s="772"/>
      <c r="EW52" s="772"/>
      <c r="EX52" s="772"/>
      <c r="EY52" s="772"/>
      <c r="EZ52" s="772"/>
      <c r="FA52" s="772"/>
      <c r="FB52" s="772"/>
      <c r="FC52" s="772"/>
      <c r="FD52" s="772"/>
      <c r="FE52" s="772"/>
      <c r="FF52" s="772"/>
      <c r="FG52" s="772"/>
      <c r="FH52" s="772"/>
      <c r="FI52" s="772"/>
      <c r="FJ52" s="772"/>
      <c r="FK52" s="772"/>
      <c r="FL52" s="772"/>
      <c r="FM52" s="772"/>
      <c r="FN52" s="772"/>
      <c r="FO52" s="772"/>
      <c r="FP52" s="772"/>
      <c r="FQ52" s="772"/>
      <c r="FR52" s="772"/>
      <c r="FS52" s="772"/>
      <c r="FT52" s="772"/>
      <c r="FU52" s="772"/>
      <c r="FV52" s="772"/>
      <c r="FW52" s="772"/>
      <c r="FX52" s="772"/>
      <c r="FY52" s="772"/>
      <c r="FZ52" s="772"/>
      <c r="GA52" s="772"/>
      <c r="GB52" s="772"/>
      <c r="GC52" s="772"/>
      <c r="GD52" s="772"/>
      <c r="GE52" s="772"/>
      <c r="GF52" s="772"/>
      <c r="GG52" s="772"/>
      <c r="GH52" s="772"/>
      <c r="GI52" s="772"/>
      <c r="GJ52" s="772"/>
      <c r="GK52" s="772"/>
      <c r="GL52" s="772"/>
      <c r="GM52" s="772"/>
      <c r="GN52" s="772"/>
      <c r="GO52" s="772"/>
      <c r="GP52" s="772"/>
      <c r="GQ52" s="772"/>
      <c r="GR52" s="772"/>
      <c r="GS52" s="772"/>
      <c r="GT52" s="772"/>
      <c r="GU52" s="772"/>
      <c r="GV52" s="772"/>
      <c r="GW52" s="772"/>
      <c r="GX52" s="772"/>
      <c r="GY52" s="772"/>
      <c r="GZ52" s="772"/>
      <c r="HA52" s="772"/>
      <c r="HB52" s="772"/>
      <c r="HC52" s="772"/>
      <c r="HD52" s="772"/>
      <c r="HE52" s="772"/>
      <c r="HF52" s="772"/>
      <c r="HG52" s="772"/>
      <c r="HH52" s="772"/>
      <c r="HI52" s="772"/>
      <c r="HJ52" s="772"/>
      <c r="HK52" s="772"/>
      <c r="HL52" s="772"/>
      <c r="HM52" s="772"/>
      <c r="HN52" s="772"/>
      <c r="HO52" s="772"/>
      <c r="HP52" s="772"/>
      <c r="HQ52" s="772"/>
      <c r="HR52" s="772"/>
      <c r="HS52" s="772"/>
      <c r="HT52" s="772"/>
      <c r="HU52" s="772"/>
      <c r="HV52" s="772"/>
      <c r="HW52" s="772"/>
      <c r="HX52" s="772"/>
      <c r="HY52" s="772"/>
      <c r="HZ52" s="772"/>
      <c r="IA52" s="772"/>
      <c r="IB52" s="772"/>
      <c r="IC52" s="772"/>
      <c r="ID52" s="772"/>
      <c r="IE52" s="772"/>
      <c r="IF52" s="772"/>
      <c r="IG52" s="772"/>
      <c r="IH52" s="772"/>
      <c r="II52" s="772"/>
      <c r="IJ52" s="772"/>
      <c r="IK52" s="772"/>
    </row>
    <row r="53" spans="1:245" s="765" customFormat="1" ht="20.100000000000001" customHeight="1" x14ac:dyDescent="0.25">
      <c r="A53" s="772"/>
      <c r="B53" s="783"/>
      <c r="C53" s="784"/>
      <c r="D53" s="784"/>
      <c r="E53" s="784"/>
      <c r="F53" s="784"/>
      <c r="G53" s="784"/>
      <c r="H53" s="772"/>
      <c r="I53" s="1664">
        <f t="shared" si="32"/>
        <v>29</v>
      </c>
      <c r="J53" s="1668">
        <f t="shared" si="17"/>
        <v>0</v>
      </c>
      <c r="K53" s="1666">
        <f t="shared" si="42"/>
        <v>0</v>
      </c>
      <c r="L53" s="1670">
        <f t="shared" si="27"/>
        <v>0</v>
      </c>
      <c r="M53" s="1668">
        <f t="shared" si="33"/>
        <v>0</v>
      </c>
      <c r="N53" s="772"/>
      <c r="O53" s="1664">
        <f t="shared" si="34"/>
        <v>29</v>
      </c>
      <c r="P53" s="1668">
        <f t="shared" si="19"/>
        <v>0</v>
      </c>
      <c r="Q53" s="1666">
        <f t="shared" si="43"/>
        <v>0</v>
      </c>
      <c r="R53" s="1670">
        <f t="shared" si="28"/>
        <v>0</v>
      </c>
      <c r="S53" s="1668">
        <f t="shared" si="35"/>
        <v>0</v>
      </c>
      <c r="T53" s="772"/>
      <c r="U53" s="1664">
        <f t="shared" si="36"/>
        <v>29</v>
      </c>
      <c r="V53" s="1668">
        <f t="shared" si="21"/>
        <v>0</v>
      </c>
      <c r="W53" s="1666">
        <f t="shared" si="44"/>
        <v>0</v>
      </c>
      <c r="X53" s="1670">
        <f t="shared" si="29"/>
        <v>0</v>
      </c>
      <c r="Y53" s="1668">
        <f t="shared" si="37"/>
        <v>0</v>
      </c>
      <c r="Z53" s="772"/>
      <c r="AA53" s="1664">
        <f t="shared" si="38"/>
        <v>29</v>
      </c>
      <c r="AB53" s="1668">
        <f t="shared" si="23"/>
        <v>0</v>
      </c>
      <c r="AC53" s="1666">
        <f t="shared" si="45"/>
        <v>0</v>
      </c>
      <c r="AD53" s="1670">
        <f t="shared" si="30"/>
        <v>0</v>
      </c>
      <c r="AE53" s="1668">
        <f t="shared" si="39"/>
        <v>0</v>
      </c>
      <c r="AF53" s="772"/>
      <c r="AG53" s="1664">
        <f t="shared" si="40"/>
        <v>29</v>
      </c>
      <c r="AH53" s="1668">
        <f t="shared" si="25"/>
        <v>0</v>
      </c>
      <c r="AI53" s="1666">
        <f t="shared" si="46"/>
        <v>0</v>
      </c>
      <c r="AJ53" s="1670">
        <f t="shared" si="31"/>
        <v>0</v>
      </c>
      <c r="AK53" s="1668">
        <f t="shared" si="41"/>
        <v>0</v>
      </c>
      <c r="AL53" s="772"/>
      <c r="AM53" s="772"/>
      <c r="AN53" s="772"/>
      <c r="AO53" s="772"/>
      <c r="AP53" s="772"/>
      <c r="AQ53" s="772"/>
      <c r="AR53" s="772"/>
      <c r="AS53" s="772"/>
      <c r="AT53" s="772"/>
      <c r="AU53" s="772"/>
      <c r="AV53" s="772"/>
      <c r="AW53" s="772"/>
      <c r="AX53" s="772"/>
      <c r="AY53" s="772"/>
      <c r="AZ53" s="772"/>
      <c r="BA53" s="772"/>
      <c r="BB53" s="772"/>
      <c r="BC53" s="772"/>
      <c r="BD53" s="772"/>
      <c r="BE53" s="772"/>
      <c r="BF53" s="772"/>
      <c r="BG53" s="772"/>
      <c r="BH53" s="772"/>
      <c r="BI53" s="772"/>
      <c r="BJ53" s="772"/>
      <c r="BK53" s="772"/>
      <c r="BL53" s="772"/>
      <c r="BM53" s="772"/>
      <c r="BN53" s="772"/>
      <c r="BO53" s="772"/>
      <c r="BP53" s="772"/>
      <c r="BQ53" s="772"/>
      <c r="BR53" s="772"/>
      <c r="BS53" s="772"/>
      <c r="BT53" s="772"/>
      <c r="BU53" s="772"/>
      <c r="BV53" s="772"/>
      <c r="BW53" s="772"/>
      <c r="BX53" s="772"/>
      <c r="BY53" s="772"/>
      <c r="BZ53" s="772"/>
      <c r="CA53" s="772"/>
      <c r="CB53" s="772"/>
      <c r="CC53" s="772"/>
      <c r="CD53" s="772"/>
      <c r="CE53" s="772"/>
      <c r="CF53" s="772"/>
      <c r="CG53" s="772"/>
      <c r="CH53" s="772"/>
      <c r="CI53" s="772"/>
      <c r="CJ53" s="772"/>
      <c r="CK53" s="772"/>
      <c r="CL53" s="772"/>
      <c r="CM53" s="772"/>
      <c r="CN53" s="772"/>
      <c r="CO53" s="772"/>
      <c r="CP53" s="772"/>
      <c r="CQ53" s="772"/>
      <c r="CR53" s="772"/>
      <c r="CS53" s="772"/>
      <c r="CT53" s="772"/>
      <c r="CU53" s="772"/>
      <c r="CV53" s="772"/>
      <c r="CW53" s="772"/>
      <c r="CX53" s="772"/>
      <c r="CY53" s="772"/>
      <c r="CZ53" s="772"/>
      <c r="DA53" s="772"/>
      <c r="DB53" s="772"/>
      <c r="DC53" s="772"/>
      <c r="DD53" s="772"/>
      <c r="DE53" s="772"/>
      <c r="DF53" s="772"/>
      <c r="DG53" s="772"/>
      <c r="DH53" s="772"/>
      <c r="DI53" s="772"/>
      <c r="DJ53" s="772"/>
      <c r="DK53" s="772"/>
      <c r="DL53" s="772"/>
      <c r="DM53" s="772"/>
      <c r="DN53" s="772"/>
      <c r="DO53" s="772"/>
      <c r="DP53" s="772"/>
      <c r="DQ53" s="772"/>
      <c r="DR53" s="772"/>
      <c r="DS53" s="772"/>
      <c r="DT53" s="772"/>
      <c r="DU53" s="772"/>
      <c r="DV53" s="772"/>
      <c r="DW53" s="772"/>
      <c r="DX53" s="772"/>
      <c r="DY53" s="772"/>
      <c r="DZ53" s="772"/>
      <c r="EA53" s="772"/>
      <c r="EB53" s="772"/>
      <c r="EC53" s="772"/>
      <c r="ED53" s="772"/>
      <c r="EE53" s="772"/>
      <c r="EF53" s="772"/>
      <c r="EG53" s="772"/>
      <c r="EH53" s="772"/>
      <c r="EI53" s="772"/>
      <c r="EJ53" s="772"/>
      <c r="EK53" s="772"/>
      <c r="EL53" s="772"/>
      <c r="EM53" s="772"/>
      <c r="EN53" s="772"/>
      <c r="EO53" s="772"/>
      <c r="EP53" s="772"/>
      <c r="EQ53" s="772"/>
      <c r="ER53" s="772"/>
      <c r="ES53" s="772"/>
      <c r="ET53" s="772"/>
      <c r="EU53" s="772"/>
      <c r="EV53" s="772"/>
      <c r="EW53" s="772"/>
      <c r="EX53" s="772"/>
      <c r="EY53" s="772"/>
      <c r="EZ53" s="772"/>
      <c r="FA53" s="772"/>
      <c r="FB53" s="772"/>
      <c r="FC53" s="772"/>
      <c r="FD53" s="772"/>
      <c r="FE53" s="772"/>
      <c r="FF53" s="772"/>
      <c r="FG53" s="772"/>
      <c r="FH53" s="772"/>
      <c r="FI53" s="772"/>
      <c r="FJ53" s="772"/>
      <c r="FK53" s="772"/>
      <c r="FL53" s="772"/>
      <c r="FM53" s="772"/>
      <c r="FN53" s="772"/>
      <c r="FO53" s="772"/>
      <c r="FP53" s="772"/>
      <c r="FQ53" s="772"/>
      <c r="FR53" s="772"/>
      <c r="FS53" s="772"/>
      <c r="FT53" s="772"/>
      <c r="FU53" s="772"/>
      <c r="FV53" s="772"/>
      <c r="FW53" s="772"/>
      <c r="FX53" s="772"/>
      <c r="FY53" s="772"/>
      <c r="FZ53" s="772"/>
      <c r="GA53" s="772"/>
      <c r="GB53" s="772"/>
      <c r="GC53" s="772"/>
      <c r="GD53" s="772"/>
      <c r="GE53" s="772"/>
      <c r="GF53" s="772"/>
      <c r="GG53" s="772"/>
      <c r="GH53" s="772"/>
      <c r="GI53" s="772"/>
      <c r="GJ53" s="772"/>
      <c r="GK53" s="772"/>
      <c r="GL53" s="772"/>
      <c r="GM53" s="772"/>
      <c r="GN53" s="772"/>
      <c r="GO53" s="772"/>
      <c r="GP53" s="772"/>
      <c r="GQ53" s="772"/>
      <c r="GR53" s="772"/>
      <c r="GS53" s="772"/>
      <c r="GT53" s="772"/>
      <c r="GU53" s="772"/>
      <c r="GV53" s="772"/>
      <c r="GW53" s="772"/>
      <c r="GX53" s="772"/>
      <c r="GY53" s="772"/>
      <c r="GZ53" s="772"/>
      <c r="HA53" s="772"/>
      <c r="HB53" s="772"/>
      <c r="HC53" s="772"/>
      <c r="HD53" s="772"/>
      <c r="HE53" s="772"/>
      <c r="HF53" s="772"/>
      <c r="HG53" s="772"/>
      <c r="HH53" s="772"/>
      <c r="HI53" s="772"/>
      <c r="HJ53" s="772"/>
      <c r="HK53" s="772"/>
      <c r="HL53" s="772"/>
      <c r="HM53" s="772"/>
      <c r="HN53" s="772"/>
      <c r="HO53" s="772"/>
      <c r="HP53" s="772"/>
      <c r="HQ53" s="772"/>
      <c r="HR53" s="772"/>
      <c r="HS53" s="772"/>
      <c r="HT53" s="772"/>
      <c r="HU53" s="772"/>
      <c r="HV53" s="772"/>
      <c r="HW53" s="772"/>
      <c r="HX53" s="772"/>
      <c r="HY53" s="772"/>
      <c r="HZ53" s="772"/>
      <c r="IA53" s="772"/>
      <c r="IB53" s="772"/>
      <c r="IC53" s="772"/>
      <c r="ID53" s="772"/>
      <c r="IE53" s="772"/>
      <c r="IF53" s="772"/>
      <c r="IG53" s="772"/>
      <c r="IH53" s="772"/>
      <c r="II53" s="772"/>
      <c r="IJ53" s="772"/>
      <c r="IK53" s="772"/>
    </row>
    <row r="54" spans="1:245" s="765" customFormat="1" ht="20.100000000000001" customHeight="1" x14ac:dyDescent="0.25">
      <c r="A54" s="772"/>
      <c r="B54" s="783"/>
      <c r="C54" s="784"/>
      <c r="D54" s="784"/>
      <c r="E54" s="784"/>
      <c r="F54" s="784"/>
      <c r="G54" s="784"/>
      <c r="H54" s="772"/>
      <c r="I54" s="1664">
        <f t="shared" si="32"/>
        <v>30</v>
      </c>
      <c r="J54" s="1668">
        <f t="shared" si="17"/>
        <v>0</v>
      </c>
      <c r="K54" s="1666">
        <f t="shared" si="42"/>
        <v>0</v>
      </c>
      <c r="L54" s="1670">
        <f t="shared" si="27"/>
        <v>0</v>
      </c>
      <c r="M54" s="1668">
        <f t="shared" si="33"/>
        <v>0</v>
      </c>
      <c r="N54" s="772"/>
      <c r="O54" s="1664">
        <f t="shared" si="34"/>
        <v>30</v>
      </c>
      <c r="P54" s="1668">
        <f t="shared" si="19"/>
        <v>0</v>
      </c>
      <c r="Q54" s="1666">
        <f t="shared" si="43"/>
        <v>0</v>
      </c>
      <c r="R54" s="1670">
        <f t="shared" si="28"/>
        <v>0</v>
      </c>
      <c r="S54" s="1668">
        <f t="shared" si="35"/>
        <v>0</v>
      </c>
      <c r="T54" s="772"/>
      <c r="U54" s="1664">
        <f t="shared" si="36"/>
        <v>30</v>
      </c>
      <c r="V54" s="1668">
        <f t="shared" si="21"/>
        <v>0</v>
      </c>
      <c r="W54" s="1666">
        <f t="shared" si="44"/>
        <v>0</v>
      </c>
      <c r="X54" s="1670">
        <f t="shared" si="29"/>
        <v>0</v>
      </c>
      <c r="Y54" s="1668">
        <f t="shared" si="37"/>
        <v>0</v>
      </c>
      <c r="Z54" s="772"/>
      <c r="AA54" s="1664">
        <f t="shared" si="38"/>
        <v>30</v>
      </c>
      <c r="AB54" s="1668">
        <f t="shared" si="23"/>
        <v>0</v>
      </c>
      <c r="AC54" s="1666">
        <f t="shared" si="45"/>
        <v>0</v>
      </c>
      <c r="AD54" s="1670">
        <f t="shared" si="30"/>
        <v>0</v>
      </c>
      <c r="AE54" s="1668">
        <f t="shared" si="39"/>
        <v>0</v>
      </c>
      <c r="AF54" s="772"/>
      <c r="AG54" s="1664">
        <f t="shared" si="40"/>
        <v>30</v>
      </c>
      <c r="AH54" s="1668">
        <f t="shared" si="25"/>
        <v>0</v>
      </c>
      <c r="AI54" s="1666">
        <f t="shared" si="46"/>
        <v>0</v>
      </c>
      <c r="AJ54" s="1670">
        <f t="shared" si="31"/>
        <v>0</v>
      </c>
      <c r="AK54" s="1668">
        <f t="shared" si="41"/>
        <v>0</v>
      </c>
      <c r="AL54" s="772"/>
      <c r="AM54" s="772"/>
      <c r="AN54" s="772"/>
      <c r="AO54" s="772"/>
      <c r="AP54" s="772"/>
      <c r="AQ54" s="772"/>
      <c r="AR54" s="772"/>
      <c r="AS54" s="772"/>
      <c r="AT54" s="772"/>
      <c r="AU54" s="772"/>
      <c r="AV54" s="772"/>
      <c r="AW54" s="772"/>
      <c r="AX54" s="772"/>
      <c r="AY54" s="772"/>
      <c r="AZ54" s="772"/>
      <c r="BA54" s="772"/>
      <c r="BB54" s="772"/>
      <c r="BC54" s="772"/>
      <c r="BD54" s="772"/>
      <c r="BE54" s="772"/>
      <c r="BF54" s="772"/>
      <c r="BG54" s="772"/>
      <c r="BH54" s="772"/>
      <c r="BI54" s="772"/>
      <c r="BJ54" s="772"/>
      <c r="BK54" s="772"/>
      <c r="BL54" s="772"/>
      <c r="BM54" s="772"/>
      <c r="BN54" s="772"/>
      <c r="BO54" s="772"/>
      <c r="BP54" s="772"/>
      <c r="BQ54" s="772"/>
      <c r="BR54" s="772"/>
      <c r="BS54" s="772"/>
      <c r="BT54" s="772"/>
      <c r="BU54" s="772"/>
      <c r="BV54" s="772"/>
      <c r="BW54" s="772"/>
      <c r="BX54" s="772"/>
      <c r="BY54" s="772"/>
      <c r="BZ54" s="772"/>
      <c r="CA54" s="772"/>
      <c r="CB54" s="772"/>
      <c r="CC54" s="772"/>
      <c r="CD54" s="772"/>
      <c r="CE54" s="772"/>
      <c r="CF54" s="772"/>
      <c r="CG54" s="772"/>
      <c r="CH54" s="772"/>
      <c r="CI54" s="772"/>
      <c r="CJ54" s="772"/>
      <c r="CK54" s="772"/>
      <c r="CL54" s="772"/>
      <c r="CM54" s="772"/>
      <c r="CN54" s="772"/>
      <c r="CO54" s="772"/>
      <c r="CP54" s="772"/>
      <c r="CQ54" s="772"/>
      <c r="CR54" s="772"/>
      <c r="CS54" s="772"/>
      <c r="CT54" s="772"/>
      <c r="CU54" s="772"/>
      <c r="CV54" s="772"/>
      <c r="CW54" s="772"/>
      <c r="CX54" s="772"/>
      <c r="CY54" s="772"/>
      <c r="CZ54" s="772"/>
      <c r="DA54" s="772"/>
      <c r="DB54" s="772"/>
      <c r="DC54" s="772"/>
      <c r="DD54" s="772"/>
      <c r="DE54" s="772"/>
      <c r="DF54" s="772"/>
      <c r="DG54" s="772"/>
      <c r="DH54" s="772"/>
      <c r="DI54" s="772"/>
      <c r="DJ54" s="772"/>
      <c r="DK54" s="772"/>
      <c r="DL54" s="772"/>
      <c r="DM54" s="772"/>
      <c r="DN54" s="772"/>
      <c r="DO54" s="772"/>
      <c r="DP54" s="772"/>
      <c r="DQ54" s="772"/>
      <c r="DR54" s="772"/>
      <c r="DS54" s="772"/>
      <c r="DT54" s="772"/>
      <c r="DU54" s="772"/>
      <c r="DV54" s="772"/>
      <c r="DW54" s="772"/>
      <c r="DX54" s="772"/>
      <c r="DY54" s="772"/>
      <c r="DZ54" s="772"/>
      <c r="EA54" s="772"/>
      <c r="EB54" s="772"/>
      <c r="EC54" s="772"/>
      <c r="ED54" s="772"/>
      <c r="EE54" s="772"/>
      <c r="EF54" s="772"/>
      <c r="EG54" s="772"/>
      <c r="EH54" s="772"/>
      <c r="EI54" s="772"/>
      <c r="EJ54" s="772"/>
      <c r="EK54" s="772"/>
      <c r="EL54" s="772"/>
      <c r="EM54" s="772"/>
      <c r="EN54" s="772"/>
      <c r="EO54" s="772"/>
      <c r="EP54" s="772"/>
      <c r="EQ54" s="772"/>
      <c r="ER54" s="772"/>
      <c r="ES54" s="772"/>
      <c r="ET54" s="772"/>
      <c r="EU54" s="772"/>
      <c r="EV54" s="772"/>
      <c r="EW54" s="772"/>
      <c r="EX54" s="772"/>
      <c r="EY54" s="772"/>
      <c r="EZ54" s="772"/>
      <c r="FA54" s="772"/>
      <c r="FB54" s="772"/>
      <c r="FC54" s="772"/>
      <c r="FD54" s="772"/>
      <c r="FE54" s="772"/>
      <c r="FF54" s="772"/>
      <c r="FG54" s="772"/>
      <c r="FH54" s="772"/>
      <c r="FI54" s="772"/>
      <c r="FJ54" s="772"/>
      <c r="FK54" s="772"/>
      <c r="FL54" s="772"/>
      <c r="FM54" s="772"/>
      <c r="FN54" s="772"/>
      <c r="FO54" s="772"/>
      <c r="FP54" s="772"/>
      <c r="FQ54" s="772"/>
      <c r="FR54" s="772"/>
      <c r="FS54" s="772"/>
      <c r="FT54" s="772"/>
      <c r="FU54" s="772"/>
      <c r="FV54" s="772"/>
      <c r="FW54" s="772"/>
      <c r="FX54" s="772"/>
      <c r="FY54" s="772"/>
      <c r="FZ54" s="772"/>
      <c r="GA54" s="772"/>
      <c r="GB54" s="772"/>
      <c r="GC54" s="772"/>
      <c r="GD54" s="772"/>
      <c r="GE54" s="772"/>
      <c r="GF54" s="772"/>
      <c r="GG54" s="772"/>
      <c r="GH54" s="772"/>
      <c r="GI54" s="772"/>
      <c r="GJ54" s="772"/>
      <c r="GK54" s="772"/>
      <c r="GL54" s="772"/>
      <c r="GM54" s="772"/>
      <c r="GN54" s="772"/>
      <c r="GO54" s="772"/>
      <c r="GP54" s="772"/>
      <c r="GQ54" s="772"/>
      <c r="GR54" s="772"/>
      <c r="GS54" s="772"/>
      <c r="GT54" s="772"/>
      <c r="GU54" s="772"/>
      <c r="GV54" s="772"/>
      <c r="GW54" s="772"/>
      <c r="GX54" s="772"/>
      <c r="GY54" s="772"/>
      <c r="GZ54" s="772"/>
      <c r="HA54" s="772"/>
      <c r="HB54" s="772"/>
      <c r="HC54" s="772"/>
      <c r="HD54" s="772"/>
      <c r="HE54" s="772"/>
      <c r="HF54" s="772"/>
      <c r="HG54" s="772"/>
      <c r="HH54" s="772"/>
      <c r="HI54" s="772"/>
      <c r="HJ54" s="772"/>
      <c r="HK54" s="772"/>
      <c r="HL54" s="772"/>
      <c r="HM54" s="772"/>
      <c r="HN54" s="772"/>
      <c r="HO54" s="772"/>
      <c r="HP54" s="772"/>
      <c r="HQ54" s="772"/>
      <c r="HR54" s="772"/>
      <c r="HS54" s="772"/>
      <c r="HT54" s="772"/>
      <c r="HU54" s="772"/>
      <c r="HV54" s="772"/>
      <c r="HW54" s="772"/>
      <c r="HX54" s="772"/>
      <c r="HY54" s="772"/>
      <c r="HZ54" s="772"/>
      <c r="IA54" s="772"/>
      <c r="IB54" s="772"/>
      <c r="IC54" s="772"/>
      <c r="ID54" s="772"/>
      <c r="IE54" s="772"/>
      <c r="IF54" s="772"/>
      <c r="IG54" s="772"/>
      <c r="IH54" s="772"/>
      <c r="II54" s="772"/>
      <c r="IJ54" s="772"/>
      <c r="IK54" s="772"/>
    </row>
    <row r="55" spans="1:245" s="765" customFormat="1" ht="20.100000000000001" customHeight="1" x14ac:dyDescent="0.25">
      <c r="A55" s="772"/>
      <c r="B55" s="783"/>
      <c r="C55" s="784"/>
      <c r="D55" s="784"/>
      <c r="E55" s="784"/>
      <c r="F55" s="784"/>
      <c r="G55" s="784"/>
      <c r="H55" s="772"/>
      <c r="I55" s="1664">
        <f t="shared" si="32"/>
        <v>31</v>
      </c>
      <c r="J55" s="1668">
        <f t="shared" si="17"/>
        <v>0</v>
      </c>
      <c r="K55" s="1666">
        <f t="shared" si="42"/>
        <v>0</v>
      </c>
      <c r="L55" s="1670">
        <f t="shared" si="27"/>
        <v>0</v>
      </c>
      <c r="M55" s="1668">
        <f t="shared" si="33"/>
        <v>0</v>
      </c>
      <c r="N55" s="772"/>
      <c r="O55" s="1664">
        <f t="shared" si="34"/>
        <v>31</v>
      </c>
      <c r="P55" s="1668">
        <f t="shared" si="19"/>
        <v>0</v>
      </c>
      <c r="Q55" s="1666">
        <f t="shared" si="43"/>
        <v>0</v>
      </c>
      <c r="R55" s="1670">
        <f t="shared" si="28"/>
        <v>0</v>
      </c>
      <c r="S55" s="1668">
        <f t="shared" si="35"/>
        <v>0</v>
      </c>
      <c r="T55" s="772"/>
      <c r="U55" s="1664">
        <f t="shared" si="36"/>
        <v>31</v>
      </c>
      <c r="V55" s="1668">
        <f t="shared" si="21"/>
        <v>0</v>
      </c>
      <c r="W55" s="1666">
        <f t="shared" si="44"/>
        <v>0</v>
      </c>
      <c r="X55" s="1670">
        <f t="shared" si="29"/>
        <v>0</v>
      </c>
      <c r="Y55" s="1668">
        <f t="shared" si="37"/>
        <v>0</v>
      </c>
      <c r="Z55" s="772"/>
      <c r="AA55" s="1664">
        <f t="shared" si="38"/>
        <v>31</v>
      </c>
      <c r="AB55" s="1668">
        <f t="shared" si="23"/>
        <v>0</v>
      </c>
      <c r="AC55" s="1666">
        <f t="shared" si="45"/>
        <v>0</v>
      </c>
      <c r="AD55" s="1670">
        <f t="shared" si="30"/>
        <v>0</v>
      </c>
      <c r="AE55" s="1668">
        <f t="shared" si="39"/>
        <v>0</v>
      </c>
      <c r="AF55" s="772"/>
      <c r="AG55" s="1664">
        <f t="shared" si="40"/>
        <v>31</v>
      </c>
      <c r="AH55" s="1668">
        <f t="shared" si="25"/>
        <v>0</v>
      </c>
      <c r="AI55" s="1666">
        <f t="shared" si="46"/>
        <v>0</v>
      </c>
      <c r="AJ55" s="1670">
        <f t="shared" si="31"/>
        <v>0</v>
      </c>
      <c r="AK55" s="1668">
        <f t="shared" si="41"/>
        <v>0</v>
      </c>
      <c r="AL55" s="772"/>
      <c r="AM55" s="772"/>
      <c r="AN55" s="772"/>
      <c r="AO55" s="772"/>
      <c r="AP55" s="772"/>
      <c r="AQ55" s="772"/>
      <c r="AR55" s="772"/>
      <c r="AS55" s="772"/>
      <c r="AT55" s="772"/>
      <c r="AU55" s="772"/>
      <c r="AV55" s="772"/>
      <c r="AW55" s="772"/>
      <c r="AX55" s="772"/>
      <c r="AY55" s="772"/>
      <c r="AZ55" s="772"/>
      <c r="BA55" s="772"/>
      <c r="BB55" s="772"/>
      <c r="BC55" s="772"/>
      <c r="BD55" s="772"/>
      <c r="BE55" s="772"/>
      <c r="BF55" s="772"/>
      <c r="BG55" s="772"/>
      <c r="BH55" s="772"/>
      <c r="BI55" s="772"/>
      <c r="BJ55" s="772"/>
      <c r="BK55" s="772"/>
      <c r="BL55" s="772"/>
      <c r="BM55" s="772"/>
      <c r="BN55" s="772"/>
      <c r="BO55" s="772"/>
      <c r="BP55" s="772"/>
      <c r="BQ55" s="772"/>
      <c r="BR55" s="772"/>
      <c r="BS55" s="772"/>
      <c r="BT55" s="772"/>
      <c r="BU55" s="772"/>
      <c r="BV55" s="772"/>
      <c r="BW55" s="772"/>
      <c r="BX55" s="772"/>
      <c r="BY55" s="772"/>
      <c r="BZ55" s="772"/>
      <c r="CA55" s="772"/>
      <c r="CB55" s="772"/>
      <c r="CC55" s="772"/>
      <c r="CD55" s="772"/>
      <c r="CE55" s="772"/>
      <c r="CF55" s="772"/>
      <c r="CG55" s="772"/>
      <c r="CH55" s="772"/>
      <c r="CI55" s="772"/>
      <c r="CJ55" s="772"/>
      <c r="CK55" s="772"/>
      <c r="CL55" s="772"/>
      <c r="CM55" s="772"/>
      <c r="CN55" s="772"/>
      <c r="CO55" s="772"/>
      <c r="CP55" s="772"/>
      <c r="CQ55" s="772"/>
      <c r="CR55" s="772"/>
      <c r="CS55" s="772"/>
      <c r="CT55" s="772"/>
      <c r="CU55" s="772"/>
      <c r="CV55" s="772"/>
      <c r="CW55" s="772"/>
      <c r="CX55" s="772"/>
      <c r="CY55" s="772"/>
      <c r="CZ55" s="772"/>
      <c r="DA55" s="772"/>
      <c r="DB55" s="772"/>
      <c r="DC55" s="772"/>
      <c r="DD55" s="772"/>
      <c r="DE55" s="772"/>
      <c r="DF55" s="772"/>
      <c r="DG55" s="772"/>
      <c r="DH55" s="772"/>
      <c r="DI55" s="772"/>
      <c r="DJ55" s="772"/>
      <c r="DK55" s="772"/>
      <c r="DL55" s="772"/>
      <c r="DM55" s="772"/>
      <c r="DN55" s="772"/>
      <c r="DO55" s="772"/>
      <c r="DP55" s="772"/>
      <c r="DQ55" s="772"/>
      <c r="DR55" s="772"/>
      <c r="DS55" s="772"/>
      <c r="DT55" s="772"/>
      <c r="DU55" s="772"/>
      <c r="DV55" s="772"/>
      <c r="DW55" s="772"/>
      <c r="DX55" s="772"/>
      <c r="DY55" s="772"/>
      <c r="DZ55" s="772"/>
      <c r="EA55" s="772"/>
      <c r="EB55" s="772"/>
      <c r="EC55" s="772"/>
      <c r="ED55" s="772"/>
      <c r="EE55" s="772"/>
      <c r="EF55" s="772"/>
      <c r="EG55" s="772"/>
      <c r="EH55" s="772"/>
      <c r="EI55" s="772"/>
      <c r="EJ55" s="772"/>
      <c r="EK55" s="772"/>
      <c r="EL55" s="772"/>
      <c r="EM55" s="772"/>
      <c r="EN55" s="772"/>
      <c r="EO55" s="772"/>
      <c r="EP55" s="772"/>
      <c r="EQ55" s="772"/>
      <c r="ER55" s="772"/>
      <c r="ES55" s="772"/>
      <c r="ET55" s="772"/>
      <c r="EU55" s="772"/>
      <c r="EV55" s="772"/>
      <c r="EW55" s="772"/>
      <c r="EX55" s="772"/>
      <c r="EY55" s="772"/>
      <c r="EZ55" s="772"/>
      <c r="FA55" s="772"/>
      <c r="FB55" s="772"/>
      <c r="FC55" s="772"/>
      <c r="FD55" s="772"/>
      <c r="FE55" s="772"/>
      <c r="FF55" s="772"/>
      <c r="FG55" s="772"/>
      <c r="FH55" s="772"/>
      <c r="FI55" s="772"/>
      <c r="FJ55" s="772"/>
      <c r="FK55" s="772"/>
      <c r="FL55" s="772"/>
      <c r="FM55" s="772"/>
      <c r="FN55" s="772"/>
      <c r="FO55" s="772"/>
      <c r="FP55" s="772"/>
      <c r="FQ55" s="772"/>
      <c r="FR55" s="772"/>
      <c r="FS55" s="772"/>
      <c r="FT55" s="772"/>
      <c r="FU55" s="772"/>
      <c r="FV55" s="772"/>
      <c r="FW55" s="772"/>
      <c r="FX55" s="772"/>
      <c r="FY55" s="772"/>
      <c r="FZ55" s="772"/>
      <c r="GA55" s="772"/>
      <c r="GB55" s="772"/>
      <c r="GC55" s="772"/>
      <c r="GD55" s="772"/>
      <c r="GE55" s="772"/>
      <c r="GF55" s="772"/>
      <c r="GG55" s="772"/>
      <c r="GH55" s="772"/>
      <c r="GI55" s="772"/>
      <c r="GJ55" s="772"/>
      <c r="GK55" s="772"/>
      <c r="GL55" s="772"/>
      <c r="GM55" s="772"/>
      <c r="GN55" s="772"/>
      <c r="GO55" s="772"/>
      <c r="GP55" s="772"/>
      <c r="GQ55" s="772"/>
      <c r="GR55" s="772"/>
      <c r="GS55" s="772"/>
      <c r="GT55" s="772"/>
      <c r="GU55" s="772"/>
      <c r="GV55" s="772"/>
      <c r="GW55" s="772"/>
      <c r="GX55" s="772"/>
      <c r="GY55" s="772"/>
      <c r="GZ55" s="772"/>
      <c r="HA55" s="772"/>
      <c r="HB55" s="772"/>
      <c r="HC55" s="772"/>
      <c r="HD55" s="772"/>
      <c r="HE55" s="772"/>
      <c r="HF55" s="772"/>
      <c r="HG55" s="772"/>
      <c r="HH55" s="772"/>
      <c r="HI55" s="772"/>
      <c r="HJ55" s="772"/>
      <c r="HK55" s="772"/>
      <c r="HL55" s="772"/>
      <c r="HM55" s="772"/>
      <c r="HN55" s="772"/>
      <c r="HO55" s="772"/>
      <c r="HP55" s="772"/>
      <c r="HQ55" s="772"/>
      <c r="HR55" s="772"/>
      <c r="HS55" s="772"/>
      <c r="HT55" s="772"/>
      <c r="HU55" s="772"/>
      <c r="HV55" s="772"/>
      <c r="HW55" s="772"/>
      <c r="HX55" s="772"/>
      <c r="HY55" s="772"/>
      <c r="HZ55" s="772"/>
      <c r="IA55" s="772"/>
      <c r="IB55" s="772"/>
      <c r="IC55" s="772"/>
      <c r="ID55" s="772"/>
      <c r="IE55" s="772"/>
      <c r="IF55" s="772"/>
      <c r="IG55" s="772"/>
      <c r="IH55" s="772"/>
      <c r="II55" s="772"/>
      <c r="IJ55" s="772"/>
      <c r="IK55" s="772"/>
    </row>
    <row r="56" spans="1:245" s="765" customFormat="1" ht="20.100000000000001" customHeight="1" x14ac:dyDescent="0.25">
      <c r="A56" s="772"/>
      <c r="B56" s="783"/>
      <c r="C56" s="784"/>
      <c r="D56" s="784"/>
      <c r="E56" s="784"/>
      <c r="F56" s="784"/>
      <c r="G56" s="784"/>
      <c r="H56" s="772"/>
      <c r="I56" s="1664">
        <f t="shared" si="32"/>
        <v>32</v>
      </c>
      <c r="J56" s="1668">
        <f t="shared" si="17"/>
        <v>0</v>
      </c>
      <c r="K56" s="1666">
        <f t="shared" si="42"/>
        <v>0</v>
      </c>
      <c r="L56" s="1670">
        <f t="shared" si="27"/>
        <v>0</v>
      </c>
      <c r="M56" s="1668">
        <f t="shared" si="33"/>
        <v>0</v>
      </c>
      <c r="N56" s="772"/>
      <c r="O56" s="1664">
        <f t="shared" si="34"/>
        <v>32</v>
      </c>
      <c r="P56" s="1668">
        <f t="shared" si="19"/>
        <v>0</v>
      </c>
      <c r="Q56" s="1666">
        <f t="shared" si="43"/>
        <v>0</v>
      </c>
      <c r="R56" s="1670">
        <f t="shared" si="28"/>
        <v>0</v>
      </c>
      <c r="S56" s="1668">
        <f t="shared" si="35"/>
        <v>0</v>
      </c>
      <c r="T56" s="772"/>
      <c r="U56" s="1664">
        <f t="shared" si="36"/>
        <v>32</v>
      </c>
      <c r="V56" s="1668">
        <f t="shared" si="21"/>
        <v>0</v>
      </c>
      <c r="W56" s="1666">
        <f t="shared" si="44"/>
        <v>0</v>
      </c>
      <c r="X56" s="1670">
        <f t="shared" si="29"/>
        <v>0</v>
      </c>
      <c r="Y56" s="1668">
        <f t="shared" si="37"/>
        <v>0</v>
      </c>
      <c r="Z56" s="772"/>
      <c r="AA56" s="1664">
        <f t="shared" si="38"/>
        <v>32</v>
      </c>
      <c r="AB56" s="1668">
        <f t="shared" si="23"/>
        <v>0</v>
      </c>
      <c r="AC56" s="1666">
        <f t="shared" si="45"/>
        <v>0</v>
      </c>
      <c r="AD56" s="1670">
        <f t="shared" si="30"/>
        <v>0</v>
      </c>
      <c r="AE56" s="1668">
        <f t="shared" si="39"/>
        <v>0</v>
      </c>
      <c r="AF56" s="772"/>
      <c r="AG56" s="1664">
        <f t="shared" si="40"/>
        <v>32</v>
      </c>
      <c r="AH56" s="1668">
        <f t="shared" si="25"/>
        <v>0</v>
      </c>
      <c r="AI56" s="1666">
        <f t="shared" si="46"/>
        <v>0</v>
      </c>
      <c r="AJ56" s="1670">
        <f t="shared" si="31"/>
        <v>0</v>
      </c>
      <c r="AK56" s="1668">
        <f t="shared" si="41"/>
        <v>0</v>
      </c>
      <c r="AL56" s="772"/>
      <c r="AM56" s="772"/>
      <c r="AN56" s="772"/>
      <c r="AO56" s="772"/>
      <c r="AP56" s="772"/>
      <c r="AQ56" s="772"/>
      <c r="AR56" s="772"/>
      <c r="AS56" s="772"/>
      <c r="AT56" s="772"/>
      <c r="AU56" s="772"/>
      <c r="AV56" s="772"/>
      <c r="AW56" s="772"/>
      <c r="AX56" s="772"/>
      <c r="AY56" s="772"/>
      <c r="AZ56" s="772"/>
      <c r="BA56" s="772"/>
      <c r="BB56" s="772"/>
      <c r="BC56" s="772"/>
      <c r="BD56" s="772"/>
      <c r="BE56" s="772"/>
      <c r="BF56" s="772"/>
      <c r="BG56" s="772"/>
      <c r="BH56" s="772"/>
      <c r="BI56" s="772"/>
      <c r="BJ56" s="772"/>
      <c r="BK56" s="772"/>
      <c r="BL56" s="772"/>
      <c r="BM56" s="772"/>
      <c r="BN56" s="772"/>
      <c r="BO56" s="772"/>
      <c r="BP56" s="772"/>
      <c r="BQ56" s="772"/>
      <c r="BR56" s="772"/>
      <c r="BS56" s="772"/>
      <c r="BT56" s="772"/>
      <c r="BU56" s="772"/>
      <c r="BV56" s="772"/>
      <c r="BW56" s="772"/>
      <c r="BX56" s="772"/>
      <c r="BY56" s="772"/>
      <c r="BZ56" s="772"/>
      <c r="CA56" s="772"/>
      <c r="CB56" s="772"/>
      <c r="CC56" s="772"/>
      <c r="CD56" s="772"/>
      <c r="CE56" s="772"/>
      <c r="CF56" s="772"/>
      <c r="CG56" s="772"/>
      <c r="CH56" s="772"/>
      <c r="CI56" s="772"/>
      <c r="CJ56" s="772"/>
      <c r="CK56" s="772"/>
      <c r="CL56" s="772"/>
      <c r="CM56" s="772"/>
      <c r="CN56" s="772"/>
      <c r="CO56" s="772"/>
      <c r="CP56" s="772"/>
      <c r="CQ56" s="772"/>
      <c r="CR56" s="772"/>
      <c r="CS56" s="772"/>
      <c r="CT56" s="772"/>
      <c r="CU56" s="772"/>
      <c r="CV56" s="772"/>
      <c r="CW56" s="772"/>
      <c r="CX56" s="772"/>
      <c r="CY56" s="772"/>
      <c r="CZ56" s="772"/>
      <c r="DA56" s="772"/>
      <c r="DB56" s="772"/>
      <c r="DC56" s="772"/>
      <c r="DD56" s="772"/>
      <c r="DE56" s="772"/>
      <c r="DF56" s="772"/>
      <c r="DG56" s="772"/>
      <c r="DH56" s="772"/>
      <c r="DI56" s="772"/>
      <c r="DJ56" s="772"/>
      <c r="DK56" s="772"/>
      <c r="DL56" s="772"/>
      <c r="DM56" s="772"/>
      <c r="DN56" s="772"/>
      <c r="DO56" s="772"/>
      <c r="DP56" s="772"/>
      <c r="DQ56" s="772"/>
      <c r="DR56" s="772"/>
      <c r="DS56" s="772"/>
      <c r="DT56" s="772"/>
      <c r="DU56" s="772"/>
      <c r="DV56" s="772"/>
      <c r="DW56" s="772"/>
      <c r="DX56" s="772"/>
      <c r="DY56" s="772"/>
      <c r="DZ56" s="772"/>
      <c r="EA56" s="772"/>
      <c r="EB56" s="772"/>
      <c r="EC56" s="772"/>
      <c r="ED56" s="772"/>
      <c r="EE56" s="772"/>
      <c r="EF56" s="772"/>
      <c r="EG56" s="772"/>
      <c r="EH56" s="772"/>
      <c r="EI56" s="772"/>
      <c r="EJ56" s="772"/>
      <c r="EK56" s="772"/>
      <c r="EL56" s="772"/>
      <c r="EM56" s="772"/>
      <c r="EN56" s="772"/>
      <c r="EO56" s="772"/>
      <c r="EP56" s="772"/>
      <c r="EQ56" s="772"/>
      <c r="ER56" s="772"/>
      <c r="ES56" s="772"/>
      <c r="ET56" s="772"/>
      <c r="EU56" s="772"/>
      <c r="EV56" s="772"/>
      <c r="EW56" s="772"/>
      <c r="EX56" s="772"/>
      <c r="EY56" s="772"/>
      <c r="EZ56" s="772"/>
      <c r="FA56" s="772"/>
      <c r="FB56" s="772"/>
      <c r="FC56" s="772"/>
      <c r="FD56" s="772"/>
      <c r="FE56" s="772"/>
      <c r="FF56" s="772"/>
      <c r="FG56" s="772"/>
      <c r="FH56" s="772"/>
      <c r="FI56" s="772"/>
      <c r="FJ56" s="772"/>
      <c r="FK56" s="772"/>
      <c r="FL56" s="772"/>
      <c r="FM56" s="772"/>
      <c r="FN56" s="772"/>
      <c r="FO56" s="772"/>
      <c r="FP56" s="772"/>
      <c r="FQ56" s="772"/>
      <c r="FR56" s="772"/>
      <c r="FS56" s="772"/>
      <c r="FT56" s="772"/>
      <c r="FU56" s="772"/>
      <c r="FV56" s="772"/>
      <c r="FW56" s="772"/>
      <c r="FX56" s="772"/>
      <c r="FY56" s="772"/>
      <c r="FZ56" s="772"/>
      <c r="GA56" s="772"/>
      <c r="GB56" s="772"/>
      <c r="GC56" s="772"/>
      <c r="GD56" s="772"/>
      <c r="GE56" s="772"/>
      <c r="GF56" s="772"/>
      <c r="GG56" s="772"/>
      <c r="GH56" s="772"/>
      <c r="GI56" s="772"/>
      <c r="GJ56" s="772"/>
      <c r="GK56" s="772"/>
      <c r="GL56" s="772"/>
      <c r="GM56" s="772"/>
      <c r="GN56" s="772"/>
      <c r="GO56" s="772"/>
      <c r="GP56" s="772"/>
      <c r="GQ56" s="772"/>
      <c r="GR56" s="772"/>
      <c r="GS56" s="772"/>
      <c r="GT56" s="772"/>
      <c r="GU56" s="772"/>
      <c r="GV56" s="772"/>
      <c r="GW56" s="772"/>
      <c r="GX56" s="772"/>
      <c r="GY56" s="772"/>
      <c r="GZ56" s="772"/>
      <c r="HA56" s="772"/>
      <c r="HB56" s="772"/>
      <c r="HC56" s="772"/>
      <c r="HD56" s="772"/>
      <c r="HE56" s="772"/>
      <c r="HF56" s="772"/>
      <c r="HG56" s="772"/>
      <c r="HH56" s="772"/>
      <c r="HI56" s="772"/>
      <c r="HJ56" s="772"/>
      <c r="HK56" s="772"/>
      <c r="HL56" s="772"/>
      <c r="HM56" s="772"/>
      <c r="HN56" s="772"/>
      <c r="HO56" s="772"/>
      <c r="HP56" s="772"/>
      <c r="HQ56" s="772"/>
      <c r="HR56" s="772"/>
      <c r="HS56" s="772"/>
      <c r="HT56" s="772"/>
      <c r="HU56" s="772"/>
      <c r="HV56" s="772"/>
      <c r="HW56" s="772"/>
      <c r="HX56" s="772"/>
      <c r="HY56" s="772"/>
      <c r="HZ56" s="772"/>
      <c r="IA56" s="772"/>
      <c r="IB56" s="772"/>
      <c r="IC56" s="772"/>
      <c r="ID56" s="772"/>
      <c r="IE56" s="772"/>
      <c r="IF56" s="772"/>
      <c r="IG56" s="772"/>
      <c r="IH56" s="772"/>
      <c r="II56" s="772"/>
      <c r="IJ56" s="772"/>
      <c r="IK56" s="772"/>
    </row>
    <row r="57" spans="1:245" s="765" customFormat="1" ht="20.100000000000001" customHeight="1" x14ac:dyDescent="0.25">
      <c r="A57" s="772"/>
      <c r="B57" s="783"/>
      <c r="C57" s="784"/>
      <c r="D57" s="784"/>
      <c r="E57" s="784"/>
      <c r="F57" s="784"/>
      <c r="G57" s="784"/>
      <c r="H57" s="772"/>
      <c r="I57" s="1664">
        <f t="shared" si="32"/>
        <v>33</v>
      </c>
      <c r="J57" s="1668">
        <f t="shared" ref="J57:J88" si="47">ROUND(IF(I57&gt;annuité_emprunt1,0,IF(I57&gt;différé_emprunt1,-PMT((taux_emprunt1/périodicité_emprunt1),(annuité_emprunt1-différé_emprunt1),emprunt1),emprunt1*taux_emprunt1/périodicité_emprunt1)),2)</f>
        <v>0</v>
      </c>
      <c r="K57" s="1666">
        <f t="shared" si="42"/>
        <v>0</v>
      </c>
      <c r="L57" s="1670">
        <f t="shared" si="27"/>
        <v>0</v>
      </c>
      <c r="M57" s="1668">
        <f t="shared" si="33"/>
        <v>0</v>
      </c>
      <c r="N57" s="772"/>
      <c r="O57" s="1664">
        <f t="shared" si="34"/>
        <v>33</v>
      </c>
      <c r="P57" s="1668">
        <f t="shared" ref="P57:P88" si="48">ROUND(IF(O57&gt;annuité_emprunt2,0,IF(O57&gt;différé_emprunt2,-PMT((taux_emprunt2/périodicité_emprunt2),(annuité_emprunt2-différé_emprunt2),emprunt2),emprunt2*taux_emprunt2/périodicité_emprunt2)),2)</f>
        <v>0</v>
      </c>
      <c r="Q57" s="1666">
        <f t="shared" si="43"/>
        <v>0</v>
      </c>
      <c r="R57" s="1670">
        <f t="shared" si="28"/>
        <v>0</v>
      </c>
      <c r="S57" s="1668">
        <f t="shared" si="35"/>
        <v>0</v>
      </c>
      <c r="T57" s="772"/>
      <c r="U57" s="1664">
        <f t="shared" si="36"/>
        <v>33</v>
      </c>
      <c r="V57" s="1668">
        <f t="shared" ref="V57:V88" si="49">ROUND(IF(U57&gt;annuité_emprunt3,0,IF(U57&gt;différé_emprunt3,-PMT((taux_emprunt3/périodicité_emprunt3),(annuité_emprunt3-différé_emprunt3),emprunt3),emprunt3*taux_emprunt3/périodicité_emprunt3)),2)</f>
        <v>0</v>
      </c>
      <c r="W57" s="1666">
        <f t="shared" si="44"/>
        <v>0</v>
      </c>
      <c r="X57" s="1670">
        <f t="shared" si="29"/>
        <v>0</v>
      </c>
      <c r="Y57" s="1668">
        <f t="shared" si="37"/>
        <v>0</v>
      </c>
      <c r="Z57" s="772"/>
      <c r="AA57" s="1664">
        <f t="shared" si="38"/>
        <v>33</v>
      </c>
      <c r="AB57" s="1668">
        <f t="shared" ref="AB57:AB88" si="50">ROUND(IF(AA57&gt;annuité_emprunt4,0,IF(AA57&gt;différé_emprunt4,-PMT((taux_emprunt4/périodicité_emprunt4),(annuité_emprunt4-différé_emprunt4),emprunt4),emprunt4*taux_emprunt4/périodicité_emprunt4)),2)</f>
        <v>0</v>
      </c>
      <c r="AC57" s="1666">
        <f t="shared" si="45"/>
        <v>0</v>
      </c>
      <c r="AD57" s="1670">
        <f t="shared" si="30"/>
        <v>0</v>
      </c>
      <c r="AE57" s="1668">
        <f t="shared" si="39"/>
        <v>0</v>
      </c>
      <c r="AF57" s="772"/>
      <c r="AG57" s="1664">
        <f t="shared" si="40"/>
        <v>33</v>
      </c>
      <c r="AH57" s="1668">
        <f t="shared" ref="AH57:AH88" si="51">ROUND(IF(AG57&gt;annuité_emprunt5,0,IF(AG57&gt;différé_emprunt5,-PMT((taux_emprunt5/périodicité_emprunt5),(annuité_emprunt5-différé_emprunt5),emprunt5),emprunt5*taux_emprunt5/périodicité_emprunt5)),2)</f>
        <v>0</v>
      </c>
      <c r="AI57" s="1666">
        <f t="shared" si="46"/>
        <v>0</v>
      </c>
      <c r="AJ57" s="1670">
        <f t="shared" si="31"/>
        <v>0</v>
      </c>
      <c r="AK57" s="1668">
        <f t="shared" si="41"/>
        <v>0</v>
      </c>
      <c r="AL57" s="772"/>
      <c r="AM57" s="772"/>
      <c r="AN57" s="772"/>
      <c r="AO57" s="772"/>
      <c r="AP57" s="772"/>
      <c r="AQ57" s="772"/>
      <c r="AR57" s="772"/>
      <c r="AS57" s="772"/>
      <c r="AT57" s="772"/>
      <c r="AU57" s="772"/>
      <c r="AV57" s="772"/>
      <c r="AW57" s="772"/>
      <c r="AX57" s="772"/>
      <c r="AY57" s="772"/>
      <c r="AZ57" s="772"/>
      <c r="BA57" s="772"/>
      <c r="BB57" s="772"/>
      <c r="BC57" s="772"/>
      <c r="BD57" s="772"/>
      <c r="BE57" s="772"/>
      <c r="BF57" s="772"/>
      <c r="BG57" s="772"/>
      <c r="BH57" s="772"/>
      <c r="BI57" s="772"/>
      <c r="BJ57" s="772"/>
      <c r="BK57" s="772"/>
      <c r="BL57" s="772"/>
      <c r="BM57" s="772"/>
      <c r="BN57" s="772"/>
      <c r="BO57" s="772"/>
      <c r="BP57" s="772"/>
      <c r="BQ57" s="772"/>
      <c r="BR57" s="772"/>
      <c r="BS57" s="772"/>
      <c r="BT57" s="772"/>
      <c r="BU57" s="772"/>
      <c r="BV57" s="772"/>
      <c r="BW57" s="772"/>
      <c r="BX57" s="772"/>
      <c r="BY57" s="772"/>
      <c r="BZ57" s="772"/>
      <c r="CA57" s="772"/>
      <c r="CB57" s="772"/>
      <c r="CC57" s="772"/>
      <c r="CD57" s="772"/>
      <c r="CE57" s="772"/>
      <c r="CF57" s="772"/>
      <c r="CG57" s="772"/>
      <c r="CH57" s="772"/>
      <c r="CI57" s="772"/>
      <c r="CJ57" s="772"/>
      <c r="CK57" s="772"/>
      <c r="CL57" s="772"/>
      <c r="CM57" s="772"/>
      <c r="CN57" s="772"/>
      <c r="CO57" s="772"/>
      <c r="CP57" s="772"/>
      <c r="CQ57" s="772"/>
      <c r="CR57" s="772"/>
      <c r="CS57" s="772"/>
      <c r="CT57" s="772"/>
      <c r="CU57" s="772"/>
      <c r="CV57" s="772"/>
      <c r="CW57" s="772"/>
      <c r="CX57" s="772"/>
      <c r="CY57" s="772"/>
      <c r="CZ57" s="772"/>
      <c r="DA57" s="772"/>
      <c r="DB57" s="772"/>
      <c r="DC57" s="772"/>
      <c r="DD57" s="772"/>
      <c r="DE57" s="772"/>
      <c r="DF57" s="772"/>
      <c r="DG57" s="772"/>
      <c r="DH57" s="772"/>
      <c r="DI57" s="772"/>
      <c r="DJ57" s="772"/>
      <c r="DK57" s="772"/>
      <c r="DL57" s="772"/>
      <c r="DM57" s="772"/>
      <c r="DN57" s="772"/>
      <c r="DO57" s="772"/>
      <c r="DP57" s="772"/>
      <c r="DQ57" s="772"/>
      <c r="DR57" s="772"/>
      <c r="DS57" s="772"/>
      <c r="DT57" s="772"/>
      <c r="DU57" s="772"/>
      <c r="DV57" s="772"/>
      <c r="DW57" s="772"/>
      <c r="DX57" s="772"/>
      <c r="DY57" s="772"/>
      <c r="DZ57" s="772"/>
      <c r="EA57" s="772"/>
      <c r="EB57" s="772"/>
      <c r="EC57" s="772"/>
      <c r="ED57" s="772"/>
      <c r="EE57" s="772"/>
      <c r="EF57" s="772"/>
      <c r="EG57" s="772"/>
      <c r="EH57" s="772"/>
      <c r="EI57" s="772"/>
      <c r="EJ57" s="772"/>
      <c r="EK57" s="772"/>
      <c r="EL57" s="772"/>
      <c r="EM57" s="772"/>
      <c r="EN57" s="772"/>
      <c r="EO57" s="772"/>
      <c r="EP57" s="772"/>
      <c r="EQ57" s="772"/>
      <c r="ER57" s="772"/>
      <c r="ES57" s="772"/>
      <c r="ET57" s="772"/>
      <c r="EU57" s="772"/>
      <c r="EV57" s="772"/>
      <c r="EW57" s="772"/>
      <c r="EX57" s="772"/>
      <c r="EY57" s="772"/>
      <c r="EZ57" s="772"/>
      <c r="FA57" s="772"/>
      <c r="FB57" s="772"/>
      <c r="FC57" s="772"/>
      <c r="FD57" s="772"/>
      <c r="FE57" s="772"/>
      <c r="FF57" s="772"/>
      <c r="FG57" s="772"/>
      <c r="FH57" s="772"/>
      <c r="FI57" s="772"/>
      <c r="FJ57" s="772"/>
      <c r="FK57" s="772"/>
      <c r="FL57" s="772"/>
      <c r="FM57" s="772"/>
      <c r="FN57" s="772"/>
      <c r="FO57" s="772"/>
      <c r="FP57" s="772"/>
      <c r="FQ57" s="772"/>
      <c r="FR57" s="772"/>
      <c r="FS57" s="772"/>
      <c r="FT57" s="772"/>
      <c r="FU57" s="772"/>
      <c r="FV57" s="772"/>
      <c r="FW57" s="772"/>
      <c r="FX57" s="772"/>
      <c r="FY57" s="772"/>
      <c r="FZ57" s="772"/>
      <c r="GA57" s="772"/>
      <c r="GB57" s="772"/>
      <c r="GC57" s="772"/>
      <c r="GD57" s="772"/>
      <c r="GE57" s="772"/>
      <c r="GF57" s="772"/>
      <c r="GG57" s="772"/>
      <c r="GH57" s="772"/>
      <c r="GI57" s="772"/>
      <c r="GJ57" s="772"/>
      <c r="GK57" s="772"/>
      <c r="GL57" s="772"/>
      <c r="GM57" s="772"/>
      <c r="GN57" s="772"/>
      <c r="GO57" s="772"/>
      <c r="GP57" s="772"/>
      <c r="GQ57" s="772"/>
      <c r="GR57" s="772"/>
      <c r="GS57" s="772"/>
      <c r="GT57" s="772"/>
      <c r="GU57" s="772"/>
      <c r="GV57" s="772"/>
      <c r="GW57" s="772"/>
      <c r="GX57" s="772"/>
      <c r="GY57" s="772"/>
      <c r="GZ57" s="772"/>
      <c r="HA57" s="772"/>
      <c r="HB57" s="772"/>
      <c r="HC57" s="772"/>
      <c r="HD57" s="772"/>
      <c r="HE57" s="772"/>
      <c r="HF57" s="772"/>
      <c r="HG57" s="772"/>
      <c r="HH57" s="772"/>
      <c r="HI57" s="772"/>
      <c r="HJ57" s="772"/>
      <c r="HK57" s="772"/>
      <c r="HL57" s="772"/>
      <c r="HM57" s="772"/>
      <c r="HN57" s="772"/>
      <c r="HO57" s="772"/>
      <c r="HP57" s="772"/>
      <c r="HQ57" s="772"/>
      <c r="HR57" s="772"/>
      <c r="HS57" s="772"/>
      <c r="HT57" s="772"/>
      <c r="HU57" s="772"/>
      <c r="HV57" s="772"/>
      <c r="HW57" s="772"/>
      <c r="HX57" s="772"/>
      <c r="HY57" s="772"/>
      <c r="HZ57" s="772"/>
      <c r="IA57" s="772"/>
      <c r="IB57" s="772"/>
      <c r="IC57" s="772"/>
      <c r="ID57" s="772"/>
      <c r="IE57" s="772"/>
      <c r="IF57" s="772"/>
      <c r="IG57" s="772"/>
      <c r="IH57" s="772"/>
      <c r="II57" s="772"/>
      <c r="IJ57" s="772"/>
      <c r="IK57" s="772"/>
    </row>
    <row r="58" spans="1:245" s="765" customFormat="1" ht="20.100000000000001" customHeight="1" x14ac:dyDescent="0.25">
      <c r="A58" s="772"/>
      <c r="B58" s="783"/>
      <c r="C58" s="784"/>
      <c r="D58" s="784"/>
      <c r="E58" s="784"/>
      <c r="F58" s="784"/>
      <c r="G58" s="784"/>
      <c r="H58" s="772"/>
      <c r="I58" s="1664">
        <f t="shared" si="32"/>
        <v>34</v>
      </c>
      <c r="J58" s="1668">
        <f t="shared" si="47"/>
        <v>0</v>
      </c>
      <c r="K58" s="1666">
        <f t="shared" si="42"/>
        <v>0</v>
      </c>
      <c r="L58" s="1670">
        <f t="shared" ref="L58:L89" si="52">ROUND(IF(J58=0,0,IF(I58=annuité_emprunt1,M57,IF(I58&gt;différé_emprunt1,-PPMT((taux_emprunt1/périodicité_emprunt1),I58-différé_emprunt1,(annuité_emprunt1-différé_emprunt1),emprunt1),0))),2)</f>
        <v>0</v>
      </c>
      <c r="M58" s="1668">
        <f t="shared" si="33"/>
        <v>0</v>
      </c>
      <c r="N58" s="772"/>
      <c r="O58" s="1664">
        <f t="shared" si="34"/>
        <v>34</v>
      </c>
      <c r="P58" s="1668">
        <f t="shared" si="48"/>
        <v>0</v>
      </c>
      <c r="Q58" s="1666">
        <f t="shared" si="43"/>
        <v>0</v>
      </c>
      <c r="R58" s="1670">
        <f t="shared" ref="R58:R89" si="53">ROUND(IF(P58=0,0,IF(O58=annuité_emprunt2,S57,IF(O58&gt;différé_emprunt2,-PPMT((taux_emprunt2/périodicité_emprunt2),O58-différé_emprunt2,(annuité_emprunt2-différé_emprunt2),emprunt2),0))),2)</f>
        <v>0</v>
      </c>
      <c r="S58" s="1668">
        <f t="shared" si="35"/>
        <v>0</v>
      </c>
      <c r="T58" s="772"/>
      <c r="U58" s="1664">
        <f t="shared" si="36"/>
        <v>34</v>
      </c>
      <c r="V58" s="1668">
        <f t="shared" si="49"/>
        <v>0</v>
      </c>
      <c r="W58" s="1666">
        <f t="shared" si="44"/>
        <v>0</v>
      </c>
      <c r="X58" s="1670">
        <f t="shared" ref="X58:X89" si="54">ROUND(IF(V58=0,0,IF(U58=annuité_emprunt3,Y57,IF(U58&gt;différé_emprunt3,-PPMT((taux_emprunt3/périodicité_emprunt3),U58-différé_emprunt3,(annuité_emprunt3-différé_emprunt3),emprunt3),0))),2)</f>
        <v>0</v>
      </c>
      <c r="Y58" s="1668">
        <f t="shared" si="37"/>
        <v>0</v>
      </c>
      <c r="Z58" s="772"/>
      <c r="AA58" s="1664">
        <f t="shared" si="38"/>
        <v>34</v>
      </c>
      <c r="AB58" s="1668">
        <f t="shared" si="50"/>
        <v>0</v>
      </c>
      <c r="AC58" s="1666">
        <f t="shared" si="45"/>
        <v>0</v>
      </c>
      <c r="AD58" s="1670">
        <f t="shared" ref="AD58:AD89" si="55">ROUND(IF(AB58=0,0,IF(AA58=annuité_emprunt4,AE57,IF(AA58&gt;différé_emprunt4,-PPMT((taux_emprunt4/périodicité_emprunt4),AA58-différé_emprunt4,(annuité_emprunt4-différé_emprunt4),emprunt4),0))),2)</f>
        <v>0</v>
      </c>
      <c r="AE58" s="1668">
        <f t="shared" si="39"/>
        <v>0</v>
      </c>
      <c r="AF58" s="772"/>
      <c r="AG58" s="1664">
        <f t="shared" si="40"/>
        <v>34</v>
      </c>
      <c r="AH58" s="1668">
        <f t="shared" si="51"/>
        <v>0</v>
      </c>
      <c r="AI58" s="1666">
        <f t="shared" si="46"/>
        <v>0</v>
      </c>
      <c r="AJ58" s="1670">
        <f t="shared" ref="AJ58:AJ89" si="56">ROUND(IF(AH58=0,0,IF(AG58=annuité_emprunt5,AK57,IF(AG58&gt;différé_emprunt5,-PPMT((taux_emprunt5/périodicité_emprunt5),AG58-différé_emprunt5,(annuité_emprunt5-différé_emprunt5),emprunt5),0))),2)</f>
        <v>0</v>
      </c>
      <c r="AK58" s="1668">
        <f t="shared" si="41"/>
        <v>0</v>
      </c>
      <c r="AL58" s="772"/>
      <c r="AM58" s="772"/>
      <c r="AN58" s="772"/>
      <c r="AO58" s="772"/>
      <c r="AP58" s="772"/>
      <c r="AQ58" s="772"/>
      <c r="AR58" s="772"/>
      <c r="AS58" s="772"/>
      <c r="AT58" s="772"/>
      <c r="AU58" s="772"/>
      <c r="AV58" s="772"/>
      <c r="AW58" s="772"/>
      <c r="AX58" s="772"/>
      <c r="AY58" s="772"/>
      <c r="AZ58" s="772"/>
      <c r="BA58" s="772"/>
      <c r="BB58" s="772"/>
      <c r="BC58" s="772"/>
      <c r="BD58" s="772"/>
      <c r="BE58" s="772"/>
      <c r="BF58" s="772"/>
      <c r="BG58" s="772"/>
      <c r="BH58" s="772"/>
      <c r="BI58" s="772"/>
      <c r="BJ58" s="772"/>
      <c r="BK58" s="772"/>
      <c r="BL58" s="772"/>
      <c r="BM58" s="772"/>
      <c r="BN58" s="772"/>
      <c r="BO58" s="772"/>
      <c r="BP58" s="772"/>
      <c r="BQ58" s="772"/>
      <c r="BR58" s="772"/>
      <c r="BS58" s="772"/>
      <c r="BT58" s="772"/>
      <c r="BU58" s="772"/>
      <c r="BV58" s="772"/>
      <c r="BW58" s="772"/>
      <c r="BX58" s="772"/>
      <c r="BY58" s="772"/>
      <c r="BZ58" s="772"/>
      <c r="CA58" s="772"/>
      <c r="CB58" s="772"/>
      <c r="CC58" s="772"/>
      <c r="CD58" s="772"/>
      <c r="CE58" s="772"/>
      <c r="CF58" s="772"/>
      <c r="CG58" s="772"/>
      <c r="CH58" s="772"/>
      <c r="CI58" s="772"/>
      <c r="CJ58" s="772"/>
      <c r="CK58" s="772"/>
      <c r="CL58" s="772"/>
      <c r="CM58" s="772"/>
      <c r="CN58" s="772"/>
      <c r="CO58" s="772"/>
      <c r="CP58" s="772"/>
      <c r="CQ58" s="772"/>
      <c r="CR58" s="772"/>
      <c r="CS58" s="772"/>
      <c r="CT58" s="772"/>
      <c r="CU58" s="772"/>
      <c r="CV58" s="772"/>
      <c r="CW58" s="772"/>
      <c r="CX58" s="772"/>
      <c r="CY58" s="772"/>
      <c r="CZ58" s="772"/>
      <c r="DA58" s="772"/>
      <c r="DB58" s="772"/>
      <c r="DC58" s="772"/>
      <c r="DD58" s="772"/>
      <c r="DE58" s="772"/>
      <c r="DF58" s="772"/>
      <c r="DG58" s="772"/>
      <c r="DH58" s="772"/>
      <c r="DI58" s="772"/>
      <c r="DJ58" s="772"/>
      <c r="DK58" s="772"/>
      <c r="DL58" s="772"/>
      <c r="DM58" s="772"/>
      <c r="DN58" s="772"/>
      <c r="DO58" s="772"/>
      <c r="DP58" s="772"/>
      <c r="DQ58" s="772"/>
      <c r="DR58" s="772"/>
      <c r="DS58" s="772"/>
      <c r="DT58" s="772"/>
      <c r="DU58" s="772"/>
      <c r="DV58" s="772"/>
      <c r="DW58" s="772"/>
      <c r="DX58" s="772"/>
      <c r="DY58" s="772"/>
      <c r="DZ58" s="772"/>
      <c r="EA58" s="772"/>
      <c r="EB58" s="772"/>
      <c r="EC58" s="772"/>
      <c r="ED58" s="772"/>
      <c r="EE58" s="772"/>
      <c r="EF58" s="772"/>
      <c r="EG58" s="772"/>
      <c r="EH58" s="772"/>
      <c r="EI58" s="772"/>
      <c r="EJ58" s="772"/>
      <c r="EK58" s="772"/>
      <c r="EL58" s="772"/>
      <c r="EM58" s="772"/>
      <c r="EN58" s="772"/>
      <c r="EO58" s="772"/>
      <c r="EP58" s="772"/>
      <c r="EQ58" s="772"/>
      <c r="ER58" s="772"/>
      <c r="ES58" s="772"/>
      <c r="ET58" s="772"/>
      <c r="EU58" s="772"/>
      <c r="EV58" s="772"/>
      <c r="EW58" s="772"/>
      <c r="EX58" s="772"/>
      <c r="EY58" s="772"/>
      <c r="EZ58" s="772"/>
      <c r="FA58" s="772"/>
      <c r="FB58" s="772"/>
      <c r="FC58" s="772"/>
      <c r="FD58" s="772"/>
      <c r="FE58" s="772"/>
      <c r="FF58" s="772"/>
      <c r="FG58" s="772"/>
      <c r="FH58" s="772"/>
      <c r="FI58" s="772"/>
      <c r="FJ58" s="772"/>
      <c r="FK58" s="772"/>
      <c r="FL58" s="772"/>
      <c r="FM58" s="772"/>
      <c r="FN58" s="772"/>
      <c r="FO58" s="772"/>
      <c r="FP58" s="772"/>
      <c r="FQ58" s="772"/>
      <c r="FR58" s="772"/>
      <c r="FS58" s="772"/>
      <c r="FT58" s="772"/>
      <c r="FU58" s="772"/>
      <c r="FV58" s="772"/>
      <c r="FW58" s="772"/>
      <c r="FX58" s="772"/>
      <c r="FY58" s="772"/>
      <c r="FZ58" s="772"/>
      <c r="GA58" s="772"/>
      <c r="GB58" s="772"/>
      <c r="GC58" s="772"/>
      <c r="GD58" s="772"/>
      <c r="GE58" s="772"/>
      <c r="GF58" s="772"/>
      <c r="GG58" s="772"/>
      <c r="GH58" s="772"/>
      <c r="GI58" s="772"/>
      <c r="GJ58" s="772"/>
      <c r="GK58" s="772"/>
      <c r="GL58" s="772"/>
      <c r="GM58" s="772"/>
      <c r="GN58" s="772"/>
      <c r="GO58" s="772"/>
      <c r="GP58" s="772"/>
      <c r="GQ58" s="772"/>
      <c r="GR58" s="772"/>
      <c r="GS58" s="772"/>
      <c r="GT58" s="772"/>
      <c r="GU58" s="772"/>
      <c r="GV58" s="772"/>
      <c r="GW58" s="772"/>
      <c r="GX58" s="772"/>
      <c r="GY58" s="772"/>
      <c r="GZ58" s="772"/>
      <c r="HA58" s="772"/>
      <c r="HB58" s="772"/>
      <c r="HC58" s="772"/>
      <c r="HD58" s="772"/>
      <c r="HE58" s="772"/>
      <c r="HF58" s="772"/>
      <c r="HG58" s="772"/>
      <c r="HH58" s="772"/>
      <c r="HI58" s="772"/>
      <c r="HJ58" s="772"/>
      <c r="HK58" s="772"/>
      <c r="HL58" s="772"/>
      <c r="HM58" s="772"/>
      <c r="HN58" s="772"/>
      <c r="HO58" s="772"/>
      <c r="HP58" s="772"/>
      <c r="HQ58" s="772"/>
      <c r="HR58" s="772"/>
      <c r="HS58" s="772"/>
      <c r="HT58" s="772"/>
      <c r="HU58" s="772"/>
      <c r="HV58" s="772"/>
      <c r="HW58" s="772"/>
      <c r="HX58" s="772"/>
      <c r="HY58" s="772"/>
      <c r="HZ58" s="772"/>
      <c r="IA58" s="772"/>
      <c r="IB58" s="772"/>
      <c r="IC58" s="772"/>
      <c r="ID58" s="772"/>
      <c r="IE58" s="772"/>
      <c r="IF58" s="772"/>
      <c r="IG58" s="772"/>
      <c r="IH58" s="772"/>
      <c r="II58" s="772"/>
      <c r="IJ58" s="772"/>
      <c r="IK58" s="772"/>
    </row>
    <row r="59" spans="1:245" s="765" customFormat="1" ht="20.100000000000001" customHeight="1" x14ac:dyDescent="0.25">
      <c r="A59" s="772"/>
      <c r="B59" s="783"/>
      <c r="C59" s="784"/>
      <c r="D59" s="784"/>
      <c r="E59" s="784"/>
      <c r="F59" s="784"/>
      <c r="G59" s="784"/>
      <c r="H59" s="772"/>
      <c r="I59" s="1664">
        <f t="shared" si="32"/>
        <v>35</v>
      </c>
      <c r="J59" s="1668">
        <f t="shared" si="47"/>
        <v>0</v>
      </c>
      <c r="K59" s="1666">
        <f t="shared" si="42"/>
        <v>0</v>
      </c>
      <c r="L59" s="1670">
        <f t="shared" si="52"/>
        <v>0</v>
      </c>
      <c r="M59" s="1668">
        <f t="shared" si="33"/>
        <v>0</v>
      </c>
      <c r="N59" s="772"/>
      <c r="O59" s="1664">
        <f t="shared" si="34"/>
        <v>35</v>
      </c>
      <c r="P59" s="1668">
        <f t="shared" si="48"/>
        <v>0</v>
      </c>
      <c r="Q59" s="1666">
        <f t="shared" si="43"/>
        <v>0</v>
      </c>
      <c r="R59" s="1670">
        <f t="shared" si="53"/>
        <v>0</v>
      </c>
      <c r="S59" s="1668">
        <f t="shared" si="35"/>
        <v>0</v>
      </c>
      <c r="T59" s="772"/>
      <c r="U59" s="1664">
        <f t="shared" si="36"/>
        <v>35</v>
      </c>
      <c r="V59" s="1668">
        <f t="shared" si="49"/>
        <v>0</v>
      </c>
      <c r="W59" s="1666">
        <f t="shared" si="44"/>
        <v>0</v>
      </c>
      <c r="X59" s="1670">
        <f t="shared" si="54"/>
        <v>0</v>
      </c>
      <c r="Y59" s="1668">
        <f t="shared" si="37"/>
        <v>0</v>
      </c>
      <c r="Z59" s="772"/>
      <c r="AA59" s="1664">
        <f t="shared" si="38"/>
        <v>35</v>
      </c>
      <c r="AB59" s="1668">
        <f t="shared" si="50"/>
        <v>0</v>
      </c>
      <c r="AC59" s="1666">
        <f t="shared" si="45"/>
        <v>0</v>
      </c>
      <c r="AD59" s="1670">
        <f t="shared" si="55"/>
        <v>0</v>
      </c>
      <c r="AE59" s="1668">
        <f t="shared" si="39"/>
        <v>0</v>
      </c>
      <c r="AF59" s="772"/>
      <c r="AG59" s="1664">
        <f t="shared" si="40"/>
        <v>35</v>
      </c>
      <c r="AH59" s="1668">
        <f t="shared" si="51"/>
        <v>0</v>
      </c>
      <c r="AI59" s="1666">
        <f t="shared" si="46"/>
        <v>0</v>
      </c>
      <c r="AJ59" s="1670">
        <f t="shared" si="56"/>
        <v>0</v>
      </c>
      <c r="AK59" s="1668">
        <f t="shared" si="41"/>
        <v>0</v>
      </c>
      <c r="AL59" s="772"/>
      <c r="AM59" s="772"/>
      <c r="AN59" s="772"/>
      <c r="AO59" s="772"/>
      <c r="AP59" s="772"/>
      <c r="AQ59" s="772"/>
      <c r="AR59" s="772"/>
      <c r="AS59" s="772"/>
      <c r="AT59" s="772"/>
      <c r="AU59" s="772"/>
      <c r="AV59" s="772"/>
      <c r="AW59" s="772"/>
      <c r="AX59" s="772"/>
      <c r="AY59" s="772"/>
      <c r="AZ59" s="772"/>
      <c r="BA59" s="772"/>
      <c r="BB59" s="772"/>
      <c r="BC59" s="772"/>
      <c r="BD59" s="772"/>
      <c r="BE59" s="772"/>
      <c r="BF59" s="772"/>
      <c r="BG59" s="772"/>
      <c r="BH59" s="772"/>
      <c r="BI59" s="772"/>
      <c r="BJ59" s="772"/>
      <c r="BK59" s="772"/>
      <c r="BL59" s="772"/>
      <c r="BM59" s="772"/>
      <c r="BN59" s="772"/>
      <c r="BO59" s="772"/>
      <c r="BP59" s="772"/>
      <c r="BQ59" s="772"/>
      <c r="BR59" s="772"/>
      <c r="BS59" s="772"/>
      <c r="BT59" s="772"/>
      <c r="BU59" s="772"/>
      <c r="BV59" s="772"/>
      <c r="BW59" s="772"/>
      <c r="BX59" s="772"/>
      <c r="BY59" s="772"/>
      <c r="BZ59" s="772"/>
      <c r="CA59" s="772"/>
      <c r="CB59" s="772"/>
      <c r="CC59" s="772"/>
      <c r="CD59" s="772"/>
      <c r="CE59" s="772"/>
      <c r="CF59" s="772"/>
      <c r="CG59" s="772"/>
      <c r="CH59" s="772"/>
      <c r="CI59" s="772"/>
      <c r="CJ59" s="772"/>
      <c r="CK59" s="772"/>
      <c r="CL59" s="772"/>
      <c r="CM59" s="772"/>
      <c r="CN59" s="772"/>
      <c r="CO59" s="772"/>
      <c r="CP59" s="772"/>
      <c r="CQ59" s="772"/>
      <c r="CR59" s="772"/>
      <c r="CS59" s="772"/>
      <c r="CT59" s="772"/>
      <c r="CU59" s="772"/>
      <c r="CV59" s="772"/>
      <c r="CW59" s="772"/>
      <c r="CX59" s="772"/>
      <c r="CY59" s="772"/>
      <c r="CZ59" s="772"/>
      <c r="DA59" s="772"/>
      <c r="DB59" s="772"/>
      <c r="DC59" s="772"/>
      <c r="DD59" s="772"/>
      <c r="DE59" s="772"/>
      <c r="DF59" s="772"/>
      <c r="DG59" s="772"/>
      <c r="DH59" s="772"/>
      <c r="DI59" s="772"/>
      <c r="DJ59" s="772"/>
      <c r="DK59" s="772"/>
      <c r="DL59" s="772"/>
      <c r="DM59" s="772"/>
      <c r="DN59" s="772"/>
      <c r="DO59" s="772"/>
      <c r="DP59" s="772"/>
      <c r="DQ59" s="772"/>
      <c r="DR59" s="772"/>
      <c r="DS59" s="772"/>
      <c r="DT59" s="772"/>
      <c r="DU59" s="772"/>
      <c r="DV59" s="772"/>
      <c r="DW59" s="772"/>
      <c r="DX59" s="772"/>
      <c r="DY59" s="772"/>
      <c r="DZ59" s="772"/>
      <c r="EA59" s="772"/>
      <c r="EB59" s="772"/>
      <c r="EC59" s="772"/>
      <c r="ED59" s="772"/>
      <c r="EE59" s="772"/>
      <c r="EF59" s="772"/>
      <c r="EG59" s="772"/>
      <c r="EH59" s="772"/>
      <c r="EI59" s="772"/>
      <c r="EJ59" s="772"/>
      <c r="EK59" s="772"/>
      <c r="EL59" s="772"/>
      <c r="EM59" s="772"/>
      <c r="EN59" s="772"/>
      <c r="EO59" s="772"/>
      <c r="EP59" s="772"/>
      <c r="EQ59" s="772"/>
      <c r="ER59" s="772"/>
      <c r="ES59" s="772"/>
      <c r="ET59" s="772"/>
      <c r="EU59" s="772"/>
      <c r="EV59" s="772"/>
      <c r="EW59" s="772"/>
      <c r="EX59" s="772"/>
      <c r="EY59" s="772"/>
      <c r="EZ59" s="772"/>
      <c r="FA59" s="772"/>
      <c r="FB59" s="772"/>
      <c r="FC59" s="772"/>
      <c r="FD59" s="772"/>
      <c r="FE59" s="772"/>
      <c r="FF59" s="772"/>
      <c r="FG59" s="772"/>
      <c r="FH59" s="772"/>
      <c r="FI59" s="772"/>
      <c r="FJ59" s="772"/>
      <c r="FK59" s="772"/>
      <c r="FL59" s="772"/>
      <c r="FM59" s="772"/>
      <c r="FN59" s="772"/>
      <c r="FO59" s="772"/>
      <c r="FP59" s="772"/>
      <c r="FQ59" s="772"/>
      <c r="FR59" s="772"/>
      <c r="FS59" s="772"/>
      <c r="FT59" s="772"/>
      <c r="FU59" s="772"/>
      <c r="FV59" s="772"/>
      <c r="FW59" s="772"/>
      <c r="FX59" s="772"/>
      <c r="FY59" s="772"/>
      <c r="FZ59" s="772"/>
      <c r="GA59" s="772"/>
      <c r="GB59" s="772"/>
      <c r="GC59" s="772"/>
      <c r="GD59" s="772"/>
      <c r="GE59" s="772"/>
      <c r="GF59" s="772"/>
      <c r="GG59" s="772"/>
      <c r="GH59" s="772"/>
      <c r="GI59" s="772"/>
      <c r="GJ59" s="772"/>
      <c r="GK59" s="772"/>
      <c r="GL59" s="772"/>
      <c r="GM59" s="772"/>
      <c r="GN59" s="772"/>
      <c r="GO59" s="772"/>
      <c r="GP59" s="772"/>
      <c r="GQ59" s="772"/>
      <c r="GR59" s="772"/>
      <c r="GS59" s="772"/>
      <c r="GT59" s="772"/>
      <c r="GU59" s="772"/>
      <c r="GV59" s="772"/>
      <c r="GW59" s="772"/>
      <c r="GX59" s="772"/>
      <c r="GY59" s="772"/>
      <c r="GZ59" s="772"/>
      <c r="HA59" s="772"/>
      <c r="HB59" s="772"/>
      <c r="HC59" s="772"/>
      <c r="HD59" s="772"/>
      <c r="HE59" s="772"/>
      <c r="HF59" s="772"/>
      <c r="HG59" s="772"/>
      <c r="HH59" s="772"/>
      <c r="HI59" s="772"/>
      <c r="HJ59" s="772"/>
      <c r="HK59" s="772"/>
      <c r="HL59" s="772"/>
      <c r="HM59" s="772"/>
      <c r="HN59" s="772"/>
      <c r="HO59" s="772"/>
      <c r="HP59" s="772"/>
      <c r="HQ59" s="772"/>
      <c r="HR59" s="772"/>
      <c r="HS59" s="772"/>
      <c r="HT59" s="772"/>
      <c r="HU59" s="772"/>
      <c r="HV59" s="772"/>
      <c r="HW59" s="772"/>
      <c r="HX59" s="772"/>
      <c r="HY59" s="772"/>
      <c r="HZ59" s="772"/>
      <c r="IA59" s="772"/>
      <c r="IB59" s="772"/>
      <c r="IC59" s="772"/>
      <c r="ID59" s="772"/>
      <c r="IE59" s="772"/>
      <c r="IF59" s="772"/>
      <c r="IG59" s="772"/>
      <c r="IH59" s="772"/>
      <c r="II59" s="772"/>
      <c r="IJ59" s="772"/>
      <c r="IK59" s="772"/>
    </row>
    <row r="60" spans="1:245" s="765" customFormat="1" ht="20.100000000000001" customHeight="1" x14ac:dyDescent="0.25">
      <c r="A60" s="772"/>
      <c r="B60" s="783"/>
      <c r="C60" s="784"/>
      <c r="D60" s="784"/>
      <c r="E60" s="784"/>
      <c r="F60" s="784"/>
      <c r="G60" s="784"/>
      <c r="H60" s="772"/>
      <c r="I60" s="1664">
        <f t="shared" si="32"/>
        <v>36</v>
      </c>
      <c r="J60" s="1668">
        <f t="shared" si="47"/>
        <v>0</v>
      </c>
      <c r="K60" s="1666">
        <f t="shared" si="42"/>
        <v>0</v>
      </c>
      <c r="L60" s="1670">
        <f t="shared" si="52"/>
        <v>0</v>
      </c>
      <c r="M60" s="1668">
        <f t="shared" si="33"/>
        <v>0</v>
      </c>
      <c r="N60" s="772"/>
      <c r="O60" s="1664">
        <f t="shared" si="34"/>
        <v>36</v>
      </c>
      <c r="P60" s="1668">
        <f t="shared" si="48"/>
        <v>0</v>
      </c>
      <c r="Q60" s="1666">
        <f t="shared" si="43"/>
        <v>0</v>
      </c>
      <c r="R60" s="1670">
        <f t="shared" si="53"/>
        <v>0</v>
      </c>
      <c r="S60" s="1668">
        <f t="shared" si="35"/>
        <v>0</v>
      </c>
      <c r="T60" s="772"/>
      <c r="U60" s="1664">
        <f t="shared" si="36"/>
        <v>36</v>
      </c>
      <c r="V60" s="1668">
        <f t="shared" si="49"/>
        <v>0</v>
      </c>
      <c r="W60" s="1666">
        <f t="shared" si="44"/>
        <v>0</v>
      </c>
      <c r="X60" s="1670">
        <f t="shared" si="54"/>
        <v>0</v>
      </c>
      <c r="Y60" s="1668">
        <f t="shared" si="37"/>
        <v>0</v>
      </c>
      <c r="Z60" s="772"/>
      <c r="AA60" s="1664">
        <f t="shared" si="38"/>
        <v>36</v>
      </c>
      <c r="AB60" s="1668">
        <f t="shared" si="50"/>
        <v>0</v>
      </c>
      <c r="AC60" s="1666">
        <f t="shared" si="45"/>
        <v>0</v>
      </c>
      <c r="AD60" s="1670">
        <f t="shared" si="55"/>
        <v>0</v>
      </c>
      <c r="AE60" s="1668">
        <f t="shared" si="39"/>
        <v>0</v>
      </c>
      <c r="AF60" s="772"/>
      <c r="AG60" s="1664">
        <f t="shared" si="40"/>
        <v>36</v>
      </c>
      <c r="AH60" s="1668">
        <f t="shared" si="51"/>
        <v>0</v>
      </c>
      <c r="AI60" s="1666">
        <f t="shared" si="46"/>
        <v>0</v>
      </c>
      <c r="AJ60" s="1670">
        <f t="shared" si="56"/>
        <v>0</v>
      </c>
      <c r="AK60" s="1668">
        <f t="shared" si="41"/>
        <v>0</v>
      </c>
      <c r="AL60" s="772"/>
      <c r="AM60" s="772"/>
      <c r="AN60" s="772"/>
      <c r="AO60" s="772"/>
      <c r="AP60" s="772"/>
      <c r="AQ60" s="772"/>
      <c r="AR60" s="772"/>
      <c r="AS60" s="772"/>
      <c r="AT60" s="772"/>
      <c r="AU60" s="772"/>
      <c r="AV60" s="772"/>
      <c r="AW60" s="772"/>
      <c r="AX60" s="772"/>
      <c r="AY60" s="772"/>
      <c r="AZ60" s="772"/>
      <c r="BA60" s="772"/>
      <c r="BB60" s="772"/>
      <c r="BC60" s="772"/>
      <c r="BD60" s="772"/>
      <c r="BE60" s="772"/>
      <c r="BF60" s="772"/>
      <c r="BG60" s="772"/>
      <c r="BH60" s="772"/>
      <c r="BI60" s="772"/>
      <c r="BJ60" s="772"/>
      <c r="BK60" s="772"/>
      <c r="BL60" s="772"/>
      <c r="BM60" s="772"/>
      <c r="BN60" s="772"/>
      <c r="BO60" s="772"/>
      <c r="BP60" s="772"/>
      <c r="BQ60" s="772"/>
      <c r="BR60" s="772"/>
      <c r="BS60" s="772"/>
      <c r="BT60" s="772"/>
      <c r="BU60" s="772"/>
      <c r="BV60" s="772"/>
      <c r="BW60" s="772"/>
      <c r="BX60" s="772"/>
      <c r="BY60" s="772"/>
      <c r="BZ60" s="772"/>
      <c r="CA60" s="772"/>
      <c r="CB60" s="772"/>
      <c r="CC60" s="772"/>
      <c r="CD60" s="772"/>
      <c r="CE60" s="772"/>
      <c r="CF60" s="772"/>
      <c r="CG60" s="772"/>
      <c r="CH60" s="772"/>
      <c r="CI60" s="772"/>
      <c r="CJ60" s="772"/>
      <c r="CK60" s="772"/>
      <c r="CL60" s="772"/>
      <c r="CM60" s="772"/>
      <c r="CN60" s="772"/>
      <c r="CO60" s="772"/>
      <c r="CP60" s="772"/>
      <c r="CQ60" s="772"/>
      <c r="CR60" s="772"/>
      <c r="CS60" s="772"/>
      <c r="CT60" s="772"/>
      <c r="CU60" s="772"/>
      <c r="CV60" s="772"/>
      <c r="CW60" s="772"/>
      <c r="CX60" s="772"/>
      <c r="CY60" s="772"/>
      <c r="CZ60" s="772"/>
      <c r="DA60" s="772"/>
      <c r="DB60" s="772"/>
      <c r="DC60" s="772"/>
      <c r="DD60" s="772"/>
      <c r="DE60" s="772"/>
      <c r="DF60" s="772"/>
      <c r="DG60" s="772"/>
      <c r="DH60" s="772"/>
      <c r="DI60" s="772"/>
      <c r="DJ60" s="772"/>
      <c r="DK60" s="772"/>
      <c r="DL60" s="772"/>
      <c r="DM60" s="772"/>
      <c r="DN60" s="772"/>
      <c r="DO60" s="772"/>
      <c r="DP60" s="772"/>
      <c r="DQ60" s="772"/>
      <c r="DR60" s="772"/>
      <c r="DS60" s="772"/>
      <c r="DT60" s="772"/>
      <c r="DU60" s="772"/>
      <c r="DV60" s="772"/>
      <c r="DW60" s="772"/>
      <c r="DX60" s="772"/>
      <c r="DY60" s="772"/>
      <c r="DZ60" s="772"/>
      <c r="EA60" s="772"/>
      <c r="EB60" s="772"/>
      <c r="EC60" s="772"/>
      <c r="ED60" s="772"/>
      <c r="EE60" s="772"/>
      <c r="EF60" s="772"/>
      <c r="EG60" s="772"/>
      <c r="EH60" s="772"/>
      <c r="EI60" s="772"/>
      <c r="EJ60" s="772"/>
      <c r="EK60" s="772"/>
      <c r="EL60" s="772"/>
      <c r="EM60" s="772"/>
      <c r="EN60" s="772"/>
      <c r="EO60" s="772"/>
      <c r="EP60" s="772"/>
      <c r="EQ60" s="772"/>
      <c r="ER60" s="772"/>
      <c r="ES60" s="772"/>
      <c r="ET60" s="772"/>
      <c r="EU60" s="772"/>
      <c r="EV60" s="772"/>
      <c r="EW60" s="772"/>
      <c r="EX60" s="772"/>
      <c r="EY60" s="772"/>
      <c r="EZ60" s="772"/>
      <c r="FA60" s="772"/>
      <c r="FB60" s="772"/>
      <c r="FC60" s="772"/>
      <c r="FD60" s="772"/>
      <c r="FE60" s="772"/>
      <c r="FF60" s="772"/>
      <c r="FG60" s="772"/>
      <c r="FH60" s="772"/>
      <c r="FI60" s="772"/>
      <c r="FJ60" s="772"/>
      <c r="FK60" s="772"/>
      <c r="FL60" s="772"/>
      <c r="FM60" s="772"/>
      <c r="FN60" s="772"/>
      <c r="FO60" s="772"/>
      <c r="FP60" s="772"/>
      <c r="FQ60" s="772"/>
      <c r="FR60" s="772"/>
      <c r="FS60" s="772"/>
      <c r="FT60" s="772"/>
      <c r="FU60" s="772"/>
      <c r="FV60" s="772"/>
      <c r="FW60" s="772"/>
      <c r="FX60" s="772"/>
      <c r="FY60" s="772"/>
      <c r="FZ60" s="772"/>
      <c r="GA60" s="772"/>
      <c r="GB60" s="772"/>
      <c r="GC60" s="772"/>
      <c r="GD60" s="772"/>
      <c r="GE60" s="772"/>
      <c r="GF60" s="772"/>
      <c r="GG60" s="772"/>
      <c r="GH60" s="772"/>
      <c r="GI60" s="772"/>
      <c r="GJ60" s="772"/>
      <c r="GK60" s="772"/>
      <c r="GL60" s="772"/>
      <c r="GM60" s="772"/>
      <c r="GN60" s="772"/>
      <c r="GO60" s="772"/>
      <c r="GP60" s="772"/>
      <c r="GQ60" s="772"/>
      <c r="GR60" s="772"/>
      <c r="GS60" s="772"/>
      <c r="GT60" s="772"/>
      <c r="GU60" s="772"/>
      <c r="GV60" s="772"/>
      <c r="GW60" s="772"/>
      <c r="GX60" s="772"/>
      <c r="GY60" s="772"/>
      <c r="GZ60" s="772"/>
      <c r="HA60" s="772"/>
      <c r="HB60" s="772"/>
      <c r="HC60" s="772"/>
      <c r="HD60" s="772"/>
      <c r="HE60" s="772"/>
      <c r="HF60" s="772"/>
      <c r="HG60" s="772"/>
      <c r="HH60" s="772"/>
      <c r="HI60" s="772"/>
      <c r="HJ60" s="772"/>
      <c r="HK60" s="772"/>
      <c r="HL60" s="772"/>
      <c r="HM60" s="772"/>
      <c r="HN60" s="772"/>
      <c r="HO60" s="772"/>
      <c r="HP60" s="772"/>
      <c r="HQ60" s="772"/>
      <c r="HR60" s="772"/>
      <c r="HS60" s="772"/>
      <c r="HT60" s="772"/>
      <c r="HU60" s="772"/>
      <c r="HV60" s="772"/>
      <c r="HW60" s="772"/>
      <c r="HX60" s="772"/>
      <c r="HY60" s="772"/>
      <c r="HZ60" s="772"/>
      <c r="IA60" s="772"/>
      <c r="IB60" s="772"/>
      <c r="IC60" s="772"/>
      <c r="ID60" s="772"/>
      <c r="IE60" s="772"/>
      <c r="IF60" s="772"/>
      <c r="IG60" s="772"/>
      <c r="IH60" s="772"/>
      <c r="II60" s="772"/>
      <c r="IJ60" s="772"/>
      <c r="IK60" s="772"/>
    </row>
    <row r="61" spans="1:245" s="765" customFormat="1" ht="20.100000000000001" customHeight="1" x14ac:dyDescent="0.25">
      <c r="A61" s="772"/>
      <c r="B61" s="783"/>
      <c r="C61" s="784"/>
      <c r="D61" s="784"/>
      <c r="E61" s="784"/>
      <c r="F61" s="784"/>
      <c r="G61" s="784"/>
      <c r="H61" s="772"/>
      <c r="I61" s="1664">
        <f t="shared" si="32"/>
        <v>37</v>
      </c>
      <c r="J61" s="1668">
        <f t="shared" si="47"/>
        <v>0</v>
      </c>
      <c r="K61" s="1666">
        <f t="shared" si="42"/>
        <v>0</v>
      </c>
      <c r="L61" s="1670">
        <f t="shared" si="52"/>
        <v>0</v>
      </c>
      <c r="M61" s="1668">
        <f t="shared" si="33"/>
        <v>0</v>
      </c>
      <c r="N61" s="772"/>
      <c r="O61" s="1664">
        <f t="shared" si="34"/>
        <v>37</v>
      </c>
      <c r="P61" s="1668">
        <f t="shared" si="48"/>
        <v>0</v>
      </c>
      <c r="Q61" s="1666">
        <f t="shared" si="43"/>
        <v>0</v>
      </c>
      <c r="R61" s="1670">
        <f t="shared" si="53"/>
        <v>0</v>
      </c>
      <c r="S61" s="1668">
        <f t="shared" si="35"/>
        <v>0</v>
      </c>
      <c r="T61" s="772"/>
      <c r="U61" s="1664">
        <f t="shared" si="36"/>
        <v>37</v>
      </c>
      <c r="V61" s="1668">
        <f t="shared" si="49"/>
        <v>0</v>
      </c>
      <c r="W61" s="1666">
        <f t="shared" si="44"/>
        <v>0</v>
      </c>
      <c r="X61" s="1670">
        <f t="shared" si="54"/>
        <v>0</v>
      </c>
      <c r="Y61" s="1668">
        <f t="shared" si="37"/>
        <v>0</v>
      </c>
      <c r="Z61" s="772"/>
      <c r="AA61" s="1664">
        <f t="shared" si="38"/>
        <v>37</v>
      </c>
      <c r="AB61" s="1668">
        <f t="shared" si="50"/>
        <v>0</v>
      </c>
      <c r="AC61" s="1666">
        <f t="shared" si="45"/>
        <v>0</v>
      </c>
      <c r="AD61" s="1670">
        <f t="shared" si="55"/>
        <v>0</v>
      </c>
      <c r="AE61" s="1668">
        <f t="shared" si="39"/>
        <v>0</v>
      </c>
      <c r="AF61" s="772"/>
      <c r="AG61" s="1664">
        <f t="shared" si="40"/>
        <v>37</v>
      </c>
      <c r="AH61" s="1668">
        <f t="shared" si="51"/>
        <v>0</v>
      </c>
      <c r="AI61" s="1666">
        <f t="shared" si="46"/>
        <v>0</v>
      </c>
      <c r="AJ61" s="1670">
        <f t="shared" si="56"/>
        <v>0</v>
      </c>
      <c r="AK61" s="1668">
        <f t="shared" si="41"/>
        <v>0</v>
      </c>
      <c r="AL61" s="772"/>
      <c r="AM61" s="772"/>
      <c r="AN61" s="772"/>
      <c r="AO61" s="772"/>
      <c r="AP61" s="772"/>
      <c r="AQ61" s="772"/>
      <c r="AR61" s="772"/>
      <c r="AS61" s="772"/>
      <c r="AT61" s="772"/>
      <c r="AU61" s="772"/>
      <c r="AV61" s="772"/>
      <c r="AW61" s="772"/>
      <c r="AX61" s="772"/>
      <c r="AY61" s="772"/>
      <c r="AZ61" s="772"/>
      <c r="BA61" s="772"/>
      <c r="BB61" s="772"/>
      <c r="BC61" s="772"/>
      <c r="BD61" s="772"/>
      <c r="BE61" s="772"/>
      <c r="BF61" s="772"/>
      <c r="BG61" s="772"/>
      <c r="BH61" s="772"/>
      <c r="BI61" s="772"/>
      <c r="BJ61" s="772"/>
      <c r="BK61" s="772"/>
      <c r="BL61" s="772"/>
      <c r="BM61" s="772"/>
      <c r="BN61" s="772"/>
      <c r="BO61" s="772"/>
      <c r="BP61" s="772"/>
      <c r="BQ61" s="772"/>
      <c r="BR61" s="772"/>
      <c r="BS61" s="772"/>
      <c r="BT61" s="772"/>
      <c r="BU61" s="772"/>
      <c r="BV61" s="772"/>
      <c r="BW61" s="772"/>
      <c r="BX61" s="772"/>
      <c r="BY61" s="772"/>
      <c r="BZ61" s="772"/>
      <c r="CA61" s="772"/>
      <c r="CB61" s="772"/>
      <c r="CC61" s="772"/>
      <c r="CD61" s="772"/>
      <c r="CE61" s="772"/>
      <c r="CF61" s="772"/>
      <c r="CG61" s="772"/>
      <c r="CH61" s="772"/>
      <c r="CI61" s="772"/>
      <c r="CJ61" s="772"/>
      <c r="CK61" s="772"/>
      <c r="CL61" s="772"/>
      <c r="CM61" s="772"/>
      <c r="CN61" s="772"/>
      <c r="CO61" s="772"/>
      <c r="CP61" s="772"/>
      <c r="CQ61" s="772"/>
      <c r="CR61" s="772"/>
      <c r="CS61" s="772"/>
      <c r="CT61" s="772"/>
      <c r="CU61" s="772"/>
      <c r="CV61" s="772"/>
      <c r="CW61" s="772"/>
      <c r="CX61" s="772"/>
      <c r="CY61" s="772"/>
      <c r="CZ61" s="772"/>
      <c r="DA61" s="772"/>
      <c r="DB61" s="772"/>
      <c r="DC61" s="772"/>
      <c r="DD61" s="772"/>
      <c r="DE61" s="772"/>
      <c r="DF61" s="772"/>
      <c r="DG61" s="772"/>
      <c r="DH61" s="772"/>
      <c r="DI61" s="772"/>
      <c r="DJ61" s="772"/>
      <c r="DK61" s="772"/>
      <c r="DL61" s="772"/>
      <c r="DM61" s="772"/>
      <c r="DN61" s="772"/>
      <c r="DO61" s="772"/>
      <c r="DP61" s="772"/>
      <c r="DQ61" s="772"/>
      <c r="DR61" s="772"/>
      <c r="DS61" s="772"/>
      <c r="DT61" s="772"/>
      <c r="DU61" s="772"/>
      <c r="DV61" s="772"/>
      <c r="DW61" s="772"/>
      <c r="DX61" s="772"/>
      <c r="DY61" s="772"/>
      <c r="DZ61" s="772"/>
      <c r="EA61" s="772"/>
      <c r="EB61" s="772"/>
      <c r="EC61" s="772"/>
      <c r="ED61" s="772"/>
      <c r="EE61" s="772"/>
      <c r="EF61" s="772"/>
      <c r="EG61" s="772"/>
      <c r="EH61" s="772"/>
      <c r="EI61" s="772"/>
      <c r="EJ61" s="772"/>
      <c r="EK61" s="772"/>
      <c r="EL61" s="772"/>
      <c r="EM61" s="772"/>
      <c r="EN61" s="772"/>
      <c r="EO61" s="772"/>
      <c r="EP61" s="772"/>
      <c r="EQ61" s="772"/>
      <c r="ER61" s="772"/>
      <c r="ES61" s="772"/>
      <c r="ET61" s="772"/>
      <c r="EU61" s="772"/>
      <c r="EV61" s="772"/>
      <c r="EW61" s="772"/>
      <c r="EX61" s="772"/>
      <c r="EY61" s="772"/>
      <c r="EZ61" s="772"/>
      <c r="FA61" s="772"/>
      <c r="FB61" s="772"/>
      <c r="FC61" s="772"/>
      <c r="FD61" s="772"/>
      <c r="FE61" s="772"/>
      <c r="FF61" s="772"/>
      <c r="FG61" s="772"/>
      <c r="FH61" s="772"/>
      <c r="FI61" s="772"/>
      <c r="FJ61" s="772"/>
      <c r="FK61" s="772"/>
      <c r="FL61" s="772"/>
      <c r="FM61" s="772"/>
      <c r="FN61" s="772"/>
      <c r="FO61" s="772"/>
      <c r="FP61" s="772"/>
      <c r="FQ61" s="772"/>
      <c r="FR61" s="772"/>
      <c r="FS61" s="772"/>
      <c r="FT61" s="772"/>
      <c r="FU61" s="772"/>
      <c r="FV61" s="772"/>
      <c r="FW61" s="772"/>
      <c r="FX61" s="772"/>
      <c r="FY61" s="772"/>
      <c r="FZ61" s="772"/>
      <c r="GA61" s="772"/>
      <c r="GB61" s="772"/>
      <c r="GC61" s="772"/>
      <c r="GD61" s="772"/>
      <c r="GE61" s="772"/>
      <c r="GF61" s="772"/>
      <c r="GG61" s="772"/>
      <c r="GH61" s="772"/>
      <c r="GI61" s="772"/>
      <c r="GJ61" s="772"/>
      <c r="GK61" s="772"/>
      <c r="GL61" s="772"/>
      <c r="GM61" s="772"/>
      <c r="GN61" s="772"/>
      <c r="GO61" s="772"/>
      <c r="GP61" s="772"/>
      <c r="GQ61" s="772"/>
      <c r="GR61" s="772"/>
      <c r="GS61" s="772"/>
      <c r="GT61" s="772"/>
      <c r="GU61" s="772"/>
      <c r="GV61" s="772"/>
      <c r="GW61" s="772"/>
      <c r="GX61" s="772"/>
      <c r="GY61" s="772"/>
      <c r="GZ61" s="772"/>
      <c r="HA61" s="772"/>
      <c r="HB61" s="772"/>
      <c r="HC61" s="772"/>
      <c r="HD61" s="772"/>
      <c r="HE61" s="772"/>
      <c r="HF61" s="772"/>
      <c r="HG61" s="772"/>
      <c r="HH61" s="772"/>
      <c r="HI61" s="772"/>
      <c r="HJ61" s="772"/>
      <c r="HK61" s="772"/>
      <c r="HL61" s="772"/>
      <c r="HM61" s="772"/>
      <c r="HN61" s="772"/>
      <c r="HO61" s="772"/>
      <c r="HP61" s="772"/>
      <c r="HQ61" s="772"/>
      <c r="HR61" s="772"/>
      <c r="HS61" s="772"/>
      <c r="HT61" s="772"/>
      <c r="HU61" s="772"/>
      <c r="HV61" s="772"/>
      <c r="HW61" s="772"/>
      <c r="HX61" s="772"/>
      <c r="HY61" s="772"/>
      <c r="HZ61" s="772"/>
      <c r="IA61" s="772"/>
      <c r="IB61" s="772"/>
      <c r="IC61" s="772"/>
      <c r="ID61" s="772"/>
      <c r="IE61" s="772"/>
      <c r="IF61" s="772"/>
      <c r="IG61" s="772"/>
      <c r="IH61" s="772"/>
      <c r="II61" s="772"/>
      <c r="IJ61" s="772"/>
      <c r="IK61" s="772"/>
    </row>
    <row r="62" spans="1:245" s="765" customFormat="1" ht="20.100000000000001" customHeight="1" x14ac:dyDescent="0.25">
      <c r="A62" s="772"/>
      <c r="B62" s="783"/>
      <c r="C62" s="784"/>
      <c r="D62" s="784"/>
      <c r="E62" s="784"/>
      <c r="F62" s="784"/>
      <c r="G62" s="784"/>
      <c r="H62" s="772"/>
      <c r="I62" s="1664">
        <f t="shared" si="32"/>
        <v>38</v>
      </c>
      <c r="J62" s="1668">
        <f t="shared" si="47"/>
        <v>0</v>
      </c>
      <c r="K62" s="1666">
        <f t="shared" si="42"/>
        <v>0</v>
      </c>
      <c r="L62" s="1670">
        <f t="shared" si="52"/>
        <v>0</v>
      </c>
      <c r="M62" s="1668">
        <f t="shared" si="33"/>
        <v>0</v>
      </c>
      <c r="N62" s="772"/>
      <c r="O62" s="1664">
        <f t="shared" si="34"/>
        <v>38</v>
      </c>
      <c r="P62" s="1668">
        <f t="shared" si="48"/>
        <v>0</v>
      </c>
      <c r="Q62" s="1666">
        <f t="shared" si="43"/>
        <v>0</v>
      </c>
      <c r="R62" s="1670">
        <f t="shared" si="53"/>
        <v>0</v>
      </c>
      <c r="S62" s="1668">
        <f t="shared" si="35"/>
        <v>0</v>
      </c>
      <c r="T62" s="772"/>
      <c r="U62" s="1664">
        <f t="shared" si="36"/>
        <v>38</v>
      </c>
      <c r="V62" s="1668">
        <f t="shared" si="49"/>
        <v>0</v>
      </c>
      <c r="W62" s="1666">
        <f t="shared" si="44"/>
        <v>0</v>
      </c>
      <c r="X62" s="1670">
        <f t="shared" si="54"/>
        <v>0</v>
      </c>
      <c r="Y62" s="1668">
        <f t="shared" si="37"/>
        <v>0</v>
      </c>
      <c r="Z62" s="772"/>
      <c r="AA62" s="1664">
        <f t="shared" si="38"/>
        <v>38</v>
      </c>
      <c r="AB62" s="1668">
        <f t="shared" si="50"/>
        <v>0</v>
      </c>
      <c r="AC62" s="1666">
        <f t="shared" si="45"/>
        <v>0</v>
      </c>
      <c r="AD62" s="1670">
        <f t="shared" si="55"/>
        <v>0</v>
      </c>
      <c r="AE62" s="1668">
        <f t="shared" si="39"/>
        <v>0</v>
      </c>
      <c r="AF62" s="772"/>
      <c r="AG62" s="1664">
        <f t="shared" si="40"/>
        <v>38</v>
      </c>
      <c r="AH62" s="1668">
        <f t="shared" si="51"/>
        <v>0</v>
      </c>
      <c r="AI62" s="1666">
        <f t="shared" si="46"/>
        <v>0</v>
      </c>
      <c r="AJ62" s="1670">
        <f t="shared" si="56"/>
        <v>0</v>
      </c>
      <c r="AK62" s="1668">
        <f t="shared" si="41"/>
        <v>0</v>
      </c>
      <c r="AL62" s="772"/>
      <c r="AM62" s="772"/>
      <c r="AN62" s="772"/>
      <c r="AO62" s="772"/>
      <c r="AP62" s="772"/>
      <c r="AQ62" s="772"/>
      <c r="AR62" s="772"/>
      <c r="AS62" s="772"/>
      <c r="AT62" s="772"/>
      <c r="AU62" s="772"/>
      <c r="AV62" s="772"/>
      <c r="AW62" s="772"/>
      <c r="AX62" s="772"/>
      <c r="AY62" s="772"/>
      <c r="AZ62" s="772"/>
      <c r="BA62" s="772"/>
      <c r="BB62" s="772"/>
      <c r="BC62" s="772"/>
      <c r="BD62" s="772"/>
      <c r="BE62" s="772"/>
      <c r="BF62" s="772"/>
      <c r="BG62" s="772"/>
      <c r="BH62" s="772"/>
      <c r="BI62" s="772"/>
      <c r="BJ62" s="772"/>
      <c r="BK62" s="772"/>
      <c r="BL62" s="772"/>
      <c r="BM62" s="772"/>
      <c r="BN62" s="772"/>
      <c r="BO62" s="772"/>
      <c r="BP62" s="772"/>
      <c r="BQ62" s="772"/>
      <c r="BR62" s="772"/>
      <c r="BS62" s="772"/>
      <c r="BT62" s="772"/>
      <c r="BU62" s="772"/>
      <c r="BV62" s="772"/>
      <c r="BW62" s="772"/>
      <c r="BX62" s="772"/>
      <c r="BY62" s="772"/>
      <c r="BZ62" s="772"/>
      <c r="CA62" s="772"/>
      <c r="CB62" s="772"/>
      <c r="CC62" s="772"/>
      <c r="CD62" s="772"/>
      <c r="CE62" s="772"/>
      <c r="CF62" s="772"/>
      <c r="CG62" s="772"/>
      <c r="CH62" s="772"/>
      <c r="CI62" s="772"/>
      <c r="CJ62" s="772"/>
      <c r="CK62" s="772"/>
      <c r="CL62" s="772"/>
      <c r="CM62" s="772"/>
      <c r="CN62" s="772"/>
      <c r="CO62" s="772"/>
      <c r="CP62" s="772"/>
      <c r="CQ62" s="772"/>
      <c r="CR62" s="772"/>
      <c r="CS62" s="772"/>
      <c r="CT62" s="772"/>
      <c r="CU62" s="772"/>
      <c r="CV62" s="772"/>
      <c r="CW62" s="772"/>
      <c r="CX62" s="772"/>
      <c r="CY62" s="772"/>
      <c r="CZ62" s="772"/>
      <c r="DA62" s="772"/>
      <c r="DB62" s="772"/>
      <c r="DC62" s="772"/>
      <c r="DD62" s="772"/>
      <c r="DE62" s="772"/>
      <c r="DF62" s="772"/>
      <c r="DG62" s="772"/>
      <c r="DH62" s="772"/>
      <c r="DI62" s="772"/>
      <c r="DJ62" s="772"/>
      <c r="DK62" s="772"/>
      <c r="DL62" s="772"/>
      <c r="DM62" s="772"/>
      <c r="DN62" s="772"/>
      <c r="DO62" s="772"/>
      <c r="DP62" s="772"/>
      <c r="DQ62" s="772"/>
      <c r="DR62" s="772"/>
      <c r="DS62" s="772"/>
      <c r="DT62" s="772"/>
      <c r="DU62" s="772"/>
      <c r="DV62" s="772"/>
      <c r="DW62" s="772"/>
      <c r="DX62" s="772"/>
      <c r="DY62" s="772"/>
      <c r="DZ62" s="772"/>
      <c r="EA62" s="772"/>
      <c r="EB62" s="772"/>
      <c r="EC62" s="772"/>
      <c r="ED62" s="772"/>
      <c r="EE62" s="772"/>
      <c r="EF62" s="772"/>
      <c r="EG62" s="772"/>
      <c r="EH62" s="772"/>
      <c r="EI62" s="772"/>
      <c r="EJ62" s="772"/>
      <c r="EK62" s="772"/>
      <c r="EL62" s="772"/>
      <c r="EM62" s="772"/>
      <c r="EN62" s="772"/>
      <c r="EO62" s="772"/>
      <c r="EP62" s="772"/>
      <c r="EQ62" s="772"/>
      <c r="ER62" s="772"/>
      <c r="ES62" s="772"/>
      <c r="ET62" s="772"/>
      <c r="EU62" s="772"/>
      <c r="EV62" s="772"/>
      <c r="EW62" s="772"/>
      <c r="EX62" s="772"/>
      <c r="EY62" s="772"/>
      <c r="EZ62" s="772"/>
      <c r="FA62" s="772"/>
      <c r="FB62" s="772"/>
      <c r="FC62" s="772"/>
      <c r="FD62" s="772"/>
      <c r="FE62" s="772"/>
      <c r="FF62" s="772"/>
      <c r="FG62" s="772"/>
      <c r="FH62" s="772"/>
      <c r="FI62" s="772"/>
      <c r="FJ62" s="772"/>
      <c r="FK62" s="772"/>
      <c r="FL62" s="772"/>
      <c r="FM62" s="772"/>
      <c r="FN62" s="772"/>
      <c r="FO62" s="772"/>
      <c r="FP62" s="772"/>
      <c r="FQ62" s="772"/>
      <c r="FR62" s="772"/>
      <c r="FS62" s="772"/>
      <c r="FT62" s="772"/>
      <c r="FU62" s="772"/>
      <c r="FV62" s="772"/>
      <c r="FW62" s="772"/>
      <c r="FX62" s="772"/>
      <c r="FY62" s="772"/>
      <c r="FZ62" s="772"/>
      <c r="GA62" s="772"/>
      <c r="GB62" s="772"/>
      <c r="GC62" s="772"/>
      <c r="GD62" s="772"/>
      <c r="GE62" s="772"/>
      <c r="GF62" s="772"/>
      <c r="GG62" s="772"/>
      <c r="GH62" s="772"/>
      <c r="GI62" s="772"/>
      <c r="GJ62" s="772"/>
      <c r="GK62" s="772"/>
      <c r="GL62" s="772"/>
      <c r="GM62" s="772"/>
      <c r="GN62" s="772"/>
      <c r="GO62" s="772"/>
      <c r="GP62" s="772"/>
      <c r="GQ62" s="772"/>
      <c r="GR62" s="772"/>
      <c r="GS62" s="772"/>
      <c r="GT62" s="772"/>
      <c r="GU62" s="772"/>
      <c r="GV62" s="772"/>
      <c r="GW62" s="772"/>
      <c r="GX62" s="772"/>
      <c r="GY62" s="772"/>
      <c r="GZ62" s="772"/>
      <c r="HA62" s="772"/>
      <c r="HB62" s="772"/>
      <c r="HC62" s="772"/>
      <c r="HD62" s="772"/>
      <c r="HE62" s="772"/>
      <c r="HF62" s="772"/>
      <c r="HG62" s="772"/>
      <c r="HH62" s="772"/>
      <c r="HI62" s="772"/>
      <c r="HJ62" s="772"/>
      <c r="HK62" s="772"/>
      <c r="HL62" s="772"/>
      <c r="HM62" s="772"/>
      <c r="HN62" s="772"/>
      <c r="HO62" s="772"/>
      <c r="HP62" s="772"/>
      <c r="HQ62" s="772"/>
      <c r="HR62" s="772"/>
      <c r="HS62" s="772"/>
      <c r="HT62" s="772"/>
      <c r="HU62" s="772"/>
      <c r="HV62" s="772"/>
      <c r="HW62" s="772"/>
      <c r="HX62" s="772"/>
      <c r="HY62" s="772"/>
      <c r="HZ62" s="772"/>
      <c r="IA62" s="772"/>
      <c r="IB62" s="772"/>
      <c r="IC62" s="772"/>
      <c r="ID62" s="772"/>
      <c r="IE62" s="772"/>
      <c r="IF62" s="772"/>
      <c r="IG62" s="772"/>
      <c r="IH62" s="772"/>
      <c r="II62" s="772"/>
      <c r="IJ62" s="772"/>
      <c r="IK62" s="772"/>
    </row>
    <row r="63" spans="1:245" s="765" customFormat="1" ht="20.100000000000001" customHeight="1" x14ac:dyDescent="0.25">
      <c r="A63" s="772"/>
      <c r="B63" s="783"/>
      <c r="C63" s="784"/>
      <c r="D63" s="784"/>
      <c r="E63" s="784"/>
      <c r="F63" s="784"/>
      <c r="G63" s="784"/>
      <c r="H63" s="772"/>
      <c r="I63" s="1664">
        <f t="shared" si="32"/>
        <v>39</v>
      </c>
      <c r="J63" s="1668">
        <f t="shared" si="47"/>
        <v>0</v>
      </c>
      <c r="K63" s="1666">
        <f t="shared" si="42"/>
        <v>0</v>
      </c>
      <c r="L63" s="1670">
        <f t="shared" si="52"/>
        <v>0</v>
      </c>
      <c r="M63" s="1668">
        <f t="shared" si="33"/>
        <v>0</v>
      </c>
      <c r="N63" s="772"/>
      <c r="O63" s="1664">
        <f t="shared" si="34"/>
        <v>39</v>
      </c>
      <c r="P63" s="1668">
        <f t="shared" si="48"/>
        <v>0</v>
      </c>
      <c r="Q63" s="1666">
        <f t="shared" si="43"/>
        <v>0</v>
      </c>
      <c r="R63" s="1670">
        <f t="shared" si="53"/>
        <v>0</v>
      </c>
      <c r="S63" s="1668">
        <f t="shared" si="35"/>
        <v>0</v>
      </c>
      <c r="T63" s="772"/>
      <c r="U63" s="1664">
        <f t="shared" si="36"/>
        <v>39</v>
      </c>
      <c r="V63" s="1668">
        <f t="shared" si="49"/>
        <v>0</v>
      </c>
      <c r="W63" s="1666">
        <f t="shared" si="44"/>
        <v>0</v>
      </c>
      <c r="X63" s="1670">
        <f t="shared" si="54"/>
        <v>0</v>
      </c>
      <c r="Y63" s="1668">
        <f t="shared" si="37"/>
        <v>0</v>
      </c>
      <c r="Z63" s="772"/>
      <c r="AA63" s="1664">
        <f t="shared" si="38"/>
        <v>39</v>
      </c>
      <c r="AB63" s="1668">
        <f t="shared" si="50"/>
        <v>0</v>
      </c>
      <c r="AC63" s="1666">
        <f t="shared" si="45"/>
        <v>0</v>
      </c>
      <c r="AD63" s="1670">
        <f t="shared" si="55"/>
        <v>0</v>
      </c>
      <c r="AE63" s="1668">
        <f t="shared" si="39"/>
        <v>0</v>
      </c>
      <c r="AF63" s="772"/>
      <c r="AG63" s="1664">
        <f t="shared" si="40"/>
        <v>39</v>
      </c>
      <c r="AH63" s="1668">
        <f t="shared" si="51"/>
        <v>0</v>
      </c>
      <c r="AI63" s="1666">
        <f t="shared" si="46"/>
        <v>0</v>
      </c>
      <c r="AJ63" s="1670">
        <f t="shared" si="56"/>
        <v>0</v>
      </c>
      <c r="AK63" s="1668">
        <f t="shared" si="41"/>
        <v>0</v>
      </c>
      <c r="AL63" s="772"/>
      <c r="AM63" s="772"/>
      <c r="AN63" s="772"/>
      <c r="AO63" s="772"/>
      <c r="AP63" s="772"/>
      <c r="AQ63" s="772"/>
      <c r="AR63" s="772"/>
      <c r="AS63" s="772"/>
      <c r="AT63" s="772"/>
      <c r="AU63" s="772"/>
      <c r="AV63" s="772"/>
      <c r="AW63" s="772"/>
      <c r="AX63" s="772"/>
      <c r="AY63" s="772"/>
      <c r="AZ63" s="772"/>
      <c r="BA63" s="772"/>
      <c r="BB63" s="772"/>
      <c r="BC63" s="772"/>
      <c r="BD63" s="772"/>
      <c r="BE63" s="772"/>
      <c r="BF63" s="772"/>
      <c r="BG63" s="772"/>
      <c r="BH63" s="772"/>
      <c r="BI63" s="772"/>
      <c r="BJ63" s="772"/>
      <c r="BK63" s="772"/>
      <c r="BL63" s="772"/>
      <c r="BM63" s="772"/>
      <c r="BN63" s="772"/>
      <c r="BO63" s="772"/>
      <c r="BP63" s="772"/>
      <c r="BQ63" s="772"/>
      <c r="BR63" s="772"/>
      <c r="BS63" s="772"/>
      <c r="BT63" s="772"/>
      <c r="BU63" s="772"/>
      <c r="BV63" s="772"/>
      <c r="BW63" s="772"/>
      <c r="BX63" s="772"/>
      <c r="BY63" s="772"/>
      <c r="BZ63" s="772"/>
      <c r="CA63" s="772"/>
      <c r="CB63" s="772"/>
      <c r="CC63" s="772"/>
      <c r="CD63" s="772"/>
      <c r="CE63" s="772"/>
      <c r="CF63" s="772"/>
      <c r="CG63" s="772"/>
      <c r="CH63" s="772"/>
      <c r="CI63" s="772"/>
      <c r="CJ63" s="772"/>
      <c r="CK63" s="772"/>
      <c r="CL63" s="772"/>
      <c r="CM63" s="772"/>
      <c r="CN63" s="772"/>
      <c r="CO63" s="772"/>
      <c r="CP63" s="772"/>
      <c r="CQ63" s="772"/>
      <c r="CR63" s="772"/>
      <c r="CS63" s="772"/>
      <c r="CT63" s="772"/>
      <c r="CU63" s="772"/>
      <c r="CV63" s="772"/>
      <c r="CW63" s="772"/>
      <c r="CX63" s="772"/>
      <c r="CY63" s="772"/>
      <c r="CZ63" s="772"/>
      <c r="DA63" s="772"/>
      <c r="DB63" s="772"/>
      <c r="DC63" s="772"/>
      <c r="DD63" s="772"/>
      <c r="DE63" s="772"/>
      <c r="DF63" s="772"/>
      <c r="DG63" s="772"/>
      <c r="DH63" s="772"/>
      <c r="DI63" s="772"/>
      <c r="DJ63" s="772"/>
      <c r="DK63" s="772"/>
      <c r="DL63" s="772"/>
      <c r="DM63" s="772"/>
      <c r="DN63" s="772"/>
      <c r="DO63" s="772"/>
      <c r="DP63" s="772"/>
      <c r="DQ63" s="772"/>
      <c r="DR63" s="772"/>
      <c r="DS63" s="772"/>
      <c r="DT63" s="772"/>
      <c r="DU63" s="772"/>
      <c r="DV63" s="772"/>
      <c r="DW63" s="772"/>
      <c r="DX63" s="772"/>
      <c r="DY63" s="772"/>
      <c r="DZ63" s="772"/>
      <c r="EA63" s="772"/>
      <c r="EB63" s="772"/>
      <c r="EC63" s="772"/>
      <c r="ED63" s="772"/>
      <c r="EE63" s="772"/>
      <c r="EF63" s="772"/>
      <c r="EG63" s="772"/>
      <c r="EH63" s="772"/>
      <c r="EI63" s="772"/>
      <c r="EJ63" s="772"/>
      <c r="EK63" s="772"/>
      <c r="EL63" s="772"/>
      <c r="EM63" s="772"/>
      <c r="EN63" s="772"/>
      <c r="EO63" s="772"/>
      <c r="EP63" s="772"/>
      <c r="EQ63" s="772"/>
      <c r="ER63" s="772"/>
      <c r="ES63" s="772"/>
      <c r="ET63" s="772"/>
      <c r="EU63" s="772"/>
      <c r="EV63" s="772"/>
      <c r="EW63" s="772"/>
      <c r="EX63" s="772"/>
      <c r="EY63" s="772"/>
      <c r="EZ63" s="772"/>
      <c r="FA63" s="772"/>
      <c r="FB63" s="772"/>
      <c r="FC63" s="772"/>
      <c r="FD63" s="772"/>
      <c r="FE63" s="772"/>
      <c r="FF63" s="772"/>
      <c r="FG63" s="772"/>
      <c r="FH63" s="772"/>
      <c r="FI63" s="772"/>
      <c r="FJ63" s="772"/>
      <c r="FK63" s="772"/>
      <c r="FL63" s="772"/>
      <c r="FM63" s="772"/>
      <c r="FN63" s="772"/>
      <c r="FO63" s="772"/>
      <c r="FP63" s="772"/>
      <c r="FQ63" s="772"/>
      <c r="FR63" s="772"/>
      <c r="FS63" s="772"/>
      <c r="FT63" s="772"/>
      <c r="FU63" s="772"/>
      <c r="FV63" s="772"/>
      <c r="FW63" s="772"/>
      <c r="FX63" s="772"/>
      <c r="FY63" s="772"/>
      <c r="FZ63" s="772"/>
      <c r="GA63" s="772"/>
      <c r="GB63" s="772"/>
      <c r="GC63" s="772"/>
      <c r="GD63" s="772"/>
      <c r="GE63" s="772"/>
      <c r="GF63" s="772"/>
      <c r="GG63" s="772"/>
      <c r="GH63" s="772"/>
      <c r="GI63" s="772"/>
      <c r="GJ63" s="772"/>
      <c r="GK63" s="772"/>
      <c r="GL63" s="772"/>
      <c r="GM63" s="772"/>
      <c r="GN63" s="772"/>
      <c r="GO63" s="772"/>
      <c r="GP63" s="772"/>
      <c r="GQ63" s="772"/>
      <c r="GR63" s="772"/>
      <c r="GS63" s="772"/>
      <c r="GT63" s="772"/>
      <c r="GU63" s="772"/>
      <c r="GV63" s="772"/>
      <c r="GW63" s="772"/>
      <c r="GX63" s="772"/>
      <c r="GY63" s="772"/>
      <c r="GZ63" s="772"/>
      <c r="HA63" s="772"/>
      <c r="HB63" s="772"/>
      <c r="HC63" s="772"/>
      <c r="HD63" s="772"/>
      <c r="HE63" s="772"/>
      <c r="HF63" s="772"/>
      <c r="HG63" s="772"/>
      <c r="HH63" s="772"/>
      <c r="HI63" s="772"/>
      <c r="HJ63" s="772"/>
      <c r="HK63" s="772"/>
      <c r="HL63" s="772"/>
      <c r="HM63" s="772"/>
      <c r="HN63" s="772"/>
      <c r="HO63" s="772"/>
      <c r="HP63" s="772"/>
      <c r="HQ63" s="772"/>
      <c r="HR63" s="772"/>
      <c r="HS63" s="772"/>
      <c r="HT63" s="772"/>
      <c r="HU63" s="772"/>
      <c r="HV63" s="772"/>
      <c r="HW63" s="772"/>
      <c r="HX63" s="772"/>
      <c r="HY63" s="772"/>
      <c r="HZ63" s="772"/>
      <c r="IA63" s="772"/>
      <c r="IB63" s="772"/>
      <c r="IC63" s="772"/>
      <c r="ID63" s="772"/>
      <c r="IE63" s="772"/>
      <c r="IF63" s="772"/>
      <c r="IG63" s="772"/>
      <c r="IH63" s="772"/>
      <c r="II63" s="772"/>
      <c r="IJ63" s="772"/>
      <c r="IK63" s="772"/>
    </row>
    <row r="64" spans="1:245" s="765" customFormat="1" ht="20.100000000000001" customHeight="1" x14ac:dyDescent="0.25">
      <c r="A64" s="772"/>
      <c r="B64" s="783"/>
      <c r="C64" s="784"/>
      <c r="D64" s="784"/>
      <c r="E64" s="784"/>
      <c r="F64" s="784"/>
      <c r="G64" s="784"/>
      <c r="H64" s="772"/>
      <c r="I64" s="1664">
        <f t="shared" si="32"/>
        <v>40</v>
      </c>
      <c r="J64" s="1668">
        <f t="shared" si="47"/>
        <v>0</v>
      </c>
      <c r="K64" s="1666">
        <f t="shared" si="42"/>
        <v>0</v>
      </c>
      <c r="L64" s="1670">
        <f t="shared" si="52"/>
        <v>0</v>
      </c>
      <c r="M64" s="1668">
        <f t="shared" si="33"/>
        <v>0</v>
      </c>
      <c r="N64" s="772"/>
      <c r="O64" s="1664">
        <f t="shared" si="34"/>
        <v>40</v>
      </c>
      <c r="P64" s="1668">
        <f t="shared" si="48"/>
        <v>0</v>
      </c>
      <c r="Q64" s="1666">
        <f t="shared" si="43"/>
        <v>0</v>
      </c>
      <c r="R64" s="1670">
        <f t="shared" si="53"/>
        <v>0</v>
      </c>
      <c r="S64" s="1668">
        <f t="shared" si="35"/>
        <v>0</v>
      </c>
      <c r="T64" s="772"/>
      <c r="U64" s="1664">
        <f t="shared" si="36"/>
        <v>40</v>
      </c>
      <c r="V64" s="1668">
        <f t="shared" si="49"/>
        <v>0</v>
      </c>
      <c r="W64" s="1666">
        <f t="shared" si="44"/>
        <v>0</v>
      </c>
      <c r="X64" s="1670">
        <f t="shared" si="54"/>
        <v>0</v>
      </c>
      <c r="Y64" s="1668">
        <f t="shared" si="37"/>
        <v>0</v>
      </c>
      <c r="Z64" s="772"/>
      <c r="AA64" s="1664">
        <f t="shared" si="38"/>
        <v>40</v>
      </c>
      <c r="AB64" s="1668">
        <f t="shared" si="50"/>
        <v>0</v>
      </c>
      <c r="AC64" s="1666">
        <f t="shared" si="45"/>
        <v>0</v>
      </c>
      <c r="AD64" s="1670">
        <f t="shared" si="55"/>
        <v>0</v>
      </c>
      <c r="AE64" s="1668">
        <f t="shared" si="39"/>
        <v>0</v>
      </c>
      <c r="AF64" s="772"/>
      <c r="AG64" s="1664">
        <f t="shared" si="40"/>
        <v>40</v>
      </c>
      <c r="AH64" s="1668">
        <f t="shared" si="51"/>
        <v>0</v>
      </c>
      <c r="AI64" s="1666">
        <f t="shared" si="46"/>
        <v>0</v>
      </c>
      <c r="AJ64" s="1670">
        <f t="shared" si="56"/>
        <v>0</v>
      </c>
      <c r="AK64" s="1668">
        <f t="shared" si="41"/>
        <v>0</v>
      </c>
      <c r="AL64" s="772"/>
      <c r="AM64" s="772"/>
      <c r="AN64" s="772"/>
      <c r="AO64" s="772"/>
      <c r="AP64" s="772"/>
      <c r="AQ64" s="772"/>
      <c r="AR64" s="772"/>
      <c r="AS64" s="772"/>
      <c r="AT64" s="772"/>
      <c r="AU64" s="772"/>
      <c r="AV64" s="772"/>
      <c r="AW64" s="772"/>
      <c r="AX64" s="772"/>
      <c r="AY64" s="772"/>
      <c r="AZ64" s="772"/>
      <c r="BA64" s="772"/>
      <c r="BB64" s="772"/>
      <c r="BC64" s="772"/>
      <c r="BD64" s="772"/>
      <c r="BE64" s="772"/>
      <c r="BF64" s="772"/>
      <c r="BG64" s="772"/>
      <c r="BH64" s="772"/>
      <c r="BI64" s="772"/>
      <c r="BJ64" s="772"/>
      <c r="BK64" s="772"/>
      <c r="BL64" s="772"/>
      <c r="BM64" s="772"/>
      <c r="BN64" s="772"/>
      <c r="BO64" s="772"/>
      <c r="BP64" s="772"/>
      <c r="BQ64" s="772"/>
      <c r="BR64" s="772"/>
      <c r="BS64" s="772"/>
      <c r="BT64" s="772"/>
      <c r="BU64" s="772"/>
      <c r="BV64" s="772"/>
      <c r="BW64" s="772"/>
      <c r="BX64" s="772"/>
      <c r="BY64" s="772"/>
      <c r="BZ64" s="772"/>
      <c r="CA64" s="772"/>
      <c r="CB64" s="772"/>
      <c r="CC64" s="772"/>
      <c r="CD64" s="772"/>
      <c r="CE64" s="772"/>
      <c r="CF64" s="772"/>
      <c r="CG64" s="772"/>
      <c r="CH64" s="772"/>
      <c r="CI64" s="772"/>
      <c r="CJ64" s="772"/>
      <c r="CK64" s="772"/>
      <c r="CL64" s="772"/>
      <c r="CM64" s="772"/>
      <c r="CN64" s="772"/>
      <c r="CO64" s="772"/>
      <c r="CP64" s="772"/>
      <c r="CQ64" s="772"/>
      <c r="CR64" s="772"/>
      <c r="CS64" s="772"/>
      <c r="CT64" s="772"/>
      <c r="CU64" s="772"/>
      <c r="CV64" s="772"/>
      <c r="CW64" s="772"/>
      <c r="CX64" s="772"/>
      <c r="CY64" s="772"/>
      <c r="CZ64" s="772"/>
      <c r="DA64" s="772"/>
      <c r="DB64" s="772"/>
      <c r="DC64" s="772"/>
      <c r="DD64" s="772"/>
      <c r="DE64" s="772"/>
      <c r="DF64" s="772"/>
      <c r="DG64" s="772"/>
      <c r="DH64" s="772"/>
      <c r="DI64" s="772"/>
      <c r="DJ64" s="772"/>
      <c r="DK64" s="772"/>
      <c r="DL64" s="772"/>
      <c r="DM64" s="772"/>
      <c r="DN64" s="772"/>
      <c r="DO64" s="772"/>
      <c r="DP64" s="772"/>
      <c r="DQ64" s="772"/>
      <c r="DR64" s="772"/>
      <c r="DS64" s="772"/>
      <c r="DT64" s="772"/>
      <c r="DU64" s="772"/>
      <c r="DV64" s="772"/>
      <c r="DW64" s="772"/>
      <c r="DX64" s="772"/>
      <c r="DY64" s="772"/>
      <c r="DZ64" s="772"/>
      <c r="EA64" s="772"/>
      <c r="EB64" s="772"/>
      <c r="EC64" s="772"/>
      <c r="ED64" s="772"/>
      <c r="EE64" s="772"/>
      <c r="EF64" s="772"/>
      <c r="EG64" s="772"/>
      <c r="EH64" s="772"/>
      <c r="EI64" s="772"/>
      <c r="EJ64" s="772"/>
      <c r="EK64" s="772"/>
      <c r="EL64" s="772"/>
      <c r="EM64" s="772"/>
      <c r="EN64" s="772"/>
      <c r="EO64" s="772"/>
      <c r="EP64" s="772"/>
      <c r="EQ64" s="772"/>
      <c r="ER64" s="772"/>
      <c r="ES64" s="772"/>
      <c r="ET64" s="772"/>
      <c r="EU64" s="772"/>
      <c r="EV64" s="772"/>
      <c r="EW64" s="772"/>
      <c r="EX64" s="772"/>
      <c r="EY64" s="772"/>
      <c r="EZ64" s="772"/>
      <c r="FA64" s="772"/>
      <c r="FB64" s="772"/>
      <c r="FC64" s="772"/>
      <c r="FD64" s="772"/>
      <c r="FE64" s="772"/>
      <c r="FF64" s="772"/>
      <c r="FG64" s="772"/>
      <c r="FH64" s="772"/>
      <c r="FI64" s="772"/>
      <c r="FJ64" s="772"/>
      <c r="FK64" s="772"/>
      <c r="FL64" s="772"/>
      <c r="FM64" s="772"/>
      <c r="FN64" s="772"/>
      <c r="FO64" s="772"/>
      <c r="FP64" s="772"/>
      <c r="FQ64" s="772"/>
      <c r="FR64" s="772"/>
      <c r="FS64" s="772"/>
      <c r="FT64" s="772"/>
      <c r="FU64" s="772"/>
      <c r="FV64" s="772"/>
      <c r="FW64" s="772"/>
      <c r="FX64" s="772"/>
      <c r="FY64" s="772"/>
      <c r="FZ64" s="772"/>
      <c r="GA64" s="772"/>
      <c r="GB64" s="772"/>
      <c r="GC64" s="772"/>
      <c r="GD64" s="772"/>
      <c r="GE64" s="772"/>
      <c r="GF64" s="772"/>
      <c r="GG64" s="772"/>
      <c r="GH64" s="772"/>
      <c r="GI64" s="772"/>
      <c r="GJ64" s="772"/>
      <c r="GK64" s="772"/>
      <c r="GL64" s="772"/>
      <c r="GM64" s="772"/>
      <c r="GN64" s="772"/>
      <c r="GO64" s="772"/>
      <c r="GP64" s="772"/>
      <c r="GQ64" s="772"/>
      <c r="GR64" s="772"/>
      <c r="GS64" s="772"/>
      <c r="GT64" s="772"/>
      <c r="GU64" s="772"/>
      <c r="GV64" s="772"/>
      <c r="GW64" s="772"/>
      <c r="GX64" s="772"/>
      <c r="GY64" s="772"/>
      <c r="GZ64" s="772"/>
      <c r="HA64" s="772"/>
      <c r="HB64" s="772"/>
      <c r="HC64" s="772"/>
      <c r="HD64" s="772"/>
      <c r="HE64" s="772"/>
      <c r="HF64" s="772"/>
      <c r="HG64" s="772"/>
      <c r="HH64" s="772"/>
      <c r="HI64" s="772"/>
      <c r="HJ64" s="772"/>
      <c r="HK64" s="772"/>
      <c r="HL64" s="772"/>
      <c r="HM64" s="772"/>
      <c r="HN64" s="772"/>
      <c r="HO64" s="772"/>
      <c r="HP64" s="772"/>
      <c r="HQ64" s="772"/>
      <c r="HR64" s="772"/>
      <c r="HS64" s="772"/>
      <c r="HT64" s="772"/>
      <c r="HU64" s="772"/>
      <c r="HV64" s="772"/>
      <c r="HW64" s="772"/>
      <c r="HX64" s="772"/>
      <c r="HY64" s="772"/>
      <c r="HZ64" s="772"/>
      <c r="IA64" s="772"/>
      <c r="IB64" s="772"/>
      <c r="IC64" s="772"/>
      <c r="ID64" s="772"/>
      <c r="IE64" s="772"/>
      <c r="IF64" s="772"/>
      <c r="IG64" s="772"/>
      <c r="IH64" s="772"/>
      <c r="II64" s="772"/>
      <c r="IJ64" s="772"/>
      <c r="IK64" s="772"/>
    </row>
    <row r="65" spans="1:245" s="765" customFormat="1" ht="20.100000000000001" customHeight="1" x14ac:dyDescent="0.25">
      <c r="A65" s="772"/>
      <c r="B65" s="783"/>
      <c r="C65" s="784"/>
      <c r="D65" s="784"/>
      <c r="E65" s="784"/>
      <c r="F65" s="784"/>
      <c r="G65" s="784"/>
      <c r="H65" s="772"/>
      <c r="I65" s="1664">
        <f t="shared" si="32"/>
        <v>41</v>
      </c>
      <c r="J65" s="1668">
        <f t="shared" si="47"/>
        <v>0</v>
      </c>
      <c r="K65" s="1666">
        <f t="shared" si="42"/>
        <v>0</v>
      </c>
      <c r="L65" s="1670">
        <f t="shared" si="52"/>
        <v>0</v>
      </c>
      <c r="M65" s="1668">
        <f t="shared" si="33"/>
        <v>0</v>
      </c>
      <c r="N65" s="772"/>
      <c r="O65" s="1664">
        <f t="shared" si="34"/>
        <v>41</v>
      </c>
      <c r="P65" s="1668">
        <f t="shared" si="48"/>
        <v>0</v>
      </c>
      <c r="Q65" s="1666">
        <f t="shared" si="43"/>
        <v>0</v>
      </c>
      <c r="R65" s="1670">
        <f t="shared" si="53"/>
        <v>0</v>
      </c>
      <c r="S65" s="1668">
        <f t="shared" si="35"/>
        <v>0</v>
      </c>
      <c r="T65" s="772"/>
      <c r="U65" s="1664">
        <f t="shared" si="36"/>
        <v>41</v>
      </c>
      <c r="V65" s="1668">
        <f t="shared" si="49"/>
        <v>0</v>
      </c>
      <c r="W65" s="1666">
        <f t="shared" si="44"/>
        <v>0</v>
      </c>
      <c r="X65" s="1670">
        <f t="shared" si="54"/>
        <v>0</v>
      </c>
      <c r="Y65" s="1668">
        <f t="shared" si="37"/>
        <v>0</v>
      </c>
      <c r="Z65" s="772"/>
      <c r="AA65" s="1664">
        <f t="shared" si="38"/>
        <v>41</v>
      </c>
      <c r="AB65" s="1668">
        <f t="shared" si="50"/>
        <v>0</v>
      </c>
      <c r="AC65" s="1666">
        <f t="shared" si="45"/>
        <v>0</v>
      </c>
      <c r="AD65" s="1670">
        <f t="shared" si="55"/>
        <v>0</v>
      </c>
      <c r="AE65" s="1668">
        <f t="shared" si="39"/>
        <v>0</v>
      </c>
      <c r="AF65" s="772"/>
      <c r="AG65" s="1664">
        <f t="shared" si="40"/>
        <v>41</v>
      </c>
      <c r="AH65" s="1668">
        <f t="shared" si="51"/>
        <v>0</v>
      </c>
      <c r="AI65" s="1666">
        <f t="shared" si="46"/>
        <v>0</v>
      </c>
      <c r="AJ65" s="1670">
        <f t="shared" si="56"/>
        <v>0</v>
      </c>
      <c r="AK65" s="1668">
        <f t="shared" si="41"/>
        <v>0</v>
      </c>
      <c r="AL65" s="772"/>
      <c r="AM65" s="772"/>
      <c r="AN65" s="772"/>
      <c r="AO65" s="772"/>
      <c r="AP65" s="772"/>
      <c r="AQ65" s="772"/>
      <c r="AR65" s="772"/>
      <c r="AS65" s="772"/>
      <c r="AT65" s="772"/>
      <c r="AU65" s="772"/>
      <c r="AV65" s="772"/>
      <c r="AW65" s="772"/>
      <c r="AX65" s="772"/>
      <c r="AY65" s="772"/>
      <c r="AZ65" s="772"/>
      <c r="BA65" s="772"/>
      <c r="BB65" s="772"/>
      <c r="BC65" s="772"/>
      <c r="BD65" s="772"/>
      <c r="BE65" s="772"/>
      <c r="BF65" s="772"/>
      <c r="BG65" s="772"/>
      <c r="BH65" s="772"/>
      <c r="BI65" s="772"/>
      <c r="BJ65" s="772"/>
      <c r="BK65" s="772"/>
      <c r="BL65" s="772"/>
      <c r="BM65" s="772"/>
      <c r="BN65" s="772"/>
      <c r="BO65" s="772"/>
      <c r="BP65" s="772"/>
      <c r="BQ65" s="772"/>
      <c r="BR65" s="772"/>
      <c r="BS65" s="772"/>
      <c r="BT65" s="772"/>
      <c r="BU65" s="772"/>
      <c r="BV65" s="772"/>
      <c r="BW65" s="772"/>
      <c r="BX65" s="772"/>
      <c r="BY65" s="772"/>
      <c r="BZ65" s="772"/>
      <c r="CA65" s="772"/>
      <c r="CB65" s="772"/>
      <c r="CC65" s="772"/>
      <c r="CD65" s="772"/>
      <c r="CE65" s="772"/>
      <c r="CF65" s="772"/>
      <c r="CG65" s="772"/>
      <c r="CH65" s="772"/>
      <c r="CI65" s="772"/>
      <c r="CJ65" s="772"/>
      <c r="CK65" s="772"/>
      <c r="CL65" s="772"/>
      <c r="CM65" s="772"/>
      <c r="CN65" s="772"/>
      <c r="CO65" s="772"/>
      <c r="CP65" s="772"/>
      <c r="CQ65" s="772"/>
      <c r="CR65" s="772"/>
      <c r="CS65" s="772"/>
      <c r="CT65" s="772"/>
      <c r="CU65" s="772"/>
      <c r="CV65" s="772"/>
      <c r="CW65" s="772"/>
      <c r="CX65" s="772"/>
      <c r="CY65" s="772"/>
      <c r="CZ65" s="772"/>
      <c r="DA65" s="772"/>
      <c r="DB65" s="772"/>
      <c r="DC65" s="772"/>
      <c r="DD65" s="772"/>
      <c r="DE65" s="772"/>
      <c r="DF65" s="772"/>
      <c r="DG65" s="772"/>
      <c r="DH65" s="772"/>
      <c r="DI65" s="772"/>
      <c r="DJ65" s="772"/>
      <c r="DK65" s="772"/>
      <c r="DL65" s="772"/>
      <c r="DM65" s="772"/>
      <c r="DN65" s="772"/>
      <c r="DO65" s="772"/>
      <c r="DP65" s="772"/>
      <c r="DQ65" s="772"/>
      <c r="DR65" s="772"/>
      <c r="DS65" s="772"/>
      <c r="DT65" s="772"/>
      <c r="DU65" s="772"/>
      <c r="DV65" s="772"/>
      <c r="DW65" s="772"/>
      <c r="DX65" s="772"/>
      <c r="DY65" s="772"/>
      <c r="DZ65" s="772"/>
      <c r="EA65" s="772"/>
      <c r="EB65" s="772"/>
      <c r="EC65" s="772"/>
      <c r="ED65" s="772"/>
      <c r="EE65" s="772"/>
      <c r="EF65" s="772"/>
      <c r="EG65" s="772"/>
      <c r="EH65" s="772"/>
      <c r="EI65" s="772"/>
      <c r="EJ65" s="772"/>
      <c r="EK65" s="772"/>
      <c r="EL65" s="772"/>
      <c r="EM65" s="772"/>
      <c r="EN65" s="772"/>
      <c r="EO65" s="772"/>
      <c r="EP65" s="772"/>
      <c r="EQ65" s="772"/>
      <c r="ER65" s="772"/>
      <c r="ES65" s="772"/>
      <c r="ET65" s="772"/>
      <c r="EU65" s="772"/>
      <c r="EV65" s="772"/>
      <c r="EW65" s="772"/>
      <c r="EX65" s="772"/>
      <c r="EY65" s="772"/>
      <c r="EZ65" s="772"/>
      <c r="FA65" s="772"/>
      <c r="FB65" s="772"/>
      <c r="FC65" s="772"/>
      <c r="FD65" s="772"/>
      <c r="FE65" s="772"/>
      <c r="FF65" s="772"/>
      <c r="FG65" s="772"/>
      <c r="FH65" s="772"/>
      <c r="FI65" s="772"/>
      <c r="FJ65" s="772"/>
      <c r="FK65" s="772"/>
      <c r="FL65" s="772"/>
      <c r="FM65" s="772"/>
      <c r="FN65" s="772"/>
      <c r="FO65" s="772"/>
      <c r="FP65" s="772"/>
      <c r="FQ65" s="772"/>
      <c r="FR65" s="772"/>
      <c r="FS65" s="772"/>
      <c r="FT65" s="772"/>
      <c r="FU65" s="772"/>
      <c r="FV65" s="772"/>
      <c r="FW65" s="772"/>
      <c r="FX65" s="772"/>
      <c r="FY65" s="772"/>
      <c r="FZ65" s="772"/>
      <c r="GA65" s="772"/>
      <c r="GB65" s="772"/>
      <c r="GC65" s="772"/>
      <c r="GD65" s="772"/>
      <c r="GE65" s="772"/>
      <c r="GF65" s="772"/>
      <c r="GG65" s="772"/>
      <c r="GH65" s="772"/>
      <c r="GI65" s="772"/>
      <c r="GJ65" s="772"/>
      <c r="GK65" s="772"/>
      <c r="GL65" s="772"/>
      <c r="GM65" s="772"/>
      <c r="GN65" s="772"/>
      <c r="GO65" s="772"/>
      <c r="GP65" s="772"/>
      <c r="GQ65" s="772"/>
      <c r="GR65" s="772"/>
      <c r="GS65" s="772"/>
      <c r="GT65" s="772"/>
      <c r="GU65" s="772"/>
      <c r="GV65" s="772"/>
      <c r="GW65" s="772"/>
      <c r="GX65" s="772"/>
      <c r="GY65" s="772"/>
      <c r="GZ65" s="772"/>
      <c r="HA65" s="772"/>
      <c r="HB65" s="772"/>
      <c r="HC65" s="772"/>
      <c r="HD65" s="772"/>
      <c r="HE65" s="772"/>
      <c r="HF65" s="772"/>
      <c r="HG65" s="772"/>
      <c r="HH65" s="772"/>
      <c r="HI65" s="772"/>
      <c r="HJ65" s="772"/>
      <c r="HK65" s="772"/>
      <c r="HL65" s="772"/>
      <c r="HM65" s="772"/>
      <c r="HN65" s="772"/>
      <c r="HO65" s="772"/>
      <c r="HP65" s="772"/>
      <c r="HQ65" s="772"/>
      <c r="HR65" s="772"/>
      <c r="HS65" s="772"/>
      <c r="HT65" s="772"/>
      <c r="HU65" s="772"/>
      <c r="HV65" s="772"/>
      <c r="HW65" s="772"/>
      <c r="HX65" s="772"/>
      <c r="HY65" s="772"/>
      <c r="HZ65" s="772"/>
      <c r="IA65" s="772"/>
      <c r="IB65" s="772"/>
      <c r="IC65" s="772"/>
      <c r="ID65" s="772"/>
      <c r="IE65" s="772"/>
      <c r="IF65" s="772"/>
      <c r="IG65" s="772"/>
      <c r="IH65" s="772"/>
      <c r="II65" s="772"/>
      <c r="IJ65" s="772"/>
      <c r="IK65" s="772"/>
    </row>
    <row r="66" spans="1:245" s="765" customFormat="1" ht="20.100000000000001" customHeight="1" x14ac:dyDescent="0.25">
      <c r="A66" s="772"/>
      <c r="B66" s="783"/>
      <c r="C66" s="784"/>
      <c r="D66" s="784"/>
      <c r="E66" s="784"/>
      <c r="F66" s="784"/>
      <c r="G66" s="784"/>
      <c r="H66" s="772"/>
      <c r="I66" s="1664">
        <f t="shared" si="32"/>
        <v>42</v>
      </c>
      <c r="J66" s="1668">
        <f t="shared" si="47"/>
        <v>0</v>
      </c>
      <c r="K66" s="1666">
        <f t="shared" si="42"/>
        <v>0</v>
      </c>
      <c r="L66" s="1670">
        <f t="shared" si="52"/>
        <v>0</v>
      </c>
      <c r="M66" s="1668">
        <f t="shared" si="33"/>
        <v>0</v>
      </c>
      <c r="N66" s="772"/>
      <c r="O66" s="1664">
        <f t="shared" si="34"/>
        <v>42</v>
      </c>
      <c r="P66" s="1668">
        <f t="shared" si="48"/>
        <v>0</v>
      </c>
      <c r="Q66" s="1666">
        <f t="shared" si="43"/>
        <v>0</v>
      </c>
      <c r="R66" s="1670">
        <f t="shared" si="53"/>
        <v>0</v>
      </c>
      <c r="S66" s="1668">
        <f t="shared" si="35"/>
        <v>0</v>
      </c>
      <c r="T66" s="772"/>
      <c r="U66" s="1664">
        <f t="shared" si="36"/>
        <v>42</v>
      </c>
      <c r="V66" s="1668">
        <f t="shared" si="49"/>
        <v>0</v>
      </c>
      <c r="W66" s="1666">
        <f t="shared" si="44"/>
        <v>0</v>
      </c>
      <c r="X66" s="1670">
        <f t="shared" si="54"/>
        <v>0</v>
      </c>
      <c r="Y66" s="1668">
        <f t="shared" si="37"/>
        <v>0</v>
      </c>
      <c r="Z66" s="772"/>
      <c r="AA66" s="1664">
        <f t="shared" si="38"/>
        <v>42</v>
      </c>
      <c r="AB66" s="1668">
        <f t="shared" si="50"/>
        <v>0</v>
      </c>
      <c r="AC66" s="1666">
        <f t="shared" si="45"/>
        <v>0</v>
      </c>
      <c r="AD66" s="1670">
        <f t="shared" si="55"/>
        <v>0</v>
      </c>
      <c r="AE66" s="1668">
        <f t="shared" si="39"/>
        <v>0</v>
      </c>
      <c r="AF66" s="772"/>
      <c r="AG66" s="1664">
        <f t="shared" si="40"/>
        <v>42</v>
      </c>
      <c r="AH66" s="1668">
        <f t="shared" si="51"/>
        <v>0</v>
      </c>
      <c r="AI66" s="1666">
        <f t="shared" si="46"/>
        <v>0</v>
      </c>
      <c r="AJ66" s="1670">
        <f t="shared" si="56"/>
        <v>0</v>
      </c>
      <c r="AK66" s="1668">
        <f t="shared" si="41"/>
        <v>0</v>
      </c>
      <c r="AL66" s="772"/>
      <c r="AM66" s="772"/>
      <c r="AN66" s="772"/>
      <c r="AO66" s="772"/>
      <c r="AP66" s="772"/>
      <c r="AQ66" s="772"/>
      <c r="AR66" s="772"/>
      <c r="AS66" s="772"/>
      <c r="AT66" s="772"/>
      <c r="AU66" s="772"/>
      <c r="AV66" s="772"/>
      <c r="AW66" s="772"/>
      <c r="AX66" s="772"/>
      <c r="AY66" s="772"/>
      <c r="AZ66" s="772"/>
      <c r="BA66" s="772"/>
      <c r="BB66" s="772"/>
      <c r="BC66" s="772"/>
      <c r="BD66" s="772"/>
      <c r="BE66" s="772"/>
      <c r="BF66" s="772"/>
      <c r="BG66" s="772"/>
      <c r="BH66" s="772"/>
      <c r="BI66" s="772"/>
      <c r="BJ66" s="772"/>
      <c r="BK66" s="772"/>
      <c r="BL66" s="772"/>
      <c r="BM66" s="772"/>
      <c r="BN66" s="772"/>
      <c r="BO66" s="772"/>
      <c r="BP66" s="772"/>
      <c r="BQ66" s="772"/>
      <c r="BR66" s="772"/>
      <c r="BS66" s="772"/>
      <c r="BT66" s="772"/>
      <c r="BU66" s="772"/>
      <c r="BV66" s="772"/>
      <c r="BW66" s="772"/>
      <c r="BX66" s="772"/>
      <c r="BY66" s="772"/>
      <c r="BZ66" s="772"/>
      <c r="CA66" s="772"/>
      <c r="CB66" s="772"/>
      <c r="CC66" s="772"/>
      <c r="CD66" s="772"/>
      <c r="CE66" s="772"/>
      <c r="CF66" s="772"/>
      <c r="CG66" s="772"/>
      <c r="CH66" s="772"/>
      <c r="CI66" s="772"/>
      <c r="CJ66" s="772"/>
      <c r="CK66" s="772"/>
      <c r="CL66" s="772"/>
      <c r="CM66" s="772"/>
      <c r="CN66" s="772"/>
      <c r="CO66" s="772"/>
      <c r="CP66" s="772"/>
      <c r="CQ66" s="772"/>
      <c r="CR66" s="772"/>
      <c r="CS66" s="772"/>
      <c r="CT66" s="772"/>
      <c r="CU66" s="772"/>
      <c r="CV66" s="772"/>
      <c r="CW66" s="772"/>
      <c r="CX66" s="772"/>
      <c r="CY66" s="772"/>
      <c r="CZ66" s="772"/>
      <c r="DA66" s="772"/>
      <c r="DB66" s="772"/>
      <c r="DC66" s="772"/>
      <c r="DD66" s="772"/>
      <c r="DE66" s="772"/>
      <c r="DF66" s="772"/>
      <c r="DG66" s="772"/>
      <c r="DH66" s="772"/>
      <c r="DI66" s="772"/>
      <c r="DJ66" s="772"/>
      <c r="DK66" s="772"/>
      <c r="DL66" s="772"/>
      <c r="DM66" s="772"/>
      <c r="DN66" s="772"/>
      <c r="DO66" s="772"/>
      <c r="DP66" s="772"/>
      <c r="DQ66" s="772"/>
      <c r="DR66" s="772"/>
      <c r="DS66" s="772"/>
      <c r="DT66" s="772"/>
      <c r="DU66" s="772"/>
      <c r="DV66" s="772"/>
      <c r="DW66" s="772"/>
      <c r="DX66" s="772"/>
      <c r="DY66" s="772"/>
      <c r="DZ66" s="772"/>
      <c r="EA66" s="772"/>
      <c r="EB66" s="772"/>
      <c r="EC66" s="772"/>
      <c r="ED66" s="772"/>
      <c r="EE66" s="772"/>
      <c r="EF66" s="772"/>
      <c r="EG66" s="772"/>
      <c r="EH66" s="772"/>
      <c r="EI66" s="772"/>
      <c r="EJ66" s="772"/>
      <c r="EK66" s="772"/>
      <c r="EL66" s="772"/>
      <c r="EM66" s="772"/>
      <c r="EN66" s="772"/>
      <c r="EO66" s="772"/>
      <c r="EP66" s="772"/>
      <c r="EQ66" s="772"/>
      <c r="ER66" s="772"/>
      <c r="ES66" s="772"/>
      <c r="ET66" s="772"/>
      <c r="EU66" s="772"/>
      <c r="EV66" s="772"/>
      <c r="EW66" s="772"/>
      <c r="EX66" s="772"/>
      <c r="EY66" s="772"/>
      <c r="EZ66" s="772"/>
      <c r="FA66" s="772"/>
      <c r="FB66" s="772"/>
      <c r="FC66" s="772"/>
      <c r="FD66" s="772"/>
      <c r="FE66" s="772"/>
      <c r="FF66" s="772"/>
      <c r="FG66" s="772"/>
      <c r="FH66" s="772"/>
      <c r="FI66" s="772"/>
      <c r="FJ66" s="772"/>
      <c r="FK66" s="772"/>
      <c r="FL66" s="772"/>
      <c r="FM66" s="772"/>
      <c r="FN66" s="772"/>
      <c r="FO66" s="772"/>
      <c r="FP66" s="772"/>
      <c r="FQ66" s="772"/>
      <c r="FR66" s="772"/>
      <c r="FS66" s="772"/>
      <c r="FT66" s="772"/>
      <c r="FU66" s="772"/>
      <c r="FV66" s="772"/>
      <c r="FW66" s="772"/>
      <c r="FX66" s="772"/>
      <c r="FY66" s="772"/>
      <c r="FZ66" s="772"/>
      <c r="GA66" s="772"/>
      <c r="GB66" s="772"/>
      <c r="GC66" s="772"/>
      <c r="GD66" s="772"/>
      <c r="GE66" s="772"/>
      <c r="GF66" s="772"/>
      <c r="GG66" s="772"/>
      <c r="GH66" s="772"/>
      <c r="GI66" s="772"/>
      <c r="GJ66" s="772"/>
      <c r="GK66" s="772"/>
      <c r="GL66" s="772"/>
      <c r="GM66" s="772"/>
      <c r="GN66" s="772"/>
      <c r="GO66" s="772"/>
      <c r="GP66" s="772"/>
      <c r="GQ66" s="772"/>
      <c r="GR66" s="772"/>
      <c r="GS66" s="772"/>
      <c r="GT66" s="772"/>
      <c r="GU66" s="772"/>
      <c r="GV66" s="772"/>
      <c r="GW66" s="772"/>
      <c r="GX66" s="772"/>
      <c r="GY66" s="772"/>
      <c r="GZ66" s="772"/>
      <c r="HA66" s="772"/>
      <c r="HB66" s="772"/>
      <c r="HC66" s="772"/>
      <c r="HD66" s="772"/>
      <c r="HE66" s="772"/>
      <c r="HF66" s="772"/>
      <c r="HG66" s="772"/>
      <c r="HH66" s="772"/>
      <c r="HI66" s="772"/>
      <c r="HJ66" s="772"/>
      <c r="HK66" s="772"/>
      <c r="HL66" s="772"/>
      <c r="HM66" s="772"/>
      <c r="HN66" s="772"/>
      <c r="HO66" s="772"/>
      <c r="HP66" s="772"/>
      <c r="HQ66" s="772"/>
      <c r="HR66" s="772"/>
      <c r="HS66" s="772"/>
      <c r="HT66" s="772"/>
      <c r="HU66" s="772"/>
      <c r="HV66" s="772"/>
      <c r="HW66" s="772"/>
      <c r="HX66" s="772"/>
      <c r="HY66" s="772"/>
      <c r="HZ66" s="772"/>
      <c r="IA66" s="772"/>
      <c r="IB66" s="772"/>
      <c r="IC66" s="772"/>
      <c r="ID66" s="772"/>
      <c r="IE66" s="772"/>
      <c r="IF66" s="772"/>
      <c r="IG66" s="772"/>
      <c r="IH66" s="772"/>
      <c r="II66" s="772"/>
      <c r="IJ66" s="772"/>
      <c r="IK66" s="772"/>
    </row>
    <row r="67" spans="1:245" s="765" customFormat="1" ht="20.100000000000001" customHeight="1" x14ac:dyDescent="0.25">
      <c r="A67" s="772"/>
      <c r="B67" s="783"/>
      <c r="C67" s="784"/>
      <c r="D67" s="784"/>
      <c r="E67" s="784"/>
      <c r="F67" s="784"/>
      <c r="G67" s="784"/>
      <c r="H67" s="772"/>
      <c r="I67" s="1664">
        <f t="shared" si="32"/>
        <v>43</v>
      </c>
      <c r="J67" s="1668">
        <f t="shared" si="47"/>
        <v>0</v>
      </c>
      <c r="K67" s="1666">
        <f t="shared" si="42"/>
        <v>0</v>
      </c>
      <c r="L67" s="1670">
        <f t="shared" si="52"/>
        <v>0</v>
      </c>
      <c r="M67" s="1668">
        <f t="shared" si="33"/>
        <v>0</v>
      </c>
      <c r="N67" s="772"/>
      <c r="O67" s="1664">
        <f t="shared" si="34"/>
        <v>43</v>
      </c>
      <c r="P67" s="1668">
        <f t="shared" si="48"/>
        <v>0</v>
      </c>
      <c r="Q67" s="1666">
        <f t="shared" si="43"/>
        <v>0</v>
      </c>
      <c r="R67" s="1670">
        <f t="shared" si="53"/>
        <v>0</v>
      </c>
      <c r="S67" s="1668">
        <f t="shared" si="35"/>
        <v>0</v>
      </c>
      <c r="T67" s="772"/>
      <c r="U67" s="1664">
        <f t="shared" si="36"/>
        <v>43</v>
      </c>
      <c r="V67" s="1668">
        <f t="shared" si="49"/>
        <v>0</v>
      </c>
      <c r="W67" s="1666">
        <f t="shared" si="44"/>
        <v>0</v>
      </c>
      <c r="X67" s="1670">
        <f t="shared" si="54"/>
        <v>0</v>
      </c>
      <c r="Y67" s="1668">
        <f t="shared" si="37"/>
        <v>0</v>
      </c>
      <c r="Z67" s="772"/>
      <c r="AA67" s="1664">
        <f t="shared" si="38"/>
        <v>43</v>
      </c>
      <c r="AB67" s="1668">
        <f t="shared" si="50"/>
        <v>0</v>
      </c>
      <c r="AC67" s="1666">
        <f t="shared" si="45"/>
        <v>0</v>
      </c>
      <c r="AD67" s="1670">
        <f t="shared" si="55"/>
        <v>0</v>
      </c>
      <c r="AE67" s="1668">
        <f t="shared" si="39"/>
        <v>0</v>
      </c>
      <c r="AF67" s="772"/>
      <c r="AG67" s="1664">
        <f t="shared" si="40"/>
        <v>43</v>
      </c>
      <c r="AH67" s="1668">
        <f t="shared" si="51"/>
        <v>0</v>
      </c>
      <c r="AI67" s="1666">
        <f t="shared" si="46"/>
        <v>0</v>
      </c>
      <c r="AJ67" s="1670">
        <f t="shared" si="56"/>
        <v>0</v>
      </c>
      <c r="AK67" s="1668">
        <f t="shared" si="41"/>
        <v>0</v>
      </c>
      <c r="AL67" s="772"/>
      <c r="AM67" s="772"/>
      <c r="AN67" s="772"/>
      <c r="AO67" s="772"/>
      <c r="AP67" s="772"/>
      <c r="AQ67" s="772"/>
      <c r="AR67" s="772"/>
      <c r="AS67" s="772"/>
      <c r="AT67" s="772"/>
      <c r="AU67" s="772"/>
      <c r="AV67" s="772"/>
      <c r="AW67" s="772"/>
      <c r="AX67" s="772"/>
      <c r="AY67" s="772"/>
      <c r="AZ67" s="772"/>
      <c r="BA67" s="772"/>
      <c r="BB67" s="772"/>
      <c r="BC67" s="772"/>
      <c r="BD67" s="772"/>
      <c r="BE67" s="772"/>
      <c r="BF67" s="772"/>
      <c r="BG67" s="772"/>
      <c r="BH67" s="772"/>
      <c r="BI67" s="772"/>
      <c r="BJ67" s="772"/>
      <c r="BK67" s="772"/>
      <c r="BL67" s="772"/>
      <c r="BM67" s="772"/>
      <c r="BN67" s="772"/>
      <c r="BO67" s="772"/>
      <c r="BP67" s="772"/>
      <c r="BQ67" s="772"/>
      <c r="BR67" s="772"/>
      <c r="BS67" s="772"/>
      <c r="BT67" s="772"/>
      <c r="BU67" s="772"/>
      <c r="BV67" s="772"/>
      <c r="BW67" s="772"/>
      <c r="BX67" s="772"/>
      <c r="BY67" s="772"/>
      <c r="BZ67" s="772"/>
      <c r="CA67" s="772"/>
      <c r="CB67" s="772"/>
      <c r="CC67" s="772"/>
      <c r="CD67" s="772"/>
      <c r="CE67" s="772"/>
      <c r="CF67" s="772"/>
      <c r="CG67" s="772"/>
      <c r="CH67" s="772"/>
      <c r="CI67" s="772"/>
      <c r="CJ67" s="772"/>
      <c r="CK67" s="772"/>
      <c r="CL67" s="772"/>
      <c r="CM67" s="772"/>
      <c r="CN67" s="772"/>
      <c r="CO67" s="772"/>
      <c r="CP67" s="772"/>
      <c r="CQ67" s="772"/>
      <c r="CR67" s="772"/>
      <c r="CS67" s="772"/>
      <c r="CT67" s="772"/>
      <c r="CU67" s="772"/>
      <c r="CV67" s="772"/>
      <c r="CW67" s="772"/>
      <c r="CX67" s="772"/>
      <c r="CY67" s="772"/>
      <c r="CZ67" s="772"/>
      <c r="DA67" s="772"/>
      <c r="DB67" s="772"/>
      <c r="DC67" s="772"/>
      <c r="DD67" s="772"/>
      <c r="DE67" s="772"/>
      <c r="DF67" s="772"/>
      <c r="DG67" s="772"/>
      <c r="DH67" s="772"/>
      <c r="DI67" s="772"/>
      <c r="DJ67" s="772"/>
      <c r="DK67" s="772"/>
      <c r="DL67" s="772"/>
      <c r="DM67" s="772"/>
      <c r="DN67" s="772"/>
      <c r="DO67" s="772"/>
      <c r="DP67" s="772"/>
      <c r="DQ67" s="772"/>
      <c r="DR67" s="772"/>
      <c r="DS67" s="772"/>
      <c r="DT67" s="772"/>
      <c r="DU67" s="772"/>
      <c r="DV67" s="772"/>
      <c r="DW67" s="772"/>
      <c r="DX67" s="772"/>
      <c r="DY67" s="772"/>
      <c r="DZ67" s="772"/>
      <c r="EA67" s="772"/>
      <c r="EB67" s="772"/>
      <c r="EC67" s="772"/>
      <c r="ED67" s="772"/>
      <c r="EE67" s="772"/>
      <c r="EF67" s="772"/>
      <c r="EG67" s="772"/>
      <c r="EH67" s="772"/>
      <c r="EI67" s="772"/>
      <c r="EJ67" s="772"/>
      <c r="EK67" s="772"/>
      <c r="EL67" s="772"/>
      <c r="EM67" s="772"/>
      <c r="EN67" s="772"/>
      <c r="EO67" s="772"/>
      <c r="EP67" s="772"/>
      <c r="EQ67" s="772"/>
      <c r="ER67" s="772"/>
      <c r="ES67" s="772"/>
      <c r="ET67" s="772"/>
      <c r="EU67" s="772"/>
      <c r="EV67" s="772"/>
      <c r="EW67" s="772"/>
      <c r="EX67" s="772"/>
      <c r="EY67" s="772"/>
      <c r="EZ67" s="772"/>
      <c r="FA67" s="772"/>
      <c r="FB67" s="772"/>
      <c r="FC67" s="772"/>
      <c r="FD67" s="772"/>
      <c r="FE67" s="772"/>
      <c r="FF67" s="772"/>
      <c r="FG67" s="772"/>
      <c r="FH67" s="772"/>
      <c r="FI67" s="772"/>
      <c r="FJ67" s="772"/>
      <c r="FK67" s="772"/>
      <c r="FL67" s="772"/>
      <c r="FM67" s="772"/>
      <c r="FN67" s="772"/>
      <c r="FO67" s="772"/>
      <c r="FP67" s="772"/>
      <c r="FQ67" s="772"/>
      <c r="FR67" s="772"/>
      <c r="FS67" s="772"/>
      <c r="FT67" s="772"/>
      <c r="FU67" s="772"/>
      <c r="FV67" s="772"/>
      <c r="FW67" s="772"/>
      <c r="FX67" s="772"/>
      <c r="FY67" s="772"/>
      <c r="FZ67" s="772"/>
      <c r="GA67" s="772"/>
      <c r="GB67" s="772"/>
      <c r="GC67" s="772"/>
      <c r="GD67" s="772"/>
      <c r="GE67" s="772"/>
      <c r="GF67" s="772"/>
      <c r="GG67" s="772"/>
      <c r="GH67" s="772"/>
      <c r="GI67" s="772"/>
      <c r="GJ67" s="772"/>
      <c r="GK67" s="772"/>
      <c r="GL67" s="772"/>
      <c r="GM67" s="772"/>
      <c r="GN67" s="772"/>
      <c r="GO67" s="772"/>
      <c r="GP67" s="772"/>
      <c r="GQ67" s="772"/>
      <c r="GR67" s="772"/>
      <c r="GS67" s="772"/>
      <c r="GT67" s="772"/>
      <c r="GU67" s="772"/>
      <c r="GV67" s="772"/>
      <c r="GW67" s="772"/>
      <c r="GX67" s="772"/>
      <c r="GY67" s="772"/>
      <c r="GZ67" s="772"/>
      <c r="HA67" s="772"/>
      <c r="HB67" s="772"/>
      <c r="HC67" s="772"/>
      <c r="HD67" s="772"/>
      <c r="HE67" s="772"/>
      <c r="HF67" s="772"/>
      <c r="HG67" s="772"/>
      <c r="HH67" s="772"/>
      <c r="HI67" s="772"/>
      <c r="HJ67" s="772"/>
      <c r="HK67" s="772"/>
      <c r="HL67" s="772"/>
      <c r="HM67" s="772"/>
      <c r="HN67" s="772"/>
      <c r="HO67" s="772"/>
      <c r="HP67" s="772"/>
      <c r="HQ67" s="772"/>
      <c r="HR67" s="772"/>
      <c r="HS67" s="772"/>
      <c r="HT67" s="772"/>
      <c r="HU67" s="772"/>
      <c r="HV67" s="772"/>
      <c r="HW67" s="772"/>
      <c r="HX67" s="772"/>
      <c r="HY67" s="772"/>
      <c r="HZ67" s="772"/>
      <c r="IA67" s="772"/>
      <c r="IB67" s="772"/>
      <c r="IC67" s="772"/>
      <c r="ID67" s="772"/>
      <c r="IE67" s="772"/>
      <c r="IF67" s="772"/>
      <c r="IG67" s="772"/>
      <c r="IH67" s="772"/>
      <c r="II67" s="772"/>
      <c r="IJ67" s="772"/>
      <c r="IK67" s="772"/>
    </row>
    <row r="68" spans="1:245" s="765" customFormat="1" ht="20.100000000000001" customHeight="1" x14ac:dyDescent="0.25">
      <c r="A68" s="772"/>
      <c r="B68" s="783"/>
      <c r="C68" s="784"/>
      <c r="D68" s="784"/>
      <c r="E68" s="784"/>
      <c r="F68" s="784"/>
      <c r="G68" s="784"/>
      <c r="H68" s="772"/>
      <c r="I68" s="1664">
        <f t="shared" si="32"/>
        <v>44</v>
      </c>
      <c r="J68" s="1668">
        <f t="shared" si="47"/>
        <v>0</v>
      </c>
      <c r="K68" s="1666">
        <f t="shared" si="42"/>
        <v>0</v>
      </c>
      <c r="L68" s="1670">
        <f t="shared" si="52"/>
        <v>0</v>
      </c>
      <c r="M68" s="1668">
        <f t="shared" si="33"/>
        <v>0</v>
      </c>
      <c r="N68" s="772"/>
      <c r="O68" s="1664">
        <f t="shared" si="34"/>
        <v>44</v>
      </c>
      <c r="P68" s="1668">
        <f t="shared" si="48"/>
        <v>0</v>
      </c>
      <c r="Q68" s="1666">
        <f t="shared" si="43"/>
        <v>0</v>
      </c>
      <c r="R68" s="1670">
        <f t="shared" si="53"/>
        <v>0</v>
      </c>
      <c r="S68" s="1668">
        <f t="shared" si="35"/>
        <v>0</v>
      </c>
      <c r="T68" s="772"/>
      <c r="U68" s="1664">
        <f t="shared" si="36"/>
        <v>44</v>
      </c>
      <c r="V68" s="1668">
        <f t="shared" si="49"/>
        <v>0</v>
      </c>
      <c r="W68" s="1666">
        <f t="shared" si="44"/>
        <v>0</v>
      </c>
      <c r="X68" s="1670">
        <f t="shared" si="54"/>
        <v>0</v>
      </c>
      <c r="Y68" s="1668">
        <f t="shared" si="37"/>
        <v>0</v>
      </c>
      <c r="Z68" s="772"/>
      <c r="AA68" s="1664">
        <f t="shared" si="38"/>
        <v>44</v>
      </c>
      <c r="AB68" s="1668">
        <f t="shared" si="50"/>
        <v>0</v>
      </c>
      <c r="AC68" s="1666">
        <f t="shared" si="45"/>
        <v>0</v>
      </c>
      <c r="AD68" s="1670">
        <f t="shared" si="55"/>
        <v>0</v>
      </c>
      <c r="AE68" s="1668">
        <f t="shared" si="39"/>
        <v>0</v>
      </c>
      <c r="AF68" s="772"/>
      <c r="AG68" s="1664">
        <f t="shared" si="40"/>
        <v>44</v>
      </c>
      <c r="AH68" s="1668">
        <f t="shared" si="51"/>
        <v>0</v>
      </c>
      <c r="AI68" s="1666">
        <f t="shared" si="46"/>
        <v>0</v>
      </c>
      <c r="AJ68" s="1670">
        <f t="shared" si="56"/>
        <v>0</v>
      </c>
      <c r="AK68" s="1668">
        <f t="shared" si="41"/>
        <v>0</v>
      </c>
      <c r="AL68" s="772"/>
      <c r="AM68" s="772"/>
      <c r="AN68" s="772"/>
      <c r="AO68" s="772"/>
      <c r="AP68" s="772"/>
      <c r="AQ68" s="772"/>
      <c r="AR68" s="772"/>
      <c r="AS68" s="772"/>
      <c r="AT68" s="772"/>
      <c r="AU68" s="772"/>
      <c r="AV68" s="772"/>
      <c r="AW68" s="772"/>
      <c r="AX68" s="772"/>
      <c r="AY68" s="772"/>
      <c r="AZ68" s="772"/>
      <c r="BA68" s="772"/>
      <c r="BB68" s="772"/>
      <c r="BC68" s="772"/>
      <c r="BD68" s="772"/>
      <c r="BE68" s="772"/>
      <c r="BF68" s="772"/>
      <c r="BG68" s="772"/>
      <c r="BH68" s="772"/>
      <c r="BI68" s="772"/>
      <c r="BJ68" s="772"/>
      <c r="BK68" s="772"/>
      <c r="BL68" s="772"/>
      <c r="BM68" s="772"/>
      <c r="BN68" s="772"/>
      <c r="BO68" s="772"/>
      <c r="BP68" s="772"/>
      <c r="BQ68" s="772"/>
      <c r="BR68" s="772"/>
      <c r="BS68" s="772"/>
      <c r="BT68" s="772"/>
      <c r="BU68" s="772"/>
      <c r="BV68" s="772"/>
      <c r="BW68" s="772"/>
      <c r="BX68" s="772"/>
      <c r="BY68" s="772"/>
      <c r="BZ68" s="772"/>
      <c r="CA68" s="772"/>
      <c r="CB68" s="772"/>
      <c r="CC68" s="772"/>
      <c r="CD68" s="772"/>
      <c r="CE68" s="772"/>
      <c r="CF68" s="772"/>
      <c r="CG68" s="772"/>
      <c r="CH68" s="772"/>
      <c r="CI68" s="772"/>
      <c r="CJ68" s="772"/>
      <c r="CK68" s="772"/>
      <c r="CL68" s="772"/>
      <c r="CM68" s="772"/>
      <c r="CN68" s="772"/>
      <c r="CO68" s="772"/>
      <c r="CP68" s="772"/>
      <c r="CQ68" s="772"/>
      <c r="CR68" s="772"/>
      <c r="CS68" s="772"/>
      <c r="CT68" s="772"/>
      <c r="CU68" s="772"/>
      <c r="CV68" s="772"/>
      <c r="CW68" s="772"/>
      <c r="CX68" s="772"/>
      <c r="CY68" s="772"/>
      <c r="CZ68" s="772"/>
      <c r="DA68" s="772"/>
      <c r="DB68" s="772"/>
      <c r="DC68" s="772"/>
      <c r="DD68" s="772"/>
      <c r="DE68" s="772"/>
      <c r="DF68" s="772"/>
      <c r="DG68" s="772"/>
      <c r="DH68" s="772"/>
      <c r="DI68" s="772"/>
      <c r="DJ68" s="772"/>
      <c r="DK68" s="772"/>
      <c r="DL68" s="772"/>
      <c r="DM68" s="772"/>
      <c r="DN68" s="772"/>
      <c r="DO68" s="772"/>
      <c r="DP68" s="772"/>
      <c r="DQ68" s="772"/>
      <c r="DR68" s="772"/>
      <c r="DS68" s="772"/>
      <c r="DT68" s="772"/>
      <c r="DU68" s="772"/>
      <c r="DV68" s="772"/>
      <c r="DW68" s="772"/>
      <c r="DX68" s="772"/>
      <c r="DY68" s="772"/>
      <c r="DZ68" s="772"/>
      <c r="EA68" s="772"/>
      <c r="EB68" s="772"/>
      <c r="EC68" s="772"/>
      <c r="ED68" s="772"/>
      <c r="EE68" s="772"/>
      <c r="EF68" s="772"/>
      <c r="EG68" s="772"/>
      <c r="EH68" s="772"/>
      <c r="EI68" s="772"/>
      <c r="EJ68" s="772"/>
      <c r="EK68" s="772"/>
      <c r="EL68" s="772"/>
      <c r="EM68" s="772"/>
      <c r="EN68" s="772"/>
      <c r="EO68" s="772"/>
      <c r="EP68" s="772"/>
      <c r="EQ68" s="772"/>
      <c r="ER68" s="772"/>
      <c r="ES68" s="772"/>
      <c r="ET68" s="772"/>
      <c r="EU68" s="772"/>
      <c r="EV68" s="772"/>
      <c r="EW68" s="772"/>
      <c r="EX68" s="772"/>
      <c r="EY68" s="772"/>
      <c r="EZ68" s="772"/>
      <c r="FA68" s="772"/>
      <c r="FB68" s="772"/>
      <c r="FC68" s="772"/>
      <c r="FD68" s="772"/>
      <c r="FE68" s="772"/>
      <c r="FF68" s="772"/>
      <c r="FG68" s="772"/>
      <c r="FH68" s="772"/>
      <c r="FI68" s="772"/>
      <c r="FJ68" s="772"/>
      <c r="FK68" s="772"/>
      <c r="FL68" s="772"/>
      <c r="FM68" s="772"/>
      <c r="FN68" s="772"/>
      <c r="FO68" s="772"/>
      <c r="FP68" s="772"/>
      <c r="FQ68" s="772"/>
      <c r="FR68" s="772"/>
      <c r="FS68" s="772"/>
      <c r="FT68" s="772"/>
      <c r="FU68" s="772"/>
      <c r="FV68" s="772"/>
      <c r="FW68" s="772"/>
      <c r="FX68" s="772"/>
      <c r="FY68" s="772"/>
      <c r="FZ68" s="772"/>
      <c r="GA68" s="772"/>
      <c r="GB68" s="772"/>
      <c r="GC68" s="772"/>
      <c r="GD68" s="772"/>
      <c r="GE68" s="772"/>
      <c r="GF68" s="772"/>
      <c r="GG68" s="772"/>
      <c r="GH68" s="772"/>
      <c r="GI68" s="772"/>
      <c r="GJ68" s="772"/>
      <c r="GK68" s="772"/>
      <c r="GL68" s="772"/>
      <c r="GM68" s="772"/>
      <c r="GN68" s="772"/>
      <c r="GO68" s="772"/>
      <c r="GP68" s="772"/>
      <c r="GQ68" s="772"/>
      <c r="GR68" s="772"/>
      <c r="GS68" s="772"/>
      <c r="GT68" s="772"/>
      <c r="GU68" s="772"/>
      <c r="GV68" s="772"/>
      <c r="GW68" s="772"/>
      <c r="GX68" s="772"/>
      <c r="GY68" s="772"/>
      <c r="GZ68" s="772"/>
      <c r="HA68" s="772"/>
      <c r="HB68" s="772"/>
      <c r="HC68" s="772"/>
      <c r="HD68" s="772"/>
      <c r="HE68" s="772"/>
      <c r="HF68" s="772"/>
      <c r="HG68" s="772"/>
      <c r="HH68" s="772"/>
      <c r="HI68" s="772"/>
      <c r="HJ68" s="772"/>
      <c r="HK68" s="772"/>
      <c r="HL68" s="772"/>
      <c r="HM68" s="772"/>
      <c r="HN68" s="772"/>
      <c r="HO68" s="772"/>
      <c r="HP68" s="772"/>
      <c r="HQ68" s="772"/>
      <c r="HR68" s="772"/>
      <c r="HS68" s="772"/>
      <c r="HT68" s="772"/>
      <c r="HU68" s="772"/>
      <c r="HV68" s="772"/>
      <c r="HW68" s="772"/>
      <c r="HX68" s="772"/>
      <c r="HY68" s="772"/>
      <c r="HZ68" s="772"/>
      <c r="IA68" s="772"/>
      <c r="IB68" s="772"/>
      <c r="IC68" s="772"/>
      <c r="ID68" s="772"/>
      <c r="IE68" s="772"/>
      <c r="IF68" s="772"/>
      <c r="IG68" s="772"/>
      <c r="IH68" s="772"/>
      <c r="II68" s="772"/>
      <c r="IJ68" s="772"/>
      <c r="IK68" s="772"/>
    </row>
    <row r="69" spans="1:245" s="765" customFormat="1" ht="20.100000000000001" customHeight="1" x14ac:dyDescent="0.25">
      <c r="A69" s="772"/>
      <c r="B69" s="783"/>
      <c r="C69" s="784"/>
      <c r="D69" s="784"/>
      <c r="E69" s="784"/>
      <c r="F69" s="784"/>
      <c r="G69" s="784"/>
      <c r="H69" s="772"/>
      <c r="I69" s="1664">
        <f t="shared" si="32"/>
        <v>45</v>
      </c>
      <c r="J69" s="1668">
        <f t="shared" si="47"/>
        <v>0</v>
      </c>
      <c r="K69" s="1666">
        <f t="shared" si="42"/>
        <v>0</v>
      </c>
      <c r="L69" s="1670">
        <f t="shared" si="52"/>
        <v>0</v>
      </c>
      <c r="M69" s="1668">
        <f t="shared" si="33"/>
        <v>0</v>
      </c>
      <c r="N69" s="772"/>
      <c r="O69" s="1664">
        <f t="shared" si="34"/>
        <v>45</v>
      </c>
      <c r="P69" s="1668">
        <f t="shared" si="48"/>
        <v>0</v>
      </c>
      <c r="Q69" s="1666">
        <f t="shared" si="43"/>
        <v>0</v>
      </c>
      <c r="R69" s="1670">
        <f t="shared" si="53"/>
        <v>0</v>
      </c>
      <c r="S69" s="1668">
        <f t="shared" si="35"/>
        <v>0</v>
      </c>
      <c r="T69" s="772"/>
      <c r="U69" s="1664">
        <f t="shared" si="36"/>
        <v>45</v>
      </c>
      <c r="V69" s="1668">
        <f t="shared" si="49"/>
        <v>0</v>
      </c>
      <c r="W69" s="1666">
        <f t="shared" si="44"/>
        <v>0</v>
      </c>
      <c r="X69" s="1670">
        <f t="shared" si="54"/>
        <v>0</v>
      </c>
      <c r="Y69" s="1668">
        <f t="shared" si="37"/>
        <v>0</v>
      </c>
      <c r="Z69" s="772"/>
      <c r="AA69" s="1664">
        <f t="shared" si="38"/>
        <v>45</v>
      </c>
      <c r="AB69" s="1668">
        <f t="shared" si="50"/>
        <v>0</v>
      </c>
      <c r="AC69" s="1666">
        <f t="shared" si="45"/>
        <v>0</v>
      </c>
      <c r="AD69" s="1670">
        <f t="shared" si="55"/>
        <v>0</v>
      </c>
      <c r="AE69" s="1668">
        <f t="shared" si="39"/>
        <v>0</v>
      </c>
      <c r="AF69" s="772"/>
      <c r="AG69" s="1664">
        <f t="shared" si="40"/>
        <v>45</v>
      </c>
      <c r="AH69" s="1668">
        <f t="shared" si="51"/>
        <v>0</v>
      </c>
      <c r="AI69" s="1666">
        <f t="shared" si="46"/>
        <v>0</v>
      </c>
      <c r="AJ69" s="1670">
        <f t="shared" si="56"/>
        <v>0</v>
      </c>
      <c r="AK69" s="1668">
        <f t="shared" si="41"/>
        <v>0</v>
      </c>
      <c r="AL69" s="772"/>
      <c r="AM69" s="772"/>
      <c r="AN69" s="772"/>
      <c r="AO69" s="772"/>
      <c r="AP69" s="772"/>
      <c r="AQ69" s="772"/>
      <c r="AR69" s="772"/>
      <c r="AS69" s="772"/>
      <c r="AT69" s="772"/>
      <c r="AU69" s="772"/>
      <c r="AV69" s="772"/>
      <c r="AW69" s="772"/>
      <c r="AX69" s="772"/>
      <c r="AY69" s="772"/>
      <c r="AZ69" s="772"/>
      <c r="BA69" s="772"/>
      <c r="BB69" s="772"/>
      <c r="BC69" s="772"/>
      <c r="BD69" s="772"/>
      <c r="BE69" s="772"/>
      <c r="BF69" s="772"/>
      <c r="BG69" s="772"/>
      <c r="BH69" s="772"/>
      <c r="BI69" s="772"/>
      <c r="BJ69" s="772"/>
      <c r="BK69" s="772"/>
      <c r="BL69" s="772"/>
      <c r="BM69" s="772"/>
      <c r="BN69" s="772"/>
      <c r="BO69" s="772"/>
      <c r="BP69" s="772"/>
      <c r="BQ69" s="772"/>
      <c r="BR69" s="772"/>
      <c r="BS69" s="772"/>
      <c r="BT69" s="772"/>
      <c r="BU69" s="772"/>
      <c r="BV69" s="772"/>
      <c r="BW69" s="772"/>
      <c r="BX69" s="772"/>
      <c r="BY69" s="772"/>
      <c r="BZ69" s="772"/>
      <c r="CA69" s="772"/>
      <c r="CB69" s="772"/>
      <c r="CC69" s="772"/>
      <c r="CD69" s="772"/>
      <c r="CE69" s="772"/>
      <c r="CF69" s="772"/>
      <c r="CG69" s="772"/>
      <c r="CH69" s="772"/>
      <c r="CI69" s="772"/>
      <c r="CJ69" s="772"/>
      <c r="CK69" s="772"/>
      <c r="CL69" s="772"/>
      <c r="CM69" s="772"/>
      <c r="CN69" s="772"/>
      <c r="CO69" s="772"/>
      <c r="CP69" s="772"/>
      <c r="CQ69" s="772"/>
      <c r="CR69" s="772"/>
      <c r="CS69" s="772"/>
      <c r="CT69" s="772"/>
      <c r="CU69" s="772"/>
      <c r="CV69" s="772"/>
      <c r="CW69" s="772"/>
      <c r="CX69" s="772"/>
      <c r="CY69" s="772"/>
      <c r="CZ69" s="772"/>
      <c r="DA69" s="772"/>
      <c r="DB69" s="772"/>
      <c r="DC69" s="772"/>
      <c r="DD69" s="772"/>
      <c r="DE69" s="772"/>
      <c r="DF69" s="772"/>
      <c r="DG69" s="772"/>
      <c r="DH69" s="772"/>
      <c r="DI69" s="772"/>
      <c r="DJ69" s="772"/>
      <c r="DK69" s="772"/>
      <c r="DL69" s="772"/>
      <c r="DM69" s="772"/>
      <c r="DN69" s="772"/>
      <c r="DO69" s="772"/>
      <c r="DP69" s="772"/>
      <c r="DQ69" s="772"/>
      <c r="DR69" s="772"/>
      <c r="DS69" s="772"/>
      <c r="DT69" s="772"/>
      <c r="DU69" s="772"/>
      <c r="DV69" s="772"/>
      <c r="DW69" s="772"/>
      <c r="DX69" s="772"/>
      <c r="DY69" s="772"/>
      <c r="DZ69" s="772"/>
      <c r="EA69" s="772"/>
      <c r="EB69" s="772"/>
      <c r="EC69" s="772"/>
      <c r="ED69" s="772"/>
      <c r="EE69" s="772"/>
      <c r="EF69" s="772"/>
      <c r="EG69" s="772"/>
      <c r="EH69" s="772"/>
      <c r="EI69" s="772"/>
      <c r="EJ69" s="772"/>
      <c r="EK69" s="772"/>
      <c r="EL69" s="772"/>
      <c r="EM69" s="772"/>
      <c r="EN69" s="772"/>
      <c r="EO69" s="772"/>
      <c r="EP69" s="772"/>
      <c r="EQ69" s="772"/>
      <c r="ER69" s="772"/>
      <c r="ES69" s="772"/>
      <c r="ET69" s="772"/>
      <c r="EU69" s="772"/>
      <c r="EV69" s="772"/>
      <c r="EW69" s="772"/>
      <c r="EX69" s="772"/>
      <c r="EY69" s="772"/>
      <c r="EZ69" s="772"/>
      <c r="FA69" s="772"/>
      <c r="FB69" s="772"/>
      <c r="FC69" s="772"/>
      <c r="FD69" s="772"/>
      <c r="FE69" s="772"/>
      <c r="FF69" s="772"/>
      <c r="FG69" s="772"/>
      <c r="FH69" s="772"/>
      <c r="FI69" s="772"/>
      <c r="FJ69" s="772"/>
      <c r="FK69" s="772"/>
      <c r="FL69" s="772"/>
      <c r="FM69" s="772"/>
      <c r="FN69" s="772"/>
      <c r="FO69" s="772"/>
      <c r="FP69" s="772"/>
      <c r="FQ69" s="772"/>
      <c r="FR69" s="772"/>
      <c r="FS69" s="772"/>
      <c r="FT69" s="772"/>
      <c r="FU69" s="772"/>
      <c r="FV69" s="772"/>
      <c r="FW69" s="772"/>
      <c r="FX69" s="772"/>
      <c r="FY69" s="772"/>
      <c r="FZ69" s="772"/>
      <c r="GA69" s="772"/>
      <c r="GB69" s="772"/>
      <c r="GC69" s="772"/>
      <c r="GD69" s="772"/>
      <c r="GE69" s="772"/>
      <c r="GF69" s="772"/>
      <c r="GG69" s="772"/>
      <c r="GH69" s="772"/>
      <c r="GI69" s="772"/>
      <c r="GJ69" s="772"/>
      <c r="GK69" s="772"/>
      <c r="GL69" s="772"/>
      <c r="GM69" s="772"/>
      <c r="GN69" s="772"/>
      <c r="GO69" s="772"/>
      <c r="GP69" s="772"/>
      <c r="GQ69" s="772"/>
      <c r="GR69" s="772"/>
      <c r="GS69" s="772"/>
      <c r="GT69" s="772"/>
      <c r="GU69" s="772"/>
      <c r="GV69" s="772"/>
      <c r="GW69" s="772"/>
      <c r="GX69" s="772"/>
      <c r="GY69" s="772"/>
      <c r="GZ69" s="772"/>
      <c r="HA69" s="772"/>
      <c r="HB69" s="772"/>
      <c r="HC69" s="772"/>
      <c r="HD69" s="772"/>
      <c r="HE69" s="772"/>
      <c r="HF69" s="772"/>
      <c r="HG69" s="772"/>
      <c r="HH69" s="772"/>
      <c r="HI69" s="772"/>
      <c r="HJ69" s="772"/>
      <c r="HK69" s="772"/>
      <c r="HL69" s="772"/>
      <c r="HM69" s="772"/>
      <c r="HN69" s="772"/>
      <c r="HO69" s="772"/>
      <c r="HP69" s="772"/>
      <c r="HQ69" s="772"/>
      <c r="HR69" s="772"/>
      <c r="HS69" s="772"/>
      <c r="HT69" s="772"/>
      <c r="HU69" s="772"/>
      <c r="HV69" s="772"/>
      <c r="HW69" s="772"/>
      <c r="HX69" s="772"/>
      <c r="HY69" s="772"/>
      <c r="HZ69" s="772"/>
      <c r="IA69" s="772"/>
      <c r="IB69" s="772"/>
      <c r="IC69" s="772"/>
      <c r="ID69" s="772"/>
      <c r="IE69" s="772"/>
      <c r="IF69" s="772"/>
      <c r="IG69" s="772"/>
      <c r="IH69" s="772"/>
      <c r="II69" s="772"/>
      <c r="IJ69" s="772"/>
      <c r="IK69" s="772"/>
    </row>
    <row r="70" spans="1:245" s="765" customFormat="1" ht="20.100000000000001" customHeight="1" x14ac:dyDescent="0.25">
      <c r="A70" s="772"/>
      <c r="B70" s="783"/>
      <c r="C70" s="784"/>
      <c r="D70" s="784"/>
      <c r="E70" s="784"/>
      <c r="F70" s="784"/>
      <c r="G70" s="784"/>
      <c r="H70" s="772"/>
      <c r="I70" s="1664">
        <f t="shared" si="32"/>
        <v>46</v>
      </c>
      <c r="J70" s="1668">
        <f t="shared" si="47"/>
        <v>0</v>
      </c>
      <c r="K70" s="1666">
        <f t="shared" si="42"/>
        <v>0</v>
      </c>
      <c r="L70" s="1670">
        <f t="shared" si="52"/>
        <v>0</v>
      </c>
      <c r="M70" s="1668">
        <f t="shared" si="33"/>
        <v>0</v>
      </c>
      <c r="N70" s="772"/>
      <c r="O70" s="1664">
        <f t="shared" si="34"/>
        <v>46</v>
      </c>
      <c r="P70" s="1668">
        <f t="shared" si="48"/>
        <v>0</v>
      </c>
      <c r="Q70" s="1666">
        <f t="shared" si="43"/>
        <v>0</v>
      </c>
      <c r="R70" s="1670">
        <f t="shared" si="53"/>
        <v>0</v>
      </c>
      <c r="S70" s="1668">
        <f t="shared" si="35"/>
        <v>0</v>
      </c>
      <c r="T70" s="772"/>
      <c r="U70" s="1664">
        <f t="shared" si="36"/>
        <v>46</v>
      </c>
      <c r="V70" s="1668">
        <f t="shared" si="49"/>
        <v>0</v>
      </c>
      <c r="W70" s="1666">
        <f t="shared" si="44"/>
        <v>0</v>
      </c>
      <c r="X70" s="1670">
        <f t="shared" si="54"/>
        <v>0</v>
      </c>
      <c r="Y70" s="1668">
        <f t="shared" si="37"/>
        <v>0</v>
      </c>
      <c r="Z70" s="772"/>
      <c r="AA70" s="1664">
        <f t="shared" si="38"/>
        <v>46</v>
      </c>
      <c r="AB70" s="1668">
        <f t="shared" si="50"/>
        <v>0</v>
      </c>
      <c r="AC70" s="1666">
        <f t="shared" si="45"/>
        <v>0</v>
      </c>
      <c r="AD70" s="1670">
        <f t="shared" si="55"/>
        <v>0</v>
      </c>
      <c r="AE70" s="1668">
        <f t="shared" si="39"/>
        <v>0</v>
      </c>
      <c r="AF70" s="772"/>
      <c r="AG70" s="1664">
        <f t="shared" si="40"/>
        <v>46</v>
      </c>
      <c r="AH70" s="1668">
        <f t="shared" si="51"/>
        <v>0</v>
      </c>
      <c r="AI70" s="1666">
        <f t="shared" si="46"/>
        <v>0</v>
      </c>
      <c r="AJ70" s="1670">
        <f t="shared" si="56"/>
        <v>0</v>
      </c>
      <c r="AK70" s="1668">
        <f t="shared" si="41"/>
        <v>0</v>
      </c>
      <c r="AL70" s="772"/>
      <c r="AM70" s="772"/>
      <c r="AN70" s="772"/>
      <c r="AO70" s="772"/>
      <c r="AP70" s="772"/>
      <c r="AQ70" s="772"/>
      <c r="AR70" s="772"/>
      <c r="AS70" s="772"/>
      <c r="AT70" s="772"/>
      <c r="AU70" s="772"/>
      <c r="AV70" s="772"/>
      <c r="AW70" s="772"/>
      <c r="AX70" s="772"/>
      <c r="AY70" s="772"/>
      <c r="AZ70" s="772"/>
      <c r="BA70" s="772"/>
      <c r="BB70" s="772"/>
      <c r="BC70" s="772"/>
      <c r="BD70" s="772"/>
      <c r="BE70" s="772"/>
      <c r="BF70" s="772"/>
      <c r="BG70" s="772"/>
      <c r="BH70" s="772"/>
      <c r="BI70" s="772"/>
      <c r="BJ70" s="772"/>
      <c r="BK70" s="772"/>
      <c r="BL70" s="772"/>
      <c r="BM70" s="772"/>
      <c r="BN70" s="772"/>
      <c r="BO70" s="772"/>
      <c r="BP70" s="772"/>
      <c r="BQ70" s="772"/>
      <c r="BR70" s="772"/>
      <c r="BS70" s="772"/>
      <c r="BT70" s="772"/>
      <c r="BU70" s="772"/>
      <c r="BV70" s="772"/>
      <c r="BW70" s="772"/>
      <c r="BX70" s="772"/>
      <c r="BY70" s="772"/>
      <c r="BZ70" s="772"/>
      <c r="CA70" s="772"/>
      <c r="CB70" s="772"/>
      <c r="CC70" s="772"/>
      <c r="CD70" s="772"/>
      <c r="CE70" s="772"/>
      <c r="CF70" s="772"/>
      <c r="CG70" s="772"/>
      <c r="CH70" s="772"/>
      <c r="CI70" s="772"/>
      <c r="CJ70" s="772"/>
      <c r="CK70" s="772"/>
      <c r="CL70" s="772"/>
      <c r="CM70" s="772"/>
      <c r="CN70" s="772"/>
      <c r="CO70" s="772"/>
      <c r="CP70" s="772"/>
      <c r="CQ70" s="772"/>
      <c r="CR70" s="772"/>
      <c r="CS70" s="772"/>
      <c r="CT70" s="772"/>
      <c r="CU70" s="772"/>
      <c r="CV70" s="772"/>
      <c r="CW70" s="772"/>
      <c r="CX70" s="772"/>
      <c r="CY70" s="772"/>
      <c r="CZ70" s="772"/>
      <c r="DA70" s="772"/>
      <c r="DB70" s="772"/>
      <c r="DC70" s="772"/>
      <c r="DD70" s="772"/>
      <c r="DE70" s="772"/>
      <c r="DF70" s="772"/>
      <c r="DG70" s="772"/>
      <c r="DH70" s="772"/>
      <c r="DI70" s="772"/>
      <c r="DJ70" s="772"/>
      <c r="DK70" s="772"/>
      <c r="DL70" s="772"/>
      <c r="DM70" s="772"/>
      <c r="DN70" s="772"/>
      <c r="DO70" s="772"/>
      <c r="DP70" s="772"/>
      <c r="DQ70" s="772"/>
      <c r="DR70" s="772"/>
      <c r="DS70" s="772"/>
      <c r="DT70" s="772"/>
      <c r="DU70" s="772"/>
      <c r="DV70" s="772"/>
      <c r="DW70" s="772"/>
      <c r="DX70" s="772"/>
      <c r="DY70" s="772"/>
      <c r="DZ70" s="772"/>
      <c r="EA70" s="772"/>
      <c r="EB70" s="772"/>
      <c r="EC70" s="772"/>
      <c r="ED70" s="772"/>
      <c r="EE70" s="772"/>
      <c r="EF70" s="772"/>
      <c r="EG70" s="772"/>
      <c r="EH70" s="772"/>
      <c r="EI70" s="772"/>
      <c r="EJ70" s="772"/>
      <c r="EK70" s="772"/>
      <c r="EL70" s="772"/>
      <c r="EM70" s="772"/>
      <c r="EN70" s="772"/>
      <c r="EO70" s="772"/>
      <c r="EP70" s="772"/>
      <c r="EQ70" s="772"/>
      <c r="ER70" s="772"/>
      <c r="ES70" s="772"/>
      <c r="ET70" s="772"/>
      <c r="EU70" s="772"/>
      <c r="EV70" s="772"/>
      <c r="EW70" s="772"/>
      <c r="EX70" s="772"/>
      <c r="EY70" s="772"/>
      <c r="EZ70" s="772"/>
      <c r="FA70" s="772"/>
      <c r="FB70" s="772"/>
      <c r="FC70" s="772"/>
      <c r="FD70" s="772"/>
      <c r="FE70" s="772"/>
      <c r="FF70" s="772"/>
      <c r="FG70" s="772"/>
      <c r="FH70" s="772"/>
      <c r="FI70" s="772"/>
      <c r="FJ70" s="772"/>
      <c r="FK70" s="772"/>
      <c r="FL70" s="772"/>
      <c r="FM70" s="772"/>
      <c r="FN70" s="772"/>
      <c r="FO70" s="772"/>
      <c r="FP70" s="772"/>
      <c r="FQ70" s="772"/>
      <c r="FR70" s="772"/>
      <c r="FS70" s="772"/>
      <c r="FT70" s="772"/>
      <c r="FU70" s="772"/>
      <c r="FV70" s="772"/>
      <c r="FW70" s="772"/>
      <c r="FX70" s="772"/>
      <c r="FY70" s="772"/>
      <c r="FZ70" s="772"/>
      <c r="GA70" s="772"/>
      <c r="GB70" s="772"/>
      <c r="GC70" s="772"/>
      <c r="GD70" s="772"/>
      <c r="GE70" s="772"/>
      <c r="GF70" s="772"/>
      <c r="GG70" s="772"/>
      <c r="GH70" s="772"/>
      <c r="GI70" s="772"/>
      <c r="GJ70" s="772"/>
      <c r="GK70" s="772"/>
      <c r="GL70" s="772"/>
      <c r="GM70" s="772"/>
      <c r="GN70" s="772"/>
      <c r="GO70" s="772"/>
      <c r="GP70" s="772"/>
      <c r="GQ70" s="772"/>
      <c r="GR70" s="772"/>
      <c r="GS70" s="772"/>
      <c r="GT70" s="772"/>
      <c r="GU70" s="772"/>
      <c r="GV70" s="772"/>
      <c r="GW70" s="772"/>
      <c r="GX70" s="772"/>
      <c r="GY70" s="772"/>
      <c r="GZ70" s="772"/>
      <c r="HA70" s="772"/>
      <c r="HB70" s="772"/>
      <c r="HC70" s="772"/>
      <c r="HD70" s="772"/>
      <c r="HE70" s="772"/>
      <c r="HF70" s="772"/>
      <c r="HG70" s="772"/>
      <c r="HH70" s="772"/>
      <c r="HI70" s="772"/>
      <c r="HJ70" s="772"/>
      <c r="HK70" s="772"/>
      <c r="HL70" s="772"/>
      <c r="HM70" s="772"/>
      <c r="HN70" s="772"/>
      <c r="HO70" s="772"/>
      <c r="HP70" s="772"/>
      <c r="HQ70" s="772"/>
      <c r="HR70" s="772"/>
      <c r="HS70" s="772"/>
      <c r="HT70" s="772"/>
      <c r="HU70" s="772"/>
      <c r="HV70" s="772"/>
      <c r="HW70" s="772"/>
      <c r="HX70" s="772"/>
      <c r="HY70" s="772"/>
      <c r="HZ70" s="772"/>
      <c r="IA70" s="772"/>
      <c r="IB70" s="772"/>
      <c r="IC70" s="772"/>
      <c r="ID70" s="772"/>
      <c r="IE70" s="772"/>
      <c r="IF70" s="772"/>
      <c r="IG70" s="772"/>
      <c r="IH70" s="772"/>
      <c r="II70" s="772"/>
      <c r="IJ70" s="772"/>
      <c r="IK70" s="772"/>
    </row>
    <row r="71" spans="1:245" s="765" customFormat="1" ht="20.100000000000001" customHeight="1" x14ac:dyDescent="0.25">
      <c r="A71" s="772"/>
      <c r="B71" s="783"/>
      <c r="C71" s="784"/>
      <c r="D71" s="784"/>
      <c r="E71" s="784"/>
      <c r="F71" s="784"/>
      <c r="G71" s="784"/>
      <c r="H71" s="772"/>
      <c r="I71" s="1664">
        <f t="shared" si="32"/>
        <v>47</v>
      </c>
      <c r="J71" s="1668">
        <f t="shared" si="47"/>
        <v>0</v>
      </c>
      <c r="K71" s="1666">
        <f t="shared" si="42"/>
        <v>0</v>
      </c>
      <c r="L71" s="1670">
        <f t="shared" si="52"/>
        <v>0</v>
      </c>
      <c r="M71" s="1668">
        <f t="shared" si="33"/>
        <v>0</v>
      </c>
      <c r="N71" s="772"/>
      <c r="O71" s="1664">
        <f t="shared" si="34"/>
        <v>47</v>
      </c>
      <c r="P71" s="1668">
        <f t="shared" si="48"/>
        <v>0</v>
      </c>
      <c r="Q71" s="1666">
        <f t="shared" si="43"/>
        <v>0</v>
      </c>
      <c r="R71" s="1670">
        <f t="shared" si="53"/>
        <v>0</v>
      </c>
      <c r="S71" s="1668">
        <f t="shared" si="35"/>
        <v>0</v>
      </c>
      <c r="T71" s="772"/>
      <c r="U71" s="1664">
        <f t="shared" si="36"/>
        <v>47</v>
      </c>
      <c r="V71" s="1668">
        <f t="shared" si="49"/>
        <v>0</v>
      </c>
      <c r="W71" s="1666">
        <f t="shared" si="44"/>
        <v>0</v>
      </c>
      <c r="X71" s="1670">
        <f t="shared" si="54"/>
        <v>0</v>
      </c>
      <c r="Y71" s="1668">
        <f t="shared" si="37"/>
        <v>0</v>
      </c>
      <c r="Z71" s="772"/>
      <c r="AA71" s="1664">
        <f t="shared" si="38"/>
        <v>47</v>
      </c>
      <c r="AB71" s="1668">
        <f t="shared" si="50"/>
        <v>0</v>
      </c>
      <c r="AC71" s="1666">
        <f t="shared" si="45"/>
        <v>0</v>
      </c>
      <c r="AD71" s="1670">
        <f t="shared" si="55"/>
        <v>0</v>
      </c>
      <c r="AE71" s="1668">
        <f t="shared" si="39"/>
        <v>0</v>
      </c>
      <c r="AF71" s="772"/>
      <c r="AG71" s="1664">
        <f t="shared" si="40"/>
        <v>47</v>
      </c>
      <c r="AH71" s="1668">
        <f t="shared" si="51"/>
        <v>0</v>
      </c>
      <c r="AI71" s="1666">
        <f t="shared" si="46"/>
        <v>0</v>
      </c>
      <c r="AJ71" s="1670">
        <f t="shared" si="56"/>
        <v>0</v>
      </c>
      <c r="AK71" s="1668">
        <f t="shared" si="41"/>
        <v>0</v>
      </c>
      <c r="AL71" s="772"/>
      <c r="AM71" s="772"/>
      <c r="AN71" s="772"/>
      <c r="AO71" s="772"/>
      <c r="AP71" s="772"/>
      <c r="AQ71" s="772"/>
      <c r="AR71" s="772"/>
      <c r="AS71" s="772"/>
      <c r="AT71" s="772"/>
      <c r="AU71" s="772"/>
      <c r="AV71" s="772"/>
      <c r="AW71" s="772"/>
      <c r="AX71" s="772"/>
      <c r="AY71" s="772"/>
      <c r="AZ71" s="772"/>
      <c r="BA71" s="772"/>
      <c r="BB71" s="772"/>
      <c r="BC71" s="772"/>
      <c r="BD71" s="772"/>
      <c r="BE71" s="772"/>
      <c r="BF71" s="772"/>
      <c r="BG71" s="772"/>
      <c r="BH71" s="772"/>
      <c r="BI71" s="772"/>
      <c r="BJ71" s="772"/>
      <c r="BK71" s="772"/>
      <c r="BL71" s="772"/>
      <c r="BM71" s="772"/>
      <c r="BN71" s="772"/>
      <c r="BO71" s="772"/>
      <c r="BP71" s="772"/>
      <c r="BQ71" s="772"/>
      <c r="BR71" s="772"/>
      <c r="BS71" s="772"/>
      <c r="BT71" s="772"/>
      <c r="BU71" s="772"/>
      <c r="BV71" s="772"/>
      <c r="BW71" s="772"/>
      <c r="BX71" s="772"/>
      <c r="BY71" s="772"/>
      <c r="BZ71" s="772"/>
      <c r="CA71" s="772"/>
      <c r="CB71" s="772"/>
      <c r="CC71" s="772"/>
      <c r="CD71" s="772"/>
      <c r="CE71" s="772"/>
      <c r="CF71" s="772"/>
      <c r="CG71" s="772"/>
      <c r="CH71" s="772"/>
      <c r="CI71" s="772"/>
      <c r="CJ71" s="772"/>
      <c r="CK71" s="772"/>
      <c r="CL71" s="772"/>
      <c r="CM71" s="772"/>
      <c r="CN71" s="772"/>
      <c r="CO71" s="772"/>
      <c r="CP71" s="772"/>
      <c r="CQ71" s="772"/>
      <c r="CR71" s="772"/>
      <c r="CS71" s="772"/>
      <c r="CT71" s="772"/>
      <c r="CU71" s="772"/>
      <c r="CV71" s="772"/>
      <c r="CW71" s="772"/>
      <c r="CX71" s="772"/>
      <c r="CY71" s="772"/>
      <c r="CZ71" s="772"/>
      <c r="DA71" s="772"/>
      <c r="DB71" s="772"/>
      <c r="DC71" s="772"/>
      <c r="DD71" s="772"/>
      <c r="DE71" s="772"/>
      <c r="DF71" s="772"/>
      <c r="DG71" s="772"/>
      <c r="DH71" s="772"/>
      <c r="DI71" s="772"/>
      <c r="DJ71" s="772"/>
      <c r="DK71" s="772"/>
      <c r="DL71" s="772"/>
      <c r="DM71" s="772"/>
      <c r="DN71" s="772"/>
      <c r="DO71" s="772"/>
      <c r="DP71" s="772"/>
      <c r="DQ71" s="772"/>
      <c r="DR71" s="772"/>
      <c r="DS71" s="772"/>
      <c r="DT71" s="772"/>
      <c r="DU71" s="772"/>
      <c r="DV71" s="772"/>
      <c r="DW71" s="772"/>
      <c r="DX71" s="772"/>
      <c r="DY71" s="772"/>
      <c r="DZ71" s="772"/>
      <c r="EA71" s="772"/>
      <c r="EB71" s="772"/>
      <c r="EC71" s="772"/>
      <c r="ED71" s="772"/>
      <c r="EE71" s="772"/>
      <c r="EF71" s="772"/>
      <c r="EG71" s="772"/>
      <c r="EH71" s="772"/>
      <c r="EI71" s="772"/>
      <c r="EJ71" s="772"/>
      <c r="EK71" s="772"/>
      <c r="EL71" s="772"/>
      <c r="EM71" s="772"/>
      <c r="EN71" s="772"/>
      <c r="EO71" s="772"/>
      <c r="EP71" s="772"/>
      <c r="EQ71" s="772"/>
      <c r="ER71" s="772"/>
      <c r="ES71" s="772"/>
      <c r="ET71" s="772"/>
      <c r="EU71" s="772"/>
      <c r="EV71" s="772"/>
      <c r="EW71" s="772"/>
      <c r="EX71" s="772"/>
      <c r="EY71" s="772"/>
      <c r="EZ71" s="772"/>
      <c r="FA71" s="772"/>
      <c r="FB71" s="772"/>
      <c r="FC71" s="772"/>
      <c r="FD71" s="772"/>
      <c r="FE71" s="772"/>
      <c r="FF71" s="772"/>
      <c r="FG71" s="772"/>
      <c r="FH71" s="772"/>
      <c r="FI71" s="772"/>
      <c r="FJ71" s="772"/>
      <c r="FK71" s="772"/>
      <c r="FL71" s="772"/>
      <c r="FM71" s="772"/>
      <c r="FN71" s="772"/>
      <c r="FO71" s="772"/>
      <c r="FP71" s="772"/>
      <c r="FQ71" s="772"/>
      <c r="FR71" s="772"/>
      <c r="FS71" s="772"/>
      <c r="FT71" s="772"/>
      <c r="FU71" s="772"/>
      <c r="FV71" s="772"/>
      <c r="FW71" s="772"/>
      <c r="FX71" s="772"/>
      <c r="FY71" s="772"/>
      <c r="FZ71" s="772"/>
      <c r="GA71" s="772"/>
      <c r="GB71" s="772"/>
      <c r="GC71" s="772"/>
      <c r="GD71" s="772"/>
      <c r="GE71" s="772"/>
      <c r="GF71" s="772"/>
      <c r="GG71" s="772"/>
      <c r="GH71" s="772"/>
      <c r="GI71" s="772"/>
      <c r="GJ71" s="772"/>
      <c r="GK71" s="772"/>
      <c r="GL71" s="772"/>
      <c r="GM71" s="772"/>
      <c r="GN71" s="772"/>
      <c r="GO71" s="772"/>
      <c r="GP71" s="772"/>
      <c r="GQ71" s="772"/>
      <c r="GR71" s="772"/>
      <c r="GS71" s="772"/>
      <c r="GT71" s="772"/>
      <c r="GU71" s="772"/>
      <c r="GV71" s="772"/>
      <c r="GW71" s="772"/>
      <c r="GX71" s="772"/>
      <c r="GY71" s="772"/>
      <c r="GZ71" s="772"/>
      <c r="HA71" s="772"/>
      <c r="HB71" s="772"/>
      <c r="HC71" s="772"/>
      <c r="HD71" s="772"/>
      <c r="HE71" s="772"/>
      <c r="HF71" s="772"/>
      <c r="HG71" s="772"/>
      <c r="HH71" s="772"/>
      <c r="HI71" s="772"/>
      <c r="HJ71" s="772"/>
      <c r="HK71" s="772"/>
      <c r="HL71" s="772"/>
      <c r="HM71" s="772"/>
      <c r="HN71" s="772"/>
      <c r="HO71" s="772"/>
      <c r="HP71" s="772"/>
      <c r="HQ71" s="772"/>
      <c r="HR71" s="772"/>
      <c r="HS71" s="772"/>
      <c r="HT71" s="772"/>
      <c r="HU71" s="772"/>
      <c r="HV71" s="772"/>
      <c r="HW71" s="772"/>
      <c r="HX71" s="772"/>
      <c r="HY71" s="772"/>
      <c r="HZ71" s="772"/>
      <c r="IA71" s="772"/>
      <c r="IB71" s="772"/>
      <c r="IC71" s="772"/>
      <c r="ID71" s="772"/>
      <c r="IE71" s="772"/>
      <c r="IF71" s="772"/>
      <c r="IG71" s="772"/>
      <c r="IH71" s="772"/>
      <c r="II71" s="772"/>
      <c r="IJ71" s="772"/>
      <c r="IK71" s="772"/>
    </row>
    <row r="72" spans="1:245" s="765" customFormat="1" ht="20.100000000000001" customHeight="1" x14ac:dyDescent="0.25">
      <c r="A72" s="772"/>
      <c r="B72" s="783"/>
      <c r="C72" s="784"/>
      <c r="D72" s="784"/>
      <c r="E72" s="784"/>
      <c r="F72" s="784"/>
      <c r="G72" s="784"/>
      <c r="H72" s="772"/>
      <c r="I72" s="1664">
        <f t="shared" si="32"/>
        <v>48</v>
      </c>
      <c r="J72" s="1668">
        <f t="shared" si="47"/>
        <v>0</v>
      </c>
      <c r="K72" s="1666">
        <f t="shared" si="42"/>
        <v>0</v>
      </c>
      <c r="L72" s="1670">
        <f t="shared" si="52"/>
        <v>0</v>
      </c>
      <c r="M72" s="1668">
        <f t="shared" si="33"/>
        <v>0</v>
      </c>
      <c r="N72" s="772"/>
      <c r="O72" s="1664">
        <f t="shared" si="34"/>
        <v>48</v>
      </c>
      <c r="P72" s="1668">
        <f t="shared" si="48"/>
        <v>0</v>
      </c>
      <c r="Q72" s="1666">
        <f t="shared" si="43"/>
        <v>0</v>
      </c>
      <c r="R72" s="1670">
        <f t="shared" si="53"/>
        <v>0</v>
      </c>
      <c r="S72" s="1668">
        <f t="shared" si="35"/>
        <v>0</v>
      </c>
      <c r="T72" s="772"/>
      <c r="U72" s="1664">
        <f t="shared" si="36"/>
        <v>48</v>
      </c>
      <c r="V72" s="1668">
        <f t="shared" si="49"/>
        <v>0</v>
      </c>
      <c r="W72" s="1666">
        <f t="shared" si="44"/>
        <v>0</v>
      </c>
      <c r="X72" s="1670">
        <f t="shared" si="54"/>
        <v>0</v>
      </c>
      <c r="Y72" s="1668">
        <f t="shared" si="37"/>
        <v>0</v>
      </c>
      <c r="Z72" s="772"/>
      <c r="AA72" s="1664">
        <f t="shared" si="38"/>
        <v>48</v>
      </c>
      <c r="AB72" s="1668">
        <f t="shared" si="50"/>
        <v>0</v>
      </c>
      <c r="AC72" s="1666">
        <f t="shared" si="45"/>
        <v>0</v>
      </c>
      <c r="AD72" s="1670">
        <f t="shared" si="55"/>
        <v>0</v>
      </c>
      <c r="AE72" s="1668">
        <f t="shared" si="39"/>
        <v>0</v>
      </c>
      <c r="AF72" s="772"/>
      <c r="AG72" s="1664">
        <f t="shared" si="40"/>
        <v>48</v>
      </c>
      <c r="AH72" s="1668">
        <f t="shared" si="51"/>
        <v>0</v>
      </c>
      <c r="AI72" s="1666">
        <f t="shared" si="46"/>
        <v>0</v>
      </c>
      <c r="AJ72" s="1670">
        <f t="shared" si="56"/>
        <v>0</v>
      </c>
      <c r="AK72" s="1668">
        <f t="shared" si="41"/>
        <v>0</v>
      </c>
      <c r="AL72" s="772"/>
      <c r="AM72" s="772"/>
      <c r="AN72" s="772"/>
      <c r="AO72" s="772"/>
      <c r="AP72" s="772"/>
      <c r="AQ72" s="772"/>
      <c r="AR72" s="772"/>
      <c r="AS72" s="772"/>
      <c r="AT72" s="772"/>
      <c r="AU72" s="772"/>
      <c r="AV72" s="772"/>
      <c r="AW72" s="772"/>
      <c r="AX72" s="772"/>
      <c r="AY72" s="772"/>
      <c r="AZ72" s="772"/>
      <c r="BA72" s="772"/>
      <c r="BB72" s="772"/>
      <c r="BC72" s="772"/>
      <c r="BD72" s="772"/>
      <c r="BE72" s="772"/>
      <c r="BF72" s="772"/>
      <c r="BG72" s="772"/>
      <c r="BH72" s="772"/>
      <c r="BI72" s="772"/>
      <c r="BJ72" s="772"/>
      <c r="BK72" s="772"/>
      <c r="BL72" s="772"/>
      <c r="BM72" s="772"/>
      <c r="BN72" s="772"/>
      <c r="BO72" s="772"/>
      <c r="BP72" s="772"/>
      <c r="BQ72" s="772"/>
      <c r="BR72" s="772"/>
      <c r="BS72" s="772"/>
      <c r="BT72" s="772"/>
      <c r="BU72" s="772"/>
      <c r="BV72" s="772"/>
      <c r="BW72" s="772"/>
      <c r="BX72" s="772"/>
      <c r="BY72" s="772"/>
      <c r="BZ72" s="772"/>
      <c r="CA72" s="772"/>
      <c r="CB72" s="772"/>
      <c r="CC72" s="772"/>
      <c r="CD72" s="772"/>
      <c r="CE72" s="772"/>
      <c r="CF72" s="772"/>
      <c r="CG72" s="772"/>
      <c r="CH72" s="772"/>
      <c r="CI72" s="772"/>
      <c r="CJ72" s="772"/>
      <c r="CK72" s="772"/>
      <c r="CL72" s="772"/>
      <c r="CM72" s="772"/>
      <c r="CN72" s="772"/>
      <c r="CO72" s="772"/>
      <c r="CP72" s="772"/>
      <c r="CQ72" s="772"/>
      <c r="CR72" s="772"/>
      <c r="CS72" s="772"/>
      <c r="CT72" s="772"/>
      <c r="CU72" s="772"/>
      <c r="CV72" s="772"/>
      <c r="CW72" s="772"/>
      <c r="CX72" s="772"/>
      <c r="CY72" s="772"/>
      <c r="CZ72" s="772"/>
      <c r="DA72" s="772"/>
      <c r="DB72" s="772"/>
      <c r="DC72" s="772"/>
      <c r="DD72" s="772"/>
      <c r="DE72" s="772"/>
      <c r="DF72" s="772"/>
      <c r="DG72" s="772"/>
      <c r="DH72" s="772"/>
      <c r="DI72" s="772"/>
      <c r="DJ72" s="772"/>
      <c r="DK72" s="772"/>
      <c r="DL72" s="772"/>
      <c r="DM72" s="772"/>
      <c r="DN72" s="772"/>
      <c r="DO72" s="772"/>
      <c r="DP72" s="772"/>
      <c r="DQ72" s="772"/>
      <c r="DR72" s="772"/>
      <c r="DS72" s="772"/>
      <c r="DT72" s="772"/>
      <c r="DU72" s="772"/>
      <c r="DV72" s="772"/>
      <c r="DW72" s="772"/>
      <c r="DX72" s="772"/>
      <c r="DY72" s="772"/>
      <c r="DZ72" s="772"/>
      <c r="EA72" s="772"/>
      <c r="EB72" s="772"/>
      <c r="EC72" s="772"/>
      <c r="ED72" s="772"/>
      <c r="EE72" s="772"/>
      <c r="EF72" s="772"/>
      <c r="EG72" s="772"/>
      <c r="EH72" s="772"/>
      <c r="EI72" s="772"/>
      <c r="EJ72" s="772"/>
      <c r="EK72" s="772"/>
      <c r="EL72" s="772"/>
      <c r="EM72" s="772"/>
      <c r="EN72" s="772"/>
      <c r="EO72" s="772"/>
      <c r="EP72" s="772"/>
      <c r="EQ72" s="772"/>
      <c r="ER72" s="772"/>
      <c r="ES72" s="772"/>
      <c r="ET72" s="772"/>
      <c r="EU72" s="772"/>
      <c r="EV72" s="772"/>
      <c r="EW72" s="772"/>
      <c r="EX72" s="772"/>
      <c r="EY72" s="772"/>
      <c r="EZ72" s="772"/>
      <c r="FA72" s="772"/>
      <c r="FB72" s="772"/>
      <c r="FC72" s="772"/>
      <c r="FD72" s="772"/>
      <c r="FE72" s="772"/>
      <c r="FF72" s="772"/>
      <c r="FG72" s="772"/>
      <c r="FH72" s="772"/>
      <c r="FI72" s="772"/>
      <c r="FJ72" s="772"/>
      <c r="FK72" s="772"/>
      <c r="FL72" s="772"/>
      <c r="FM72" s="772"/>
      <c r="FN72" s="772"/>
      <c r="FO72" s="772"/>
      <c r="FP72" s="772"/>
      <c r="FQ72" s="772"/>
      <c r="FR72" s="772"/>
      <c r="FS72" s="772"/>
      <c r="FT72" s="772"/>
      <c r="FU72" s="772"/>
      <c r="FV72" s="772"/>
      <c r="FW72" s="772"/>
      <c r="FX72" s="772"/>
      <c r="FY72" s="772"/>
      <c r="FZ72" s="772"/>
      <c r="GA72" s="772"/>
      <c r="GB72" s="772"/>
      <c r="GC72" s="772"/>
      <c r="GD72" s="772"/>
      <c r="GE72" s="772"/>
      <c r="GF72" s="772"/>
      <c r="GG72" s="772"/>
      <c r="GH72" s="772"/>
      <c r="GI72" s="772"/>
      <c r="GJ72" s="772"/>
      <c r="GK72" s="772"/>
      <c r="GL72" s="772"/>
      <c r="GM72" s="772"/>
      <c r="GN72" s="772"/>
      <c r="GO72" s="772"/>
      <c r="GP72" s="772"/>
      <c r="GQ72" s="772"/>
      <c r="GR72" s="772"/>
      <c r="GS72" s="772"/>
      <c r="GT72" s="772"/>
      <c r="GU72" s="772"/>
      <c r="GV72" s="772"/>
      <c r="GW72" s="772"/>
      <c r="GX72" s="772"/>
      <c r="GY72" s="772"/>
      <c r="GZ72" s="772"/>
      <c r="HA72" s="772"/>
      <c r="HB72" s="772"/>
      <c r="HC72" s="772"/>
      <c r="HD72" s="772"/>
      <c r="HE72" s="772"/>
      <c r="HF72" s="772"/>
      <c r="HG72" s="772"/>
      <c r="HH72" s="772"/>
      <c r="HI72" s="772"/>
      <c r="HJ72" s="772"/>
      <c r="HK72" s="772"/>
      <c r="HL72" s="772"/>
      <c r="HM72" s="772"/>
      <c r="HN72" s="772"/>
      <c r="HO72" s="772"/>
      <c r="HP72" s="772"/>
      <c r="HQ72" s="772"/>
      <c r="HR72" s="772"/>
      <c r="HS72" s="772"/>
      <c r="HT72" s="772"/>
      <c r="HU72" s="772"/>
      <c r="HV72" s="772"/>
      <c r="HW72" s="772"/>
      <c r="HX72" s="772"/>
      <c r="HY72" s="772"/>
      <c r="HZ72" s="772"/>
      <c r="IA72" s="772"/>
      <c r="IB72" s="772"/>
      <c r="IC72" s="772"/>
      <c r="ID72" s="772"/>
      <c r="IE72" s="772"/>
      <c r="IF72" s="772"/>
      <c r="IG72" s="772"/>
      <c r="IH72" s="772"/>
      <c r="II72" s="772"/>
      <c r="IJ72" s="772"/>
      <c r="IK72" s="772"/>
    </row>
    <row r="73" spans="1:245" s="765" customFormat="1" ht="20.100000000000001" customHeight="1" x14ac:dyDescent="0.25">
      <c r="A73" s="772"/>
      <c r="B73" s="783"/>
      <c r="C73" s="784"/>
      <c r="D73" s="784"/>
      <c r="E73" s="784"/>
      <c r="F73" s="784"/>
      <c r="G73" s="784"/>
      <c r="H73" s="772"/>
      <c r="I73" s="1664">
        <f t="shared" si="32"/>
        <v>49</v>
      </c>
      <c r="J73" s="1668">
        <f t="shared" si="47"/>
        <v>0</v>
      </c>
      <c r="K73" s="1666">
        <f t="shared" si="42"/>
        <v>0</v>
      </c>
      <c r="L73" s="1670">
        <f t="shared" si="52"/>
        <v>0</v>
      </c>
      <c r="M73" s="1668">
        <f t="shared" si="33"/>
        <v>0</v>
      </c>
      <c r="N73" s="772"/>
      <c r="O73" s="1664">
        <f t="shared" si="34"/>
        <v>49</v>
      </c>
      <c r="P73" s="1668">
        <f t="shared" si="48"/>
        <v>0</v>
      </c>
      <c r="Q73" s="1666">
        <f t="shared" si="43"/>
        <v>0</v>
      </c>
      <c r="R73" s="1670">
        <f t="shared" si="53"/>
        <v>0</v>
      </c>
      <c r="S73" s="1668">
        <f t="shared" si="35"/>
        <v>0</v>
      </c>
      <c r="T73" s="772"/>
      <c r="U73" s="1664">
        <f t="shared" si="36"/>
        <v>49</v>
      </c>
      <c r="V73" s="1668">
        <f t="shared" si="49"/>
        <v>0</v>
      </c>
      <c r="W73" s="1666">
        <f t="shared" si="44"/>
        <v>0</v>
      </c>
      <c r="X73" s="1670">
        <f t="shared" si="54"/>
        <v>0</v>
      </c>
      <c r="Y73" s="1668">
        <f t="shared" si="37"/>
        <v>0</v>
      </c>
      <c r="Z73" s="772"/>
      <c r="AA73" s="1664">
        <f t="shared" si="38"/>
        <v>49</v>
      </c>
      <c r="AB73" s="1668">
        <f t="shared" si="50"/>
        <v>0</v>
      </c>
      <c r="AC73" s="1666">
        <f t="shared" si="45"/>
        <v>0</v>
      </c>
      <c r="AD73" s="1670">
        <f t="shared" si="55"/>
        <v>0</v>
      </c>
      <c r="AE73" s="1668">
        <f t="shared" si="39"/>
        <v>0</v>
      </c>
      <c r="AF73" s="772"/>
      <c r="AG73" s="1664">
        <f t="shared" si="40"/>
        <v>49</v>
      </c>
      <c r="AH73" s="1668">
        <f t="shared" si="51"/>
        <v>0</v>
      </c>
      <c r="AI73" s="1666">
        <f t="shared" si="46"/>
        <v>0</v>
      </c>
      <c r="AJ73" s="1670">
        <f t="shared" si="56"/>
        <v>0</v>
      </c>
      <c r="AK73" s="1668">
        <f t="shared" si="41"/>
        <v>0</v>
      </c>
      <c r="AL73" s="772"/>
      <c r="AM73" s="772"/>
      <c r="AN73" s="772"/>
      <c r="AO73" s="772"/>
      <c r="AP73" s="772"/>
      <c r="AQ73" s="772"/>
      <c r="AR73" s="772"/>
      <c r="AS73" s="772"/>
      <c r="AT73" s="772"/>
      <c r="AU73" s="772"/>
      <c r="AV73" s="772"/>
      <c r="AW73" s="772"/>
      <c r="AX73" s="772"/>
      <c r="AY73" s="772"/>
      <c r="AZ73" s="772"/>
      <c r="BA73" s="772"/>
      <c r="BB73" s="772"/>
      <c r="BC73" s="772"/>
      <c r="BD73" s="772"/>
      <c r="BE73" s="772"/>
      <c r="BF73" s="772"/>
      <c r="BG73" s="772"/>
      <c r="BH73" s="772"/>
      <c r="BI73" s="772"/>
      <c r="BJ73" s="772"/>
      <c r="BK73" s="772"/>
      <c r="BL73" s="772"/>
      <c r="BM73" s="772"/>
      <c r="BN73" s="772"/>
      <c r="BO73" s="772"/>
      <c r="BP73" s="772"/>
      <c r="BQ73" s="772"/>
      <c r="BR73" s="772"/>
      <c r="BS73" s="772"/>
      <c r="BT73" s="772"/>
      <c r="BU73" s="772"/>
      <c r="BV73" s="772"/>
      <c r="BW73" s="772"/>
      <c r="BX73" s="772"/>
      <c r="BY73" s="772"/>
      <c r="BZ73" s="772"/>
      <c r="CA73" s="772"/>
      <c r="CB73" s="772"/>
      <c r="CC73" s="772"/>
      <c r="CD73" s="772"/>
      <c r="CE73" s="772"/>
      <c r="CF73" s="772"/>
      <c r="CG73" s="772"/>
      <c r="CH73" s="772"/>
      <c r="CI73" s="772"/>
      <c r="CJ73" s="772"/>
      <c r="CK73" s="772"/>
      <c r="CL73" s="772"/>
      <c r="CM73" s="772"/>
      <c r="CN73" s="772"/>
      <c r="CO73" s="772"/>
      <c r="CP73" s="772"/>
      <c r="CQ73" s="772"/>
      <c r="CR73" s="772"/>
      <c r="CS73" s="772"/>
      <c r="CT73" s="772"/>
      <c r="CU73" s="772"/>
      <c r="CV73" s="772"/>
      <c r="CW73" s="772"/>
      <c r="CX73" s="772"/>
      <c r="CY73" s="772"/>
      <c r="CZ73" s="772"/>
      <c r="DA73" s="772"/>
      <c r="DB73" s="772"/>
      <c r="DC73" s="772"/>
      <c r="DD73" s="772"/>
      <c r="DE73" s="772"/>
      <c r="DF73" s="772"/>
      <c r="DG73" s="772"/>
      <c r="DH73" s="772"/>
      <c r="DI73" s="772"/>
      <c r="DJ73" s="772"/>
      <c r="DK73" s="772"/>
      <c r="DL73" s="772"/>
      <c r="DM73" s="772"/>
      <c r="DN73" s="772"/>
      <c r="DO73" s="772"/>
      <c r="DP73" s="772"/>
      <c r="DQ73" s="772"/>
      <c r="DR73" s="772"/>
      <c r="DS73" s="772"/>
      <c r="DT73" s="772"/>
      <c r="DU73" s="772"/>
      <c r="DV73" s="772"/>
      <c r="DW73" s="772"/>
      <c r="DX73" s="772"/>
      <c r="DY73" s="772"/>
      <c r="DZ73" s="772"/>
      <c r="EA73" s="772"/>
      <c r="EB73" s="772"/>
      <c r="EC73" s="772"/>
      <c r="ED73" s="772"/>
      <c r="EE73" s="772"/>
      <c r="EF73" s="772"/>
      <c r="EG73" s="772"/>
      <c r="EH73" s="772"/>
      <c r="EI73" s="772"/>
      <c r="EJ73" s="772"/>
      <c r="EK73" s="772"/>
      <c r="EL73" s="772"/>
      <c r="EM73" s="772"/>
      <c r="EN73" s="772"/>
      <c r="EO73" s="772"/>
      <c r="EP73" s="772"/>
      <c r="EQ73" s="772"/>
      <c r="ER73" s="772"/>
      <c r="ES73" s="772"/>
      <c r="ET73" s="772"/>
      <c r="EU73" s="772"/>
      <c r="EV73" s="772"/>
      <c r="EW73" s="772"/>
      <c r="EX73" s="772"/>
      <c r="EY73" s="772"/>
      <c r="EZ73" s="772"/>
      <c r="FA73" s="772"/>
      <c r="FB73" s="772"/>
      <c r="FC73" s="772"/>
      <c r="FD73" s="772"/>
      <c r="FE73" s="772"/>
      <c r="FF73" s="772"/>
      <c r="FG73" s="772"/>
      <c r="FH73" s="772"/>
      <c r="FI73" s="772"/>
      <c r="FJ73" s="772"/>
      <c r="FK73" s="772"/>
      <c r="FL73" s="772"/>
      <c r="FM73" s="772"/>
      <c r="FN73" s="772"/>
      <c r="FO73" s="772"/>
      <c r="FP73" s="772"/>
      <c r="FQ73" s="772"/>
      <c r="FR73" s="772"/>
      <c r="FS73" s="772"/>
      <c r="FT73" s="772"/>
      <c r="FU73" s="772"/>
      <c r="FV73" s="772"/>
      <c r="FW73" s="772"/>
      <c r="FX73" s="772"/>
      <c r="FY73" s="772"/>
      <c r="FZ73" s="772"/>
      <c r="GA73" s="772"/>
      <c r="GB73" s="772"/>
      <c r="GC73" s="772"/>
      <c r="GD73" s="772"/>
      <c r="GE73" s="772"/>
      <c r="GF73" s="772"/>
      <c r="GG73" s="772"/>
      <c r="GH73" s="772"/>
      <c r="GI73" s="772"/>
      <c r="GJ73" s="772"/>
      <c r="GK73" s="772"/>
      <c r="GL73" s="772"/>
      <c r="GM73" s="772"/>
      <c r="GN73" s="772"/>
      <c r="GO73" s="772"/>
      <c r="GP73" s="772"/>
      <c r="GQ73" s="772"/>
      <c r="GR73" s="772"/>
      <c r="GS73" s="772"/>
      <c r="GT73" s="772"/>
      <c r="GU73" s="772"/>
      <c r="GV73" s="772"/>
      <c r="GW73" s="772"/>
      <c r="GX73" s="772"/>
      <c r="GY73" s="772"/>
      <c r="GZ73" s="772"/>
      <c r="HA73" s="772"/>
      <c r="HB73" s="772"/>
      <c r="HC73" s="772"/>
      <c r="HD73" s="772"/>
      <c r="HE73" s="772"/>
      <c r="HF73" s="772"/>
      <c r="HG73" s="772"/>
      <c r="HH73" s="772"/>
      <c r="HI73" s="772"/>
      <c r="HJ73" s="772"/>
      <c r="HK73" s="772"/>
      <c r="HL73" s="772"/>
      <c r="HM73" s="772"/>
      <c r="HN73" s="772"/>
      <c r="HO73" s="772"/>
      <c r="HP73" s="772"/>
      <c r="HQ73" s="772"/>
      <c r="HR73" s="772"/>
      <c r="HS73" s="772"/>
      <c r="HT73" s="772"/>
      <c r="HU73" s="772"/>
      <c r="HV73" s="772"/>
      <c r="HW73" s="772"/>
      <c r="HX73" s="772"/>
      <c r="HY73" s="772"/>
      <c r="HZ73" s="772"/>
      <c r="IA73" s="772"/>
      <c r="IB73" s="772"/>
      <c r="IC73" s="772"/>
      <c r="ID73" s="772"/>
      <c r="IE73" s="772"/>
      <c r="IF73" s="772"/>
      <c r="IG73" s="772"/>
      <c r="IH73" s="772"/>
      <c r="II73" s="772"/>
      <c r="IJ73" s="772"/>
      <c r="IK73" s="772"/>
    </row>
    <row r="74" spans="1:245" s="765" customFormat="1" ht="20.100000000000001" customHeight="1" x14ac:dyDescent="0.25">
      <c r="A74" s="772"/>
      <c r="B74" s="783"/>
      <c r="C74" s="784"/>
      <c r="D74" s="784"/>
      <c r="E74" s="784"/>
      <c r="F74" s="784"/>
      <c r="G74" s="784"/>
      <c r="H74" s="772"/>
      <c r="I74" s="1664">
        <f t="shared" si="32"/>
        <v>50</v>
      </c>
      <c r="J74" s="1668">
        <f t="shared" si="47"/>
        <v>0</v>
      </c>
      <c r="K74" s="1666">
        <f t="shared" si="42"/>
        <v>0</v>
      </c>
      <c r="L74" s="1670">
        <f t="shared" si="52"/>
        <v>0</v>
      </c>
      <c r="M74" s="1668">
        <f t="shared" si="33"/>
        <v>0</v>
      </c>
      <c r="N74" s="772"/>
      <c r="O74" s="1664">
        <f t="shared" si="34"/>
        <v>50</v>
      </c>
      <c r="P74" s="1668">
        <f t="shared" si="48"/>
        <v>0</v>
      </c>
      <c r="Q74" s="1666">
        <f t="shared" si="43"/>
        <v>0</v>
      </c>
      <c r="R74" s="1670">
        <f t="shared" si="53"/>
        <v>0</v>
      </c>
      <c r="S74" s="1668">
        <f t="shared" si="35"/>
        <v>0</v>
      </c>
      <c r="T74" s="772"/>
      <c r="U74" s="1664">
        <f t="shared" si="36"/>
        <v>50</v>
      </c>
      <c r="V74" s="1668">
        <f t="shared" si="49"/>
        <v>0</v>
      </c>
      <c r="W74" s="1666">
        <f t="shared" si="44"/>
        <v>0</v>
      </c>
      <c r="X74" s="1670">
        <f t="shared" si="54"/>
        <v>0</v>
      </c>
      <c r="Y74" s="1668">
        <f t="shared" si="37"/>
        <v>0</v>
      </c>
      <c r="Z74" s="772"/>
      <c r="AA74" s="1664">
        <f t="shared" si="38"/>
        <v>50</v>
      </c>
      <c r="AB74" s="1668">
        <f t="shared" si="50"/>
        <v>0</v>
      </c>
      <c r="AC74" s="1666">
        <f t="shared" si="45"/>
        <v>0</v>
      </c>
      <c r="AD74" s="1670">
        <f t="shared" si="55"/>
        <v>0</v>
      </c>
      <c r="AE74" s="1668">
        <f t="shared" si="39"/>
        <v>0</v>
      </c>
      <c r="AF74" s="772"/>
      <c r="AG74" s="1664">
        <f t="shared" si="40"/>
        <v>50</v>
      </c>
      <c r="AH74" s="1668">
        <f t="shared" si="51"/>
        <v>0</v>
      </c>
      <c r="AI74" s="1666">
        <f t="shared" si="46"/>
        <v>0</v>
      </c>
      <c r="AJ74" s="1670">
        <f t="shared" si="56"/>
        <v>0</v>
      </c>
      <c r="AK74" s="1668">
        <f t="shared" si="41"/>
        <v>0</v>
      </c>
      <c r="AL74" s="772"/>
      <c r="AM74" s="772"/>
      <c r="AN74" s="772"/>
      <c r="AO74" s="772"/>
      <c r="AP74" s="772"/>
      <c r="AQ74" s="772"/>
      <c r="AR74" s="772"/>
      <c r="AS74" s="772"/>
      <c r="AT74" s="772"/>
      <c r="AU74" s="772"/>
      <c r="AV74" s="772"/>
      <c r="AW74" s="772"/>
      <c r="AX74" s="772"/>
      <c r="AY74" s="772"/>
      <c r="AZ74" s="772"/>
      <c r="BA74" s="772"/>
      <c r="BB74" s="772"/>
      <c r="BC74" s="772"/>
      <c r="BD74" s="772"/>
      <c r="BE74" s="772"/>
      <c r="BF74" s="772"/>
      <c r="BG74" s="772"/>
      <c r="BH74" s="772"/>
      <c r="BI74" s="772"/>
      <c r="BJ74" s="772"/>
      <c r="BK74" s="772"/>
      <c r="BL74" s="772"/>
      <c r="BM74" s="772"/>
      <c r="BN74" s="772"/>
      <c r="BO74" s="772"/>
      <c r="BP74" s="772"/>
      <c r="BQ74" s="772"/>
      <c r="BR74" s="772"/>
      <c r="BS74" s="772"/>
      <c r="BT74" s="772"/>
      <c r="BU74" s="772"/>
      <c r="BV74" s="772"/>
      <c r="BW74" s="772"/>
      <c r="BX74" s="772"/>
      <c r="BY74" s="772"/>
      <c r="BZ74" s="772"/>
      <c r="CA74" s="772"/>
      <c r="CB74" s="772"/>
      <c r="CC74" s="772"/>
      <c r="CD74" s="772"/>
      <c r="CE74" s="772"/>
      <c r="CF74" s="772"/>
      <c r="CG74" s="772"/>
      <c r="CH74" s="772"/>
      <c r="CI74" s="772"/>
      <c r="CJ74" s="772"/>
      <c r="CK74" s="772"/>
      <c r="CL74" s="772"/>
      <c r="CM74" s="772"/>
      <c r="CN74" s="772"/>
      <c r="CO74" s="772"/>
      <c r="CP74" s="772"/>
      <c r="CQ74" s="772"/>
      <c r="CR74" s="772"/>
      <c r="CS74" s="772"/>
      <c r="CT74" s="772"/>
      <c r="CU74" s="772"/>
      <c r="CV74" s="772"/>
      <c r="CW74" s="772"/>
      <c r="CX74" s="772"/>
      <c r="CY74" s="772"/>
      <c r="CZ74" s="772"/>
      <c r="DA74" s="772"/>
      <c r="DB74" s="772"/>
      <c r="DC74" s="772"/>
      <c r="DD74" s="772"/>
      <c r="DE74" s="772"/>
      <c r="DF74" s="772"/>
      <c r="DG74" s="772"/>
      <c r="DH74" s="772"/>
      <c r="DI74" s="772"/>
      <c r="DJ74" s="772"/>
      <c r="DK74" s="772"/>
      <c r="DL74" s="772"/>
      <c r="DM74" s="772"/>
      <c r="DN74" s="772"/>
      <c r="DO74" s="772"/>
      <c r="DP74" s="772"/>
      <c r="DQ74" s="772"/>
      <c r="DR74" s="772"/>
      <c r="DS74" s="772"/>
      <c r="DT74" s="772"/>
      <c r="DU74" s="772"/>
      <c r="DV74" s="772"/>
      <c r="DW74" s="772"/>
      <c r="DX74" s="772"/>
      <c r="DY74" s="772"/>
      <c r="DZ74" s="772"/>
      <c r="EA74" s="772"/>
      <c r="EB74" s="772"/>
      <c r="EC74" s="772"/>
      <c r="ED74" s="772"/>
      <c r="EE74" s="772"/>
      <c r="EF74" s="772"/>
      <c r="EG74" s="772"/>
      <c r="EH74" s="772"/>
      <c r="EI74" s="772"/>
      <c r="EJ74" s="772"/>
      <c r="EK74" s="772"/>
      <c r="EL74" s="772"/>
      <c r="EM74" s="772"/>
      <c r="EN74" s="772"/>
      <c r="EO74" s="772"/>
      <c r="EP74" s="772"/>
      <c r="EQ74" s="772"/>
      <c r="ER74" s="772"/>
      <c r="ES74" s="772"/>
      <c r="ET74" s="772"/>
      <c r="EU74" s="772"/>
      <c r="EV74" s="772"/>
      <c r="EW74" s="772"/>
      <c r="EX74" s="772"/>
      <c r="EY74" s="772"/>
      <c r="EZ74" s="772"/>
      <c r="FA74" s="772"/>
      <c r="FB74" s="772"/>
      <c r="FC74" s="772"/>
      <c r="FD74" s="772"/>
      <c r="FE74" s="772"/>
      <c r="FF74" s="772"/>
      <c r="FG74" s="772"/>
      <c r="FH74" s="772"/>
      <c r="FI74" s="772"/>
      <c r="FJ74" s="772"/>
      <c r="FK74" s="772"/>
      <c r="FL74" s="772"/>
      <c r="FM74" s="772"/>
      <c r="FN74" s="772"/>
      <c r="FO74" s="772"/>
      <c r="FP74" s="772"/>
      <c r="FQ74" s="772"/>
      <c r="FR74" s="772"/>
      <c r="FS74" s="772"/>
      <c r="FT74" s="772"/>
      <c r="FU74" s="772"/>
      <c r="FV74" s="772"/>
      <c r="FW74" s="772"/>
      <c r="FX74" s="772"/>
      <c r="FY74" s="772"/>
      <c r="FZ74" s="772"/>
      <c r="GA74" s="772"/>
      <c r="GB74" s="772"/>
      <c r="GC74" s="772"/>
      <c r="GD74" s="772"/>
      <c r="GE74" s="772"/>
      <c r="GF74" s="772"/>
      <c r="GG74" s="772"/>
      <c r="GH74" s="772"/>
      <c r="GI74" s="772"/>
      <c r="GJ74" s="772"/>
      <c r="GK74" s="772"/>
      <c r="GL74" s="772"/>
      <c r="GM74" s="772"/>
      <c r="GN74" s="772"/>
      <c r="GO74" s="772"/>
      <c r="GP74" s="772"/>
      <c r="GQ74" s="772"/>
      <c r="GR74" s="772"/>
      <c r="GS74" s="772"/>
      <c r="GT74" s="772"/>
      <c r="GU74" s="772"/>
      <c r="GV74" s="772"/>
      <c r="GW74" s="772"/>
      <c r="GX74" s="772"/>
      <c r="GY74" s="772"/>
      <c r="GZ74" s="772"/>
      <c r="HA74" s="772"/>
      <c r="HB74" s="772"/>
      <c r="HC74" s="772"/>
      <c r="HD74" s="772"/>
      <c r="HE74" s="772"/>
      <c r="HF74" s="772"/>
      <c r="HG74" s="772"/>
      <c r="HH74" s="772"/>
      <c r="HI74" s="772"/>
      <c r="HJ74" s="772"/>
      <c r="HK74" s="772"/>
      <c r="HL74" s="772"/>
      <c r="HM74" s="772"/>
      <c r="HN74" s="772"/>
      <c r="HO74" s="772"/>
      <c r="HP74" s="772"/>
      <c r="HQ74" s="772"/>
      <c r="HR74" s="772"/>
      <c r="HS74" s="772"/>
      <c r="HT74" s="772"/>
      <c r="HU74" s="772"/>
      <c r="HV74" s="772"/>
      <c r="HW74" s="772"/>
      <c r="HX74" s="772"/>
      <c r="HY74" s="772"/>
      <c r="HZ74" s="772"/>
      <c r="IA74" s="772"/>
      <c r="IB74" s="772"/>
      <c r="IC74" s="772"/>
      <c r="ID74" s="772"/>
      <c r="IE74" s="772"/>
      <c r="IF74" s="772"/>
      <c r="IG74" s="772"/>
      <c r="IH74" s="772"/>
      <c r="II74" s="772"/>
      <c r="IJ74" s="772"/>
      <c r="IK74" s="772"/>
    </row>
    <row r="75" spans="1:245" s="765" customFormat="1" ht="20.100000000000001" customHeight="1" x14ac:dyDescent="0.25">
      <c r="A75" s="772"/>
      <c r="B75" s="783"/>
      <c r="C75" s="784"/>
      <c r="D75" s="784"/>
      <c r="E75" s="784"/>
      <c r="F75" s="784"/>
      <c r="G75" s="784"/>
      <c r="H75" s="772"/>
      <c r="I75" s="1664">
        <f t="shared" si="32"/>
        <v>51</v>
      </c>
      <c r="J75" s="1668">
        <f t="shared" si="47"/>
        <v>0</v>
      </c>
      <c r="K75" s="1666">
        <f t="shared" si="42"/>
        <v>0</v>
      </c>
      <c r="L75" s="1670">
        <f t="shared" si="52"/>
        <v>0</v>
      </c>
      <c r="M75" s="1668">
        <f t="shared" si="33"/>
        <v>0</v>
      </c>
      <c r="N75" s="772"/>
      <c r="O75" s="1664">
        <f t="shared" si="34"/>
        <v>51</v>
      </c>
      <c r="P75" s="1668">
        <f t="shared" si="48"/>
        <v>0</v>
      </c>
      <c r="Q75" s="1666">
        <f t="shared" si="43"/>
        <v>0</v>
      </c>
      <c r="R75" s="1670">
        <f t="shared" si="53"/>
        <v>0</v>
      </c>
      <c r="S75" s="1668">
        <f t="shared" si="35"/>
        <v>0</v>
      </c>
      <c r="T75" s="772"/>
      <c r="U75" s="1664">
        <f t="shared" si="36"/>
        <v>51</v>
      </c>
      <c r="V75" s="1668">
        <f t="shared" si="49"/>
        <v>0</v>
      </c>
      <c r="W75" s="1666">
        <f t="shared" si="44"/>
        <v>0</v>
      </c>
      <c r="X75" s="1670">
        <f t="shared" si="54"/>
        <v>0</v>
      </c>
      <c r="Y75" s="1668">
        <f t="shared" si="37"/>
        <v>0</v>
      </c>
      <c r="Z75" s="772"/>
      <c r="AA75" s="1664">
        <f t="shared" si="38"/>
        <v>51</v>
      </c>
      <c r="AB75" s="1668">
        <f t="shared" si="50"/>
        <v>0</v>
      </c>
      <c r="AC75" s="1666">
        <f t="shared" si="45"/>
        <v>0</v>
      </c>
      <c r="AD75" s="1670">
        <f t="shared" si="55"/>
        <v>0</v>
      </c>
      <c r="AE75" s="1668">
        <f t="shared" si="39"/>
        <v>0</v>
      </c>
      <c r="AF75" s="772"/>
      <c r="AG75" s="1664">
        <f t="shared" si="40"/>
        <v>51</v>
      </c>
      <c r="AH75" s="1668">
        <f t="shared" si="51"/>
        <v>0</v>
      </c>
      <c r="AI75" s="1666">
        <f t="shared" si="46"/>
        <v>0</v>
      </c>
      <c r="AJ75" s="1670">
        <f t="shared" si="56"/>
        <v>0</v>
      </c>
      <c r="AK75" s="1668">
        <f t="shared" si="41"/>
        <v>0</v>
      </c>
      <c r="AL75" s="772"/>
      <c r="AM75" s="772"/>
      <c r="AN75" s="772"/>
      <c r="AO75" s="772"/>
      <c r="AP75" s="772"/>
      <c r="AQ75" s="772"/>
      <c r="AR75" s="772"/>
      <c r="AS75" s="772"/>
      <c r="AT75" s="772"/>
      <c r="AU75" s="772"/>
      <c r="AV75" s="772"/>
      <c r="AW75" s="772"/>
      <c r="AX75" s="772"/>
      <c r="AY75" s="772"/>
      <c r="AZ75" s="772"/>
      <c r="BA75" s="772"/>
      <c r="BB75" s="772"/>
      <c r="BC75" s="772"/>
      <c r="BD75" s="772"/>
      <c r="BE75" s="772"/>
      <c r="BF75" s="772"/>
      <c r="BG75" s="772"/>
      <c r="BH75" s="772"/>
      <c r="BI75" s="772"/>
      <c r="BJ75" s="772"/>
      <c r="BK75" s="772"/>
      <c r="BL75" s="772"/>
      <c r="BM75" s="772"/>
      <c r="BN75" s="772"/>
      <c r="BO75" s="772"/>
      <c r="BP75" s="772"/>
      <c r="BQ75" s="772"/>
      <c r="BR75" s="772"/>
      <c r="BS75" s="772"/>
      <c r="BT75" s="772"/>
      <c r="BU75" s="772"/>
      <c r="BV75" s="772"/>
      <c r="BW75" s="772"/>
      <c r="BX75" s="772"/>
      <c r="BY75" s="772"/>
      <c r="BZ75" s="772"/>
      <c r="CA75" s="772"/>
      <c r="CB75" s="772"/>
      <c r="CC75" s="772"/>
      <c r="CD75" s="772"/>
      <c r="CE75" s="772"/>
      <c r="CF75" s="772"/>
      <c r="CG75" s="772"/>
      <c r="CH75" s="772"/>
      <c r="CI75" s="772"/>
      <c r="CJ75" s="772"/>
      <c r="CK75" s="772"/>
      <c r="CL75" s="772"/>
      <c r="CM75" s="772"/>
      <c r="CN75" s="772"/>
      <c r="CO75" s="772"/>
      <c r="CP75" s="772"/>
      <c r="CQ75" s="772"/>
      <c r="CR75" s="772"/>
      <c r="CS75" s="772"/>
      <c r="CT75" s="772"/>
      <c r="CU75" s="772"/>
      <c r="CV75" s="772"/>
      <c r="CW75" s="772"/>
      <c r="CX75" s="772"/>
      <c r="CY75" s="772"/>
      <c r="CZ75" s="772"/>
      <c r="DA75" s="772"/>
      <c r="DB75" s="772"/>
      <c r="DC75" s="772"/>
      <c r="DD75" s="772"/>
      <c r="DE75" s="772"/>
      <c r="DF75" s="772"/>
      <c r="DG75" s="772"/>
      <c r="DH75" s="772"/>
      <c r="DI75" s="772"/>
      <c r="DJ75" s="772"/>
      <c r="DK75" s="772"/>
      <c r="DL75" s="772"/>
      <c r="DM75" s="772"/>
      <c r="DN75" s="772"/>
      <c r="DO75" s="772"/>
      <c r="DP75" s="772"/>
      <c r="DQ75" s="772"/>
      <c r="DR75" s="772"/>
      <c r="DS75" s="772"/>
      <c r="DT75" s="772"/>
      <c r="DU75" s="772"/>
      <c r="DV75" s="772"/>
      <c r="DW75" s="772"/>
      <c r="DX75" s="772"/>
      <c r="DY75" s="772"/>
      <c r="DZ75" s="772"/>
      <c r="EA75" s="772"/>
      <c r="EB75" s="772"/>
      <c r="EC75" s="772"/>
      <c r="ED75" s="772"/>
      <c r="EE75" s="772"/>
      <c r="EF75" s="772"/>
      <c r="EG75" s="772"/>
      <c r="EH75" s="772"/>
      <c r="EI75" s="772"/>
      <c r="EJ75" s="772"/>
      <c r="EK75" s="772"/>
      <c r="EL75" s="772"/>
      <c r="EM75" s="772"/>
      <c r="EN75" s="772"/>
      <c r="EO75" s="772"/>
      <c r="EP75" s="772"/>
      <c r="EQ75" s="772"/>
      <c r="ER75" s="772"/>
      <c r="ES75" s="772"/>
      <c r="ET75" s="772"/>
      <c r="EU75" s="772"/>
      <c r="EV75" s="772"/>
      <c r="EW75" s="772"/>
      <c r="EX75" s="772"/>
      <c r="EY75" s="772"/>
      <c r="EZ75" s="772"/>
      <c r="FA75" s="772"/>
      <c r="FB75" s="772"/>
      <c r="FC75" s="772"/>
      <c r="FD75" s="772"/>
      <c r="FE75" s="772"/>
      <c r="FF75" s="772"/>
      <c r="FG75" s="772"/>
      <c r="FH75" s="772"/>
      <c r="FI75" s="772"/>
      <c r="FJ75" s="772"/>
      <c r="FK75" s="772"/>
      <c r="FL75" s="772"/>
      <c r="FM75" s="772"/>
      <c r="FN75" s="772"/>
      <c r="FO75" s="772"/>
      <c r="FP75" s="772"/>
      <c r="FQ75" s="772"/>
      <c r="FR75" s="772"/>
      <c r="FS75" s="772"/>
      <c r="FT75" s="772"/>
      <c r="FU75" s="772"/>
      <c r="FV75" s="772"/>
      <c r="FW75" s="772"/>
      <c r="FX75" s="772"/>
      <c r="FY75" s="772"/>
      <c r="FZ75" s="772"/>
      <c r="GA75" s="772"/>
      <c r="GB75" s="772"/>
      <c r="GC75" s="772"/>
      <c r="GD75" s="772"/>
      <c r="GE75" s="772"/>
      <c r="GF75" s="772"/>
      <c r="GG75" s="772"/>
      <c r="GH75" s="772"/>
      <c r="GI75" s="772"/>
      <c r="GJ75" s="772"/>
      <c r="GK75" s="772"/>
      <c r="GL75" s="772"/>
      <c r="GM75" s="772"/>
      <c r="GN75" s="772"/>
      <c r="GO75" s="772"/>
      <c r="GP75" s="772"/>
      <c r="GQ75" s="772"/>
      <c r="GR75" s="772"/>
      <c r="GS75" s="772"/>
      <c r="GT75" s="772"/>
      <c r="GU75" s="772"/>
      <c r="GV75" s="772"/>
      <c r="GW75" s="772"/>
      <c r="GX75" s="772"/>
      <c r="GY75" s="772"/>
      <c r="GZ75" s="772"/>
      <c r="HA75" s="772"/>
      <c r="HB75" s="772"/>
      <c r="HC75" s="772"/>
      <c r="HD75" s="772"/>
      <c r="HE75" s="772"/>
      <c r="HF75" s="772"/>
      <c r="HG75" s="772"/>
      <c r="HH75" s="772"/>
      <c r="HI75" s="772"/>
      <c r="HJ75" s="772"/>
      <c r="HK75" s="772"/>
      <c r="HL75" s="772"/>
      <c r="HM75" s="772"/>
      <c r="HN75" s="772"/>
      <c r="HO75" s="772"/>
      <c r="HP75" s="772"/>
      <c r="HQ75" s="772"/>
      <c r="HR75" s="772"/>
      <c r="HS75" s="772"/>
      <c r="HT75" s="772"/>
      <c r="HU75" s="772"/>
      <c r="HV75" s="772"/>
      <c r="HW75" s="772"/>
      <c r="HX75" s="772"/>
      <c r="HY75" s="772"/>
      <c r="HZ75" s="772"/>
      <c r="IA75" s="772"/>
      <c r="IB75" s="772"/>
      <c r="IC75" s="772"/>
      <c r="ID75" s="772"/>
      <c r="IE75" s="772"/>
      <c r="IF75" s="772"/>
      <c r="IG75" s="772"/>
      <c r="IH75" s="772"/>
      <c r="II75" s="772"/>
      <c r="IJ75" s="772"/>
      <c r="IK75" s="772"/>
    </row>
    <row r="76" spans="1:245" s="765" customFormat="1" ht="20.100000000000001" customHeight="1" x14ac:dyDescent="0.25">
      <c r="A76" s="772"/>
      <c r="B76" s="783"/>
      <c r="C76" s="784"/>
      <c r="D76" s="784"/>
      <c r="E76" s="784"/>
      <c r="F76" s="784"/>
      <c r="G76" s="784"/>
      <c r="H76" s="772"/>
      <c r="I76" s="1664">
        <f t="shared" si="32"/>
        <v>52</v>
      </c>
      <c r="J76" s="1668">
        <f t="shared" si="47"/>
        <v>0</v>
      </c>
      <c r="K76" s="1666">
        <f t="shared" si="42"/>
        <v>0</v>
      </c>
      <c r="L76" s="1670">
        <f t="shared" si="52"/>
        <v>0</v>
      </c>
      <c r="M76" s="1668">
        <f t="shared" si="33"/>
        <v>0</v>
      </c>
      <c r="N76" s="772"/>
      <c r="O76" s="1664">
        <f t="shared" si="34"/>
        <v>52</v>
      </c>
      <c r="P76" s="1668">
        <f t="shared" si="48"/>
        <v>0</v>
      </c>
      <c r="Q76" s="1666">
        <f t="shared" si="43"/>
        <v>0</v>
      </c>
      <c r="R76" s="1670">
        <f t="shared" si="53"/>
        <v>0</v>
      </c>
      <c r="S76" s="1668">
        <f t="shared" si="35"/>
        <v>0</v>
      </c>
      <c r="T76" s="772"/>
      <c r="U76" s="1664">
        <f t="shared" si="36"/>
        <v>52</v>
      </c>
      <c r="V76" s="1668">
        <f t="shared" si="49"/>
        <v>0</v>
      </c>
      <c r="W76" s="1666">
        <f t="shared" si="44"/>
        <v>0</v>
      </c>
      <c r="X76" s="1670">
        <f t="shared" si="54"/>
        <v>0</v>
      </c>
      <c r="Y76" s="1668">
        <f t="shared" si="37"/>
        <v>0</v>
      </c>
      <c r="Z76" s="772"/>
      <c r="AA76" s="1664">
        <f t="shared" si="38"/>
        <v>52</v>
      </c>
      <c r="AB76" s="1668">
        <f t="shared" si="50"/>
        <v>0</v>
      </c>
      <c r="AC76" s="1666">
        <f t="shared" si="45"/>
        <v>0</v>
      </c>
      <c r="AD76" s="1670">
        <f t="shared" si="55"/>
        <v>0</v>
      </c>
      <c r="AE76" s="1668">
        <f t="shared" si="39"/>
        <v>0</v>
      </c>
      <c r="AF76" s="772"/>
      <c r="AG76" s="1664">
        <f t="shared" si="40"/>
        <v>52</v>
      </c>
      <c r="AH76" s="1668">
        <f t="shared" si="51"/>
        <v>0</v>
      </c>
      <c r="AI76" s="1666">
        <f t="shared" si="46"/>
        <v>0</v>
      </c>
      <c r="AJ76" s="1670">
        <f t="shared" si="56"/>
        <v>0</v>
      </c>
      <c r="AK76" s="1668">
        <f t="shared" si="41"/>
        <v>0</v>
      </c>
      <c r="AL76" s="772"/>
      <c r="AM76" s="772"/>
      <c r="AN76" s="772"/>
      <c r="AO76" s="772"/>
      <c r="AP76" s="772"/>
      <c r="AQ76" s="772"/>
      <c r="AR76" s="772"/>
      <c r="AS76" s="772"/>
      <c r="AT76" s="772"/>
      <c r="AU76" s="772"/>
      <c r="AV76" s="772"/>
      <c r="AW76" s="772"/>
      <c r="AX76" s="772"/>
      <c r="AY76" s="772"/>
      <c r="AZ76" s="772"/>
      <c r="BA76" s="772"/>
      <c r="BB76" s="772"/>
      <c r="BC76" s="772"/>
      <c r="BD76" s="772"/>
      <c r="BE76" s="772"/>
      <c r="BF76" s="772"/>
      <c r="BG76" s="772"/>
      <c r="BH76" s="772"/>
      <c r="BI76" s="772"/>
      <c r="BJ76" s="772"/>
      <c r="BK76" s="772"/>
      <c r="BL76" s="772"/>
      <c r="BM76" s="772"/>
      <c r="BN76" s="772"/>
      <c r="BO76" s="772"/>
      <c r="BP76" s="772"/>
      <c r="BQ76" s="772"/>
      <c r="BR76" s="772"/>
      <c r="BS76" s="772"/>
      <c r="BT76" s="772"/>
      <c r="BU76" s="772"/>
      <c r="BV76" s="772"/>
      <c r="BW76" s="772"/>
      <c r="BX76" s="772"/>
      <c r="BY76" s="772"/>
      <c r="BZ76" s="772"/>
      <c r="CA76" s="772"/>
      <c r="CB76" s="772"/>
      <c r="CC76" s="772"/>
      <c r="CD76" s="772"/>
      <c r="CE76" s="772"/>
      <c r="CF76" s="772"/>
      <c r="CG76" s="772"/>
      <c r="CH76" s="772"/>
      <c r="CI76" s="772"/>
      <c r="CJ76" s="772"/>
      <c r="CK76" s="772"/>
      <c r="CL76" s="772"/>
      <c r="CM76" s="772"/>
      <c r="CN76" s="772"/>
      <c r="CO76" s="772"/>
      <c r="CP76" s="772"/>
      <c r="CQ76" s="772"/>
      <c r="CR76" s="772"/>
      <c r="CS76" s="772"/>
      <c r="CT76" s="772"/>
      <c r="CU76" s="772"/>
      <c r="CV76" s="772"/>
      <c r="CW76" s="772"/>
      <c r="CX76" s="772"/>
      <c r="CY76" s="772"/>
      <c r="CZ76" s="772"/>
      <c r="DA76" s="772"/>
      <c r="DB76" s="772"/>
      <c r="DC76" s="772"/>
      <c r="DD76" s="772"/>
      <c r="DE76" s="772"/>
      <c r="DF76" s="772"/>
      <c r="DG76" s="772"/>
      <c r="DH76" s="772"/>
      <c r="DI76" s="772"/>
      <c r="DJ76" s="772"/>
      <c r="DK76" s="772"/>
      <c r="DL76" s="772"/>
      <c r="DM76" s="772"/>
      <c r="DN76" s="772"/>
      <c r="DO76" s="772"/>
      <c r="DP76" s="772"/>
      <c r="DQ76" s="772"/>
      <c r="DR76" s="772"/>
      <c r="DS76" s="772"/>
      <c r="DT76" s="772"/>
      <c r="DU76" s="772"/>
      <c r="DV76" s="772"/>
      <c r="DW76" s="772"/>
      <c r="DX76" s="772"/>
      <c r="DY76" s="772"/>
      <c r="DZ76" s="772"/>
      <c r="EA76" s="772"/>
      <c r="EB76" s="772"/>
      <c r="EC76" s="772"/>
      <c r="ED76" s="772"/>
      <c r="EE76" s="772"/>
      <c r="EF76" s="772"/>
      <c r="EG76" s="772"/>
      <c r="EH76" s="772"/>
      <c r="EI76" s="772"/>
      <c r="EJ76" s="772"/>
      <c r="EK76" s="772"/>
      <c r="EL76" s="772"/>
      <c r="EM76" s="772"/>
      <c r="EN76" s="772"/>
      <c r="EO76" s="772"/>
      <c r="EP76" s="772"/>
      <c r="EQ76" s="772"/>
      <c r="ER76" s="772"/>
      <c r="ES76" s="772"/>
      <c r="ET76" s="772"/>
      <c r="EU76" s="772"/>
      <c r="EV76" s="772"/>
      <c r="EW76" s="772"/>
      <c r="EX76" s="772"/>
      <c r="EY76" s="772"/>
      <c r="EZ76" s="772"/>
      <c r="FA76" s="772"/>
      <c r="FB76" s="772"/>
      <c r="FC76" s="772"/>
      <c r="FD76" s="772"/>
      <c r="FE76" s="772"/>
      <c r="FF76" s="772"/>
      <c r="FG76" s="772"/>
      <c r="FH76" s="772"/>
      <c r="FI76" s="772"/>
      <c r="FJ76" s="772"/>
      <c r="FK76" s="772"/>
      <c r="FL76" s="772"/>
      <c r="FM76" s="772"/>
      <c r="FN76" s="772"/>
      <c r="FO76" s="772"/>
      <c r="FP76" s="772"/>
      <c r="FQ76" s="772"/>
      <c r="FR76" s="772"/>
      <c r="FS76" s="772"/>
      <c r="FT76" s="772"/>
      <c r="FU76" s="772"/>
      <c r="FV76" s="772"/>
      <c r="FW76" s="772"/>
      <c r="FX76" s="772"/>
      <c r="FY76" s="772"/>
      <c r="FZ76" s="772"/>
      <c r="GA76" s="772"/>
      <c r="GB76" s="772"/>
      <c r="GC76" s="772"/>
      <c r="GD76" s="772"/>
      <c r="GE76" s="772"/>
      <c r="GF76" s="772"/>
      <c r="GG76" s="772"/>
      <c r="GH76" s="772"/>
      <c r="GI76" s="772"/>
      <c r="GJ76" s="772"/>
      <c r="GK76" s="772"/>
      <c r="GL76" s="772"/>
      <c r="GM76" s="772"/>
      <c r="GN76" s="772"/>
      <c r="GO76" s="772"/>
      <c r="GP76" s="772"/>
      <c r="GQ76" s="772"/>
      <c r="GR76" s="772"/>
      <c r="GS76" s="772"/>
      <c r="GT76" s="772"/>
      <c r="GU76" s="772"/>
      <c r="GV76" s="772"/>
      <c r="GW76" s="772"/>
      <c r="GX76" s="772"/>
      <c r="GY76" s="772"/>
      <c r="GZ76" s="772"/>
      <c r="HA76" s="772"/>
      <c r="HB76" s="772"/>
      <c r="HC76" s="772"/>
      <c r="HD76" s="772"/>
      <c r="HE76" s="772"/>
      <c r="HF76" s="772"/>
      <c r="HG76" s="772"/>
      <c r="HH76" s="772"/>
      <c r="HI76" s="772"/>
      <c r="HJ76" s="772"/>
      <c r="HK76" s="772"/>
      <c r="HL76" s="772"/>
      <c r="HM76" s="772"/>
      <c r="HN76" s="772"/>
      <c r="HO76" s="772"/>
      <c r="HP76" s="772"/>
      <c r="HQ76" s="772"/>
      <c r="HR76" s="772"/>
      <c r="HS76" s="772"/>
      <c r="HT76" s="772"/>
      <c r="HU76" s="772"/>
      <c r="HV76" s="772"/>
      <c r="HW76" s="772"/>
      <c r="HX76" s="772"/>
      <c r="HY76" s="772"/>
      <c r="HZ76" s="772"/>
      <c r="IA76" s="772"/>
      <c r="IB76" s="772"/>
      <c r="IC76" s="772"/>
      <c r="ID76" s="772"/>
      <c r="IE76" s="772"/>
      <c r="IF76" s="772"/>
      <c r="IG76" s="772"/>
      <c r="IH76" s="772"/>
      <c r="II76" s="772"/>
      <c r="IJ76" s="772"/>
      <c r="IK76" s="772"/>
    </row>
    <row r="77" spans="1:245" s="765" customFormat="1" ht="20.100000000000001" customHeight="1" x14ac:dyDescent="0.25">
      <c r="A77" s="772"/>
      <c r="B77" s="783"/>
      <c r="C77" s="784"/>
      <c r="D77" s="784"/>
      <c r="E77" s="784"/>
      <c r="F77" s="784"/>
      <c r="G77" s="784"/>
      <c r="H77" s="772"/>
      <c r="I77" s="1664">
        <f t="shared" si="32"/>
        <v>53</v>
      </c>
      <c r="J77" s="1668">
        <f t="shared" si="47"/>
        <v>0</v>
      </c>
      <c r="K77" s="1666">
        <f t="shared" si="42"/>
        <v>0</v>
      </c>
      <c r="L77" s="1670">
        <f t="shared" si="52"/>
        <v>0</v>
      </c>
      <c r="M77" s="1668">
        <f t="shared" si="33"/>
        <v>0</v>
      </c>
      <c r="N77" s="772"/>
      <c r="O77" s="1664">
        <f t="shared" si="34"/>
        <v>53</v>
      </c>
      <c r="P77" s="1668">
        <f t="shared" si="48"/>
        <v>0</v>
      </c>
      <c r="Q77" s="1666">
        <f t="shared" si="43"/>
        <v>0</v>
      </c>
      <c r="R77" s="1670">
        <f t="shared" si="53"/>
        <v>0</v>
      </c>
      <c r="S77" s="1668">
        <f t="shared" si="35"/>
        <v>0</v>
      </c>
      <c r="T77" s="772"/>
      <c r="U77" s="1664">
        <f t="shared" si="36"/>
        <v>53</v>
      </c>
      <c r="V77" s="1668">
        <f t="shared" si="49"/>
        <v>0</v>
      </c>
      <c r="W77" s="1666">
        <f t="shared" si="44"/>
        <v>0</v>
      </c>
      <c r="X77" s="1670">
        <f t="shared" si="54"/>
        <v>0</v>
      </c>
      <c r="Y77" s="1668">
        <f t="shared" si="37"/>
        <v>0</v>
      </c>
      <c r="Z77" s="772"/>
      <c r="AA77" s="1664">
        <f t="shared" si="38"/>
        <v>53</v>
      </c>
      <c r="AB77" s="1668">
        <f t="shared" si="50"/>
        <v>0</v>
      </c>
      <c r="AC77" s="1666">
        <f t="shared" si="45"/>
        <v>0</v>
      </c>
      <c r="AD77" s="1670">
        <f t="shared" si="55"/>
        <v>0</v>
      </c>
      <c r="AE77" s="1668">
        <f t="shared" si="39"/>
        <v>0</v>
      </c>
      <c r="AF77" s="772"/>
      <c r="AG77" s="1664">
        <f t="shared" si="40"/>
        <v>53</v>
      </c>
      <c r="AH77" s="1668">
        <f t="shared" si="51"/>
        <v>0</v>
      </c>
      <c r="AI77" s="1666">
        <f t="shared" si="46"/>
        <v>0</v>
      </c>
      <c r="AJ77" s="1670">
        <f t="shared" si="56"/>
        <v>0</v>
      </c>
      <c r="AK77" s="1668">
        <f t="shared" si="41"/>
        <v>0</v>
      </c>
      <c r="AL77" s="772"/>
      <c r="AM77" s="772"/>
      <c r="AN77" s="772"/>
      <c r="AO77" s="772"/>
      <c r="AP77" s="772"/>
      <c r="AQ77" s="772"/>
      <c r="AR77" s="772"/>
      <c r="AS77" s="772"/>
      <c r="AT77" s="772"/>
      <c r="AU77" s="772"/>
      <c r="AV77" s="772"/>
      <c r="AW77" s="772"/>
      <c r="AX77" s="772"/>
      <c r="AY77" s="772"/>
      <c r="AZ77" s="772"/>
      <c r="BA77" s="772"/>
      <c r="BB77" s="772"/>
      <c r="BC77" s="772"/>
      <c r="BD77" s="772"/>
      <c r="BE77" s="772"/>
      <c r="BF77" s="772"/>
      <c r="BG77" s="772"/>
      <c r="BH77" s="772"/>
      <c r="BI77" s="772"/>
      <c r="BJ77" s="772"/>
      <c r="BK77" s="772"/>
      <c r="BL77" s="772"/>
      <c r="BM77" s="772"/>
      <c r="BN77" s="772"/>
      <c r="BO77" s="772"/>
      <c r="BP77" s="772"/>
      <c r="BQ77" s="772"/>
      <c r="BR77" s="772"/>
      <c r="BS77" s="772"/>
      <c r="BT77" s="772"/>
      <c r="BU77" s="772"/>
      <c r="BV77" s="772"/>
      <c r="BW77" s="772"/>
      <c r="BX77" s="772"/>
      <c r="BY77" s="772"/>
      <c r="BZ77" s="772"/>
      <c r="CA77" s="772"/>
      <c r="CB77" s="772"/>
      <c r="CC77" s="772"/>
      <c r="CD77" s="772"/>
      <c r="CE77" s="772"/>
      <c r="CF77" s="772"/>
      <c r="CG77" s="772"/>
      <c r="CH77" s="772"/>
      <c r="CI77" s="772"/>
      <c r="CJ77" s="772"/>
      <c r="CK77" s="772"/>
      <c r="CL77" s="772"/>
      <c r="CM77" s="772"/>
      <c r="CN77" s="772"/>
      <c r="CO77" s="772"/>
      <c r="CP77" s="772"/>
      <c r="CQ77" s="772"/>
      <c r="CR77" s="772"/>
      <c r="CS77" s="772"/>
      <c r="CT77" s="772"/>
      <c r="CU77" s="772"/>
      <c r="CV77" s="772"/>
      <c r="CW77" s="772"/>
      <c r="CX77" s="772"/>
      <c r="CY77" s="772"/>
      <c r="CZ77" s="772"/>
      <c r="DA77" s="772"/>
      <c r="DB77" s="772"/>
      <c r="DC77" s="772"/>
      <c r="DD77" s="772"/>
      <c r="DE77" s="772"/>
      <c r="DF77" s="772"/>
      <c r="DG77" s="772"/>
      <c r="DH77" s="772"/>
      <c r="DI77" s="772"/>
      <c r="DJ77" s="772"/>
      <c r="DK77" s="772"/>
      <c r="DL77" s="772"/>
      <c r="DM77" s="772"/>
      <c r="DN77" s="772"/>
      <c r="DO77" s="772"/>
      <c r="DP77" s="772"/>
      <c r="DQ77" s="772"/>
      <c r="DR77" s="772"/>
      <c r="DS77" s="772"/>
      <c r="DT77" s="772"/>
      <c r="DU77" s="772"/>
      <c r="DV77" s="772"/>
      <c r="DW77" s="772"/>
      <c r="DX77" s="772"/>
      <c r="DY77" s="772"/>
      <c r="DZ77" s="772"/>
      <c r="EA77" s="772"/>
      <c r="EB77" s="772"/>
      <c r="EC77" s="772"/>
      <c r="ED77" s="772"/>
      <c r="EE77" s="772"/>
      <c r="EF77" s="772"/>
      <c r="EG77" s="772"/>
      <c r="EH77" s="772"/>
      <c r="EI77" s="772"/>
      <c r="EJ77" s="772"/>
      <c r="EK77" s="772"/>
      <c r="EL77" s="772"/>
      <c r="EM77" s="772"/>
      <c r="EN77" s="772"/>
      <c r="EO77" s="772"/>
      <c r="EP77" s="772"/>
      <c r="EQ77" s="772"/>
      <c r="ER77" s="772"/>
      <c r="ES77" s="772"/>
      <c r="ET77" s="772"/>
      <c r="EU77" s="772"/>
      <c r="EV77" s="772"/>
      <c r="EW77" s="772"/>
      <c r="EX77" s="772"/>
      <c r="EY77" s="772"/>
      <c r="EZ77" s="772"/>
      <c r="FA77" s="772"/>
      <c r="FB77" s="772"/>
      <c r="FC77" s="772"/>
      <c r="FD77" s="772"/>
      <c r="FE77" s="772"/>
      <c r="FF77" s="772"/>
      <c r="FG77" s="772"/>
      <c r="FH77" s="772"/>
      <c r="FI77" s="772"/>
      <c r="FJ77" s="772"/>
      <c r="FK77" s="772"/>
      <c r="FL77" s="772"/>
      <c r="FM77" s="772"/>
      <c r="FN77" s="772"/>
      <c r="FO77" s="772"/>
      <c r="FP77" s="772"/>
      <c r="FQ77" s="772"/>
      <c r="FR77" s="772"/>
      <c r="FS77" s="772"/>
      <c r="FT77" s="772"/>
      <c r="FU77" s="772"/>
      <c r="FV77" s="772"/>
      <c r="FW77" s="772"/>
      <c r="FX77" s="772"/>
      <c r="FY77" s="772"/>
      <c r="FZ77" s="772"/>
      <c r="GA77" s="772"/>
      <c r="GB77" s="772"/>
      <c r="GC77" s="772"/>
      <c r="GD77" s="772"/>
      <c r="GE77" s="772"/>
      <c r="GF77" s="772"/>
      <c r="GG77" s="772"/>
      <c r="GH77" s="772"/>
      <c r="GI77" s="772"/>
      <c r="GJ77" s="772"/>
      <c r="GK77" s="772"/>
      <c r="GL77" s="772"/>
      <c r="GM77" s="772"/>
      <c r="GN77" s="772"/>
      <c r="GO77" s="772"/>
      <c r="GP77" s="772"/>
      <c r="GQ77" s="772"/>
      <c r="GR77" s="772"/>
      <c r="GS77" s="772"/>
      <c r="GT77" s="772"/>
      <c r="GU77" s="772"/>
      <c r="GV77" s="772"/>
      <c r="GW77" s="772"/>
      <c r="GX77" s="772"/>
      <c r="GY77" s="772"/>
      <c r="GZ77" s="772"/>
      <c r="HA77" s="772"/>
      <c r="HB77" s="772"/>
      <c r="HC77" s="772"/>
      <c r="HD77" s="772"/>
      <c r="HE77" s="772"/>
      <c r="HF77" s="772"/>
      <c r="HG77" s="772"/>
      <c r="HH77" s="772"/>
      <c r="HI77" s="772"/>
      <c r="HJ77" s="772"/>
      <c r="HK77" s="772"/>
      <c r="HL77" s="772"/>
      <c r="HM77" s="772"/>
      <c r="HN77" s="772"/>
      <c r="HO77" s="772"/>
      <c r="HP77" s="772"/>
      <c r="HQ77" s="772"/>
      <c r="HR77" s="772"/>
      <c r="HS77" s="772"/>
      <c r="HT77" s="772"/>
      <c r="HU77" s="772"/>
      <c r="HV77" s="772"/>
      <c r="HW77" s="772"/>
      <c r="HX77" s="772"/>
      <c r="HY77" s="772"/>
      <c r="HZ77" s="772"/>
      <c r="IA77" s="772"/>
      <c r="IB77" s="772"/>
      <c r="IC77" s="772"/>
      <c r="ID77" s="772"/>
      <c r="IE77" s="772"/>
      <c r="IF77" s="772"/>
      <c r="IG77" s="772"/>
      <c r="IH77" s="772"/>
      <c r="II77" s="772"/>
      <c r="IJ77" s="772"/>
      <c r="IK77" s="772"/>
    </row>
    <row r="78" spans="1:245" s="765" customFormat="1" ht="20.100000000000001" customHeight="1" x14ac:dyDescent="0.25">
      <c r="A78" s="772"/>
      <c r="B78" s="783"/>
      <c r="C78" s="784"/>
      <c r="D78" s="784"/>
      <c r="E78" s="784"/>
      <c r="F78" s="784"/>
      <c r="G78" s="784"/>
      <c r="H78" s="772"/>
      <c r="I78" s="1664">
        <f t="shared" si="32"/>
        <v>54</v>
      </c>
      <c r="J78" s="1668">
        <f t="shared" si="47"/>
        <v>0</v>
      </c>
      <c r="K78" s="1666">
        <f t="shared" si="42"/>
        <v>0</v>
      </c>
      <c r="L78" s="1670">
        <f t="shared" si="52"/>
        <v>0</v>
      </c>
      <c r="M78" s="1668">
        <f t="shared" si="33"/>
        <v>0</v>
      </c>
      <c r="N78" s="772"/>
      <c r="O78" s="1664">
        <f t="shared" si="34"/>
        <v>54</v>
      </c>
      <c r="P78" s="1668">
        <f t="shared" si="48"/>
        <v>0</v>
      </c>
      <c r="Q78" s="1666">
        <f t="shared" si="43"/>
        <v>0</v>
      </c>
      <c r="R78" s="1670">
        <f t="shared" si="53"/>
        <v>0</v>
      </c>
      <c r="S78" s="1668">
        <f t="shared" si="35"/>
        <v>0</v>
      </c>
      <c r="T78" s="772"/>
      <c r="U78" s="1664">
        <f t="shared" si="36"/>
        <v>54</v>
      </c>
      <c r="V78" s="1668">
        <f t="shared" si="49"/>
        <v>0</v>
      </c>
      <c r="W78" s="1666">
        <f t="shared" si="44"/>
        <v>0</v>
      </c>
      <c r="X78" s="1670">
        <f t="shared" si="54"/>
        <v>0</v>
      </c>
      <c r="Y78" s="1668">
        <f t="shared" si="37"/>
        <v>0</v>
      </c>
      <c r="Z78" s="772"/>
      <c r="AA78" s="1664">
        <f t="shared" si="38"/>
        <v>54</v>
      </c>
      <c r="AB78" s="1668">
        <f t="shared" si="50"/>
        <v>0</v>
      </c>
      <c r="AC78" s="1666">
        <f t="shared" si="45"/>
        <v>0</v>
      </c>
      <c r="AD78" s="1670">
        <f t="shared" si="55"/>
        <v>0</v>
      </c>
      <c r="AE78" s="1668">
        <f t="shared" si="39"/>
        <v>0</v>
      </c>
      <c r="AF78" s="772"/>
      <c r="AG78" s="1664">
        <f t="shared" si="40"/>
        <v>54</v>
      </c>
      <c r="AH78" s="1668">
        <f t="shared" si="51"/>
        <v>0</v>
      </c>
      <c r="AI78" s="1666">
        <f t="shared" si="46"/>
        <v>0</v>
      </c>
      <c r="AJ78" s="1670">
        <f t="shared" si="56"/>
        <v>0</v>
      </c>
      <c r="AK78" s="1668">
        <f t="shared" si="41"/>
        <v>0</v>
      </c>
      <c r="AL78" s="772"/>
      <c r="AM78" s="772"/>
      <c r="AN78" s="772"/>
      <c r="AO78" s="772"/>
      <c r="AP78" s="772"/>
      <c r="AQ78" s="772"/>
      <c r="AR78" s="772"/>
      <c r="AS78" s="772"/>
      <c r="AT78" s="772"/>
      <c r="AU78" s="772"/>
      <c r="AV78" s="772"/>
      <c r="AW78" s="772"/>
      <c r="AX78" s="772"/>
      <c r="AY78" s="772"/>
      <c r="AZ78" s="772"/>
      <c r="BA78" s="772"/>
      <c r="BB78" s="772"/>
      <c r="BC78" s="772"/>
      <c r="BD78" s="772"/>
      <c r="BE78" s="772"/>
      <c r="BF78" s="772"/>
      <c r="BG78" s="772"/>
      <c r="BH78" s="772"/>
      <c r="BI78" s="772"/>
      <c r="BJ78" s="772"/>
      <c r="BK78" s="772"/>
      <c r="BL78" s="772"/>
      <c r="BM78" s="772"/>
      <c r="BN78" s="772"/>
      <c r="BO78" s="772"/>
      <c r="BP78" s="772"/>
      <c r="BQ78" s="772"/>
      <c r="BR78" s="772"/>
      <c r="BS78" s="772"/>
      <c r="BT78" s="772"/>
      <c r="BU78" s="772"/>
      <c r="BV78" s="772"/>
      <c r="BW78" s="772"/>
      <c r="BX78" s="772"/>
      <c r="BY78" s="772"/>
      <c r="BZ78" s="772"/>
      <c r="CA78" s="772"/>
      <c r="CB78" s="772"/>
      <c r="CC78" s="772"/>
      <c r="CD78" s="772"/>
      <c r="CE78" s="772"/>
      <c r="CF78" s="772"/>
      <c r="CG78" s="772"/>
      <c r="CH78" s="772"/>
      <c r="CI78" s="772"/>
      <c r="CJ78" s="772"/>
      <c r="CK78" s="772"/>
      <c r="CL78" s="772"/>
      <c r="CM78" s="772"/>
      <c r="CN78" s="772"/>
      <c r="CO78" s="772"/>
      <c r="CP78" s="772"/>
      <c r="CQ78" s="772"/>
      <c r="CR78" s="772"/>
      <c r="CS78" s="772"/>
      <c r="CT78" s="772"/>
      <c r="CU78" s="772"/>
      <c r="CV78" s="772"/>
      <c r="CW78" s="772"/>
      <c r="CX78" s="772"/>
      <c r="CY78" s="772"/>
      <c r="CZ78" s="772"/>
      <c r="DA78" s="772"/>
      <c r="DB78" s="772"/>
      <c r="DC78" s="772"/>
      <c r="DD78" s="772"/>
      <c r="DE78" s="772"/>
      <c r="DF78" s="772"/>
      <c r="DG78" s="772"/>
      <c r="DH78" s="772"/>
      <c r="DI78" s="772"/>
      <c r="DJ78" s="772"/>
      <c r="DK78" s="772"/>
      <c r="DL78" s="772"/>
      <c r="DM78" s="772"/>
      <c r="DN78" s="772"/>
      <c r="DO78" s="772"/>
      <c r="DP78" s="772"/>
      <c r="DQ78" s="772"/>
      <c r="DR78" s="772"/>
      <c r="DS78" s="772"/>
      <c r="DT78" s="772"/>
      <c r="DU78" s="772"/>
      <c r="DV78" s="772"/>
      <c r="DW78" s="772"/>
      <c r="DX78" s="772"/>
      <c r="DY78" s="772"/>
      <c r="DZ78" s="772"/>
      <c r="EA78" s="772"/>
      <c r="EB78" s="772"/>
      <c r="EC78" s="772"/>
      <c r="ED78" s="772"/>
      <c r="EE78" s="772"/>
      <c r="EF78" s="772"/>
      <c r="EG78" s="772"/>
      <c r="EH78" s="772"/>
      <c r="EI78" s="772"/>
      <c r="EJ78" s="772"/>
      <c r="EK78" s="772"/>
      <c r="EL78" s="772"/>
      <c r="EM78" s="772"/>
      <c r="EN78" s="772"/>
      <c r="EO78" s="772"/>
      <c r="EP78" s="772"/>
      <c r="EQ78" s="772"/>
      <c r="ER78" s="772"/>
      <c r="ES78" s="772"/>
      <c r="ET78" s="772"/>
      <c r="EU78" s="772"/>
      <c r="EV78" s="772"/>
      <c r="EW78" s="772"/>
      <c r="EX78" s="772"/>
      <c r="EY78" s="772"/>
      <c r="EZ78" s="772"/>
      <c r="FA78" s="772"/>
      <c r="FB78" s="772"/>
      <c r="FC78" s="772"/>
      <c r="FD78" s="772"/>
      <c r="FE78" s="772"/>
      <c r="FF78" s="772"/>
      <c r="FG78" s="772"/>
      <c r="FH78" s="772"/>
      <c r="FI78" s="772"/>
      <c r="FJ78" s="772"/>
      <c r="FK78" s="772"/>
      <c r="FL78" s="772"/>
      <c r="FM78" s="772"/>
      <c r="FN78" s="772"/>
      <c r="FO78" s="772"/>
      <c r="FP78" s="772"/>
      <c r="FQ78" s="772"/>
      <c r="FR78" s="772"/>
      <c r="FS78" s="772"/>
      <c r="FT78" s="772"/>
      <c r="FU78" s="772"/>
      <c r="FV78" s="772"/>
      <c r="FW78" s="772"/>
      <c r="FX78" s="772"/>
      <c r="FY78" s="772"/>
      <c r="FZ78" s="772"/>
      <c r="GA78" s="772"/>
      <c r="GB78" s="772"/>
      <c r="GC78" s="772"/>
      <c r="GD78" s="772"/>
      <c r="GE78" s="772"/>
      <c r="GF78" s="772"/>
      <c r="GG78" s="772"/>
      <c r="GH78" s="772"/>
      <c r="GI78" s="772"/>
      <c r="GJ78" s="772"/>
      <c r="GK78" s="772"/>
      <c r="GL78" s="772"/>
      <c r="GM78" s="772"/>
      <c r="GN78" s="772"/>
      <c r="GO78" s="772"/>
      <c r="GP78" s="772"/>
      <c r="GQ78" s="772"/>
      <c r="GR78" s="772"/>
      <c r="GS78" s="772"/>
      <c r="GT78" s="772"/>
      <c r="GU78" s="772"/>
      <c r="GV78" s="772"/>
      <c r="GW78" s="772"/>
      <c r="GX78" s="772"/>
      <c r="GY78" s="772"/>
      <c r="GZ78" s="772"/>
      <c r="HA78" s="772"/>
      <c r="HB78" s="772"/>
      <c r="HC78" s="772"/>
      <c r="HD78" s="772"/>
      <c r="HE78" s="772"/>
      <c r="HF78" s="772"/>
      <c r="HG78" s="772"/>
      <c r="HH78" s="772"/>
      <c r="HI78" s="772"/>
      <c r="HJ78" s="772"/>
      <c r="HK78" s="772"/>
      <c r="HL78" s="772"/>
      <c r="HM78" s="772"/>
      <c r="HN78" s="772"/>
      <c r="HO78" s="772"/>
      <c r="HP78" s="772"/>
      <c r="HQ78" s="772"/>
      <c r="HR78" s="772"/>
      <c r="HS78" s="772"/>
      <c r="HT78" s="772"/>
      <c r="HU78" s="772"/>
      <c r="HV78" s="772"/>
      <c r="HW78" s="772"/>
      <c r="HX78" s="772"/>
      <c r="HY78" s="772"/>
      <c r="HZ78" s="772"/>
      <c r="IA78" s="772"/>
      <c r="IB78" s="772"/>
      <c r="IC78" s="772"/>
      <c r="ID78" s="772"/>
      <c r="IE78" s="772"/>
      <c r="IF78" s="772"/>
      <c r="IG78" s="772"/>
      <c r="IH78" s="772"/>
      <c r="II78" s="772"/>
      <c r="IJ78" s="772"/>
      <c r="IK78" s="772"/>
    </row>
    <row r="79" spans="1:245" s="765" customFormat="1" ht="20.100000000000001" customHeight="1" x14ac:dyDescent="0.25">
      <c r="A79" s="772"/>
      <c r="B79" s="783"/>
      <c r="C79" s="784"/>
      <c r="D79" s="784"/>
      <c r="E79" s="784"/>
      <c r="F79" s="784"/>
      <c r="G79" s="784"/>
      <c r="H79" s="772"/>
      <c r="I79" s="1664">
        <f t="shared" si="32"/>
        <v>55</v>
      </c>
      <c r="J79" s="1668">
        <f t="shared" si="47"/>
        <v>0</v>
      </c>
      <c r="K79" s="1666">
        <f t="shared" si="42"/>
        <v>0</v>
      </c>
      <c r="L79" s="1670">
        <f t="shared" si="52"/>
        <v>0</v>
      </c>
      <c r="M79" s="1668">
        <f t="shared" si="33"/>
        <v>0</v>
      </c>
      <c r="N79" s="772"/>
      <c r="O79" s="1664">
        <f t="shared" si="34"/>
        <v>55</v>
      </c>
      <c r="P79" s="1668">
        <f t="shared" si="48"/>
        <v>0</v>
      </c>
      <c r="Q79" s="1666">
        <f t="shared" si="43"/>
        <v>0</v>
      </c>
      <c r="R79" s="1670">
        <f t="shared" si="53"/>
        <v>0</v>
      </c>
      <c r="S79" s="1668">
        <f t="shared" si="35"/>
        <v>0</v>
      </c>
      <c r="T79" s="772"/>
      <c r="U79" s="1664">
        <f t="shared" si="36"/>
        <v>55</v>
      </c>
      <c r="V79" s="1668">
        <f t="shared" si="49"/>
        <v>0</v>
      </c>
      <c r="W79" s="1666">
        <f t="shared" si="44"/>
        <v>0</v>
      </c>
      <c r="X79" s="1670">
        <f t="shared" si="54"/>
        <v>0</v>
      </c>
      <c r="Y79" s="1668">
        <f t="shared" si="37"/>
        <v>0</v>
      </c>
      <c r="Z79" s="772"/>
      <c r="AA79" s="1664">
        <f t="shared" si="38"/>
        <v>55</v>
      </c>
      <c r="AB79" s="1668">
        <f t="shared" si="50"/>
        <v>0</v>
      </c>
      <c r="AC79" s="1666">
        <f t="shared" si="45"/>
        <v>0</v>
      </c>
      <c r="AD79" s="1670">
        <f t="shared" si="55"/>
        <v>0</v>
      </c>
      <c r="AE79" s="1668">
        <f t="shared" si="39"/>
        <v>0</v>
      </c>
      <c r="AF79" s="772"/>
      <c r="AG79" s="1664">
        <f t="shared" si="40"/>
        <v>55</v>
      </c>
      <c r="AH79" s="1668">
        <f t="shared" si="51"/>
        <v>0</v>
      </c>
      <c r="AI79" s="1666">
        <f t="shared" si="46"/>
        <v>0</v>
      </c>
      <c r="AJ79" s="1670">
        <f t="shared" si="56"/>
        <v>0</v>
      </c>
      <c r="AK79" s="1668">
        <f t="shared" si="41"/>
        <v>0</v>
      </c>
      <c r="AL79" s="772"/>
      <c r="AM79" s="772"/>
      <c r="AN79" s="772"/>
      <c r="AO79" s="772"/>
      <c r="AP79" s="772"/>
      <c r="AQ79" s="772"/>
      <c r="AR79" s="772"/>
      <c r="AS79" s="772"/>
      <c r="AT79" s="772"/>
      <c r="AU79" s="772"/>
      <c r="AV79" s="772"/>
      <c r="AW79" s="772"/>
      <c r="AX79" s="772"/>
      <c r="AY79" s="772"/>
      <c r="AZ79" s="772"/>
      <c r="BA79" s="772"/>
      <c r="BB79" s="772"/>
      <c r="BC79" s="772"/>
      <c r="BD79" s="772"/>
      <c r="BE79" s="772"/>
      <c r="BF79" s="772"/>
      <c r="BG79" s="772"/>
      <c r="BH79" s="772"/>
      <c r="BI79" s="772"/>
      <c r="BJ79" s="772"/>
      <c r="BK79" s="772"/>
      <c r="BL79" s="772"/>
      <c r="BM79" s="772"/>
      <c r="BN79" s="772"/>
      <c r="BO79" s="772"/>
      <c r="BP79" s="772"/>
      <c r="BQ79" s="772"/>
      <c r="BR79" s="772"/>
      <c r="BS79" s="772"/>
      <c r="BT79" s="772"/>
      <c r="BU79" s="772"/>
      <c r="BV79" s="772"/>
      <c r="BW79" s="772"/>
      <c r="BX79" s="772"/>
      <c r="BY79" s="772"/>
      <c r="BZ79" s="772"/>
      <c r="CA79" s="772"/>
      <c r="CB79" s="772"/>
      <c r="CC79" s="772"/>
      <c r="CD79" s="772"/>
      <c r="CE79" s="772"/>
      <c r="CF79" s="772"/>
      <c r="CG79" s="772"/>
      <c r="CH79" s="772"/>
      <c r="CI79" s="772"/>
      <c r="CJ79" s="772"/>
      <c r="CK79" s="772"/>
      <c r="CL79" s="772"/>
      <c r="CM79" s="772"/>
      <c r="CN79" s="772"/>
      <c r="CO79" s="772"/>
      <c r="CP79" s="772"/>
      <c r="CQ79" s="772"/>
      <c r="CR79" s="772"/>
      <c r="CS79" s="772"/>
      <c r="CT79" s="772"/>
      <c r="CU79" s="772"/>
      <c r="CV79" s="772"/>
      <c r="CW79" s="772"/>
      <c r="CX79" s="772"/>
      <c r="CY79" s="772"/>
      <c r="CZ79" s="772"/>
      <c r="DA79" s="772"/>
      <c r="DB79" s="772"/>
      <c r="DC79" s="772"/>
      <c r="DD79" s="772"/>
      <c r="DE79" s="772"/>
      <c r="DF79" s="772"/>
      <c r="DG79" s="772"/>
      <c r="DH79" s="772"/>
      <c r="DI79" s="772"/>
      <c r="DJ79" s="772"/>
      <c r="DK79" s="772"/>
      <c r="DL79" s="772"/>
      <c r="DM79" s="772"/>
      <c r="DN79" s="772"/>
      <c r="DO79" s="772"/>
      <c r="DP79" s="772"/>
      <c r="DQ79" s="772"/>
      <c r="DR79" s="772"/>
      <c r="DS79" s="772"/>
      <c r="DT79" s="772"/>
      <c r="DU79" s="772"/>
      <c r="DV79" s="772"/>
      <c r="DW79" s="772"/>
      <c r="DX79" s="772"/>
      <c r="DY79" s="772"/>
      <c r="DZ79" s="772"/>
      <c r="EA79" s="772"/>
      <c r="EB79" s="772"/>
      <c r="EC79" s="772"/>
      <c r="ED79" s="772"/>
      <c r="EE79" s="772"/>
      <c r="EF79" s="772"/>
      <c r="EG79" s="772"/>
      <c r="EH79" s="772"/>
      <c r="EI79" s="772"/>
      <c r="EJ79" s="772"/>
      <c r="EK79" s="772"/>
      <c r="EL79" s="772"/>
      <c r="EM79" s="772"/>
      <c r="EN79" s="772"/>
      <c r="EO79" s="772"/>
      <c r="EP79" s="772"/>
      <c r="EQ79" s="772"/>
      <c r="ER79" s="772"/>
      <c r="ES79" s="772"/>
      <c r="ET79" s="772"/>
      <c r="EU79" s="772"/>
      <c r="EV79" s="772"/>
      <c r="EW79" s="772"/>
      <c r="EX79" s="772"/>
      <c r="EY79" s="772"/>
      <c r="EZ79" s="772"/>
      <c r="FA79" s="772"/>
      <c r="FB79" s="772"/>
      <c r="FC79" s="772"/>
      <c r="FD79" s="772"/>
      <c r="FE79" s="772"/>
      <c r="FF79" s="772"/>
      <c r="FG79" s="772"/>
      <c r="FH79" s="772"/>
      <c r="FI79" s="772"/>
      <c r="FJ79" s="772"/>
      <c r="FK79" s="772"/>
      <c r="FL79" s="772"/>
      <c r="FM79" s="772"/>
      <c r="FN79" s="772"/>
      <c r="FO79" s="772"/>
      <c r="FP79" s="772"/>
      <c r="FQ79" s="772"/>
      <c r="FR79" s="772"/>
      <c r="FS79" s="772"/>
      <c r="FT79" s="772"/>
      <c r="FU79" s="772"/>
      <c r="FV79" s="772"/>
      <c r="FW79" s="772"/>
      <c r="FX79" s="772"/>
      <c r="FY79" s="772"/>
      <c r="FZ79" s="772"/>
      <c r="GA79" s="772"/>
      <c r="GB79" s="772"/>
      <c r="GC79" s="772"/>
      <c r="GD79" s="772"/>
      <c r="GE79" s="772"/>
      <c r="GF79" s="772"/>
      <c r="GG79" s="772"/>
      <c r="GH79" s="772"/>
      <c r="GI79" s="772"/>
      <c r="GJ79" s="772"/>
      <c r="GK79" s="772"/>
      <c r="GL79" s="772"/>
      <c r="GM79" s="772"/>
      <c r="GN79" s="772"/>
      <c r="GO79" s="772"/>
      <c r="GP79" s="772"/>
      <c r="GQ79" s="772"/>
      <c r="GR79" s="772"/>
      <c r="GS79" s="772"/>
      <c r="GT79" s="772"/>
      <c r="GU79" s="772"/>
      <c r="GV79" s="772"/>
      <c r="GW79" s="772"/>
      <c r="GX79" s="772"/>
      <c r="GY79" s="772"/>
      <c r="GZ79" s="772"/>
      <c r="HA79" s="772"/>
      <c r="HB79" s="772"/>
      <c r="HC79" s="772"/>
      <c r="HD79" s="772"/>
      <c r="HE79" s="772"/>
      <c r="HF79" s="772"/>
      <c r="HG79" s="772"/>
      <c r="HH79" s="772"/>
      <c r="HI79" s="772"/>
      <c r="HJ79" s="772"/>
      <c r="HK79" s="772"/>
      <c r="HL79" s="772"/>
      <c r="HM79" s="772"/>
      <c r="HN79" s="772"/>
      <c r="HO79" s="772"/>
      <c r="HP79" s="772"/>
      <c r="HQ79" s="772"/>
      <c r="HR79" s="772"/>
      <c r="HS79" s="772"/>
      <c r="HT79" s="772"/>
      <c r="HU79" s="772"/>
      <c r="HV79" s="772"/>
      <c r="HW79" s="772"/>
      <c r="HX79" s="772"/>
      <c r="HY79" s="772"/>
      <c r="HZ79" s="772"/>
      <c r="IA79" s="772"/>
      <c r="IB79" s="772"/>
      <c r="IC79" s="772"/>
      <c r="ID79" s="772"/>
      <c r="IE79" s="772"/>
      <c r="IF79" s="772"/>
      <c r="IG79" s="772"/>
      <c r="IH79" s="772"/>
      <c r="II79" s="772"/>
      <c r="IJ79" s="772"/>
      <c r="IK79" s="772"/>
    </row>
    <row r="80" spans="1:245" s="765" customFormat="1" ht="20.100000000000001" customHeight="1" x14ac:dyDescent="0.25">
      <c r="A80" s="772"/>
      <c r="B80" s="783"/>
      <c r="C80" s="784"/>
      <c r="D80" s="784"/>
      <c r="E80" s="784"/>
      <c r="F80" s="784"/>
      <c r="G80" s="784"/>
      <c r="H80" s="772"/>
      <c r="I80" s="1664">
        <f t="shared" si="32"/>
        <v>56</v>
      </c>
      <c r="J80" s="1668">
        <f t="shared" si="47"/>
        <v>0</v>
      </c>
      <c r="K80" s="1666">
        <f t="shared" si="42"/>
        <v>0</v>
      </c>
      <c r="L80" s="1670">
        <f t="shared" si="52"/>
        <v>0</v>
      </c>
      <c r="M80" s="1668">
        <f t="shared" si="33"/>
        <v>0</v>
      </c>
      <c r="N80" s="772"/>
      <c r="O80" s="1664">
        <f t="shared" si="34"/>
        <v>56</v>
      </c>
      <c r="P80" s="1668">
        <f t="shared" si="48"/>
        <v>0</v>
      </c>
      <c r="Q80" s="1666">
        <f t="shared" si="43"/>
        <v>0</v>
      </c>
      <c r="R80" s="1670">
        <f t="shared" si="53"/>
        <v>0</v>
      </c>
      <c r="S80" s="1668">
        <f t="shared" si="35"/>
        <v>0</v>
      </c>
      <c r="T80" s="772"/>
      <c r="U80" s="1664">
        <f t="shared" si="36"/>
        <v>56</v>
      </c>
      <c r="V80" s="1668">
        <f t="shared" si="49"/>
        <v>0</v>
      </c>
      <c r="W80" s="1666">
        <f t="shared" si="44"/>
        <v>0</v>
      </c>
      <c r="X80" s="1670">
        <f t="shared" si="54"/>
        <v>0</v>
      </c>
      <c r="Y80" s="1668">
        <f t="shared" si="37"/>
        <v>0</v>
      </c>
      <c r="Z80" s="772"/>
      <c r="AA80" s="1664">
        <f t="shared" si="38"/>
        <v>56</v>
      </c>
      <c r="AB80" s="1668">
        <f t="shared" si="50"/>
        <v>0</v>
      </c>
      <c r="AC80" s="1666">
        <f t="shared" si="45"/>
        <v>0</v>
      </c>
      <c r="AD80" s="1670">
        <f t="shared" si="55"/>
        <v>0</v>
      </c>
      <c r="AE80" s="1668">
        <f t="shared" si="39"/>
        <v>0</v>
      </c>
      <c r="AF80" s="772"/>
      <c r="AG80" s="1664">
        <f t="shared" si="40"/>
        <v>56</v>
      </c>
      <c r="AH80" s="1668">
        <f t="shared" si="51"/>
        <v>0</v>
      </c>
      <c r="AI80" s="1666">
        <f t="shared" si="46"/>
        <v>0</v>
      </c>
      <c r="AJ80" s="1670">
        <f t="shared" si="56"/>
        <v>0</v>
      </c>
      <c r="AK80" s="1668">
        <f t="shared" si="41"/>
        <v>0</v>
      </c>
      <c r="AL80" s="772"/>
      <c r="AM80" s="772"/>
      <c r="AN80" s="772"/>
      <c r="AO80" s="772"/>
      <c r="AP80" s="772"/>
      <c r="AQ80" s="772"/>
      <c r="AR80" s="772"/>
      <c r="AS80" s="772"/>
      <c r="AT80" s="772"/>
      <c r="AU80" s="772"/>
      <c r="AV80" s="772"/>
      <c r="AW80" s="772"/>
      <c r="AX80" s="772"/>
      <c r="AY80" s="772"/>
      <c r="AZ80" s="772"/>
      <c r="BA80" s="772"/>
      <c r="BB80" s="772"/>
      <c r="BC80" s="772"/>
      <c r="BD80" s="772"/>
      <c r="BE80" s="772"/>
      <c r="BF80" s="772"/>
      <c r="BG80" s="772"/>
      <c r="BH80" s="772"/>
      <c r="BI80" s="772"/>
      <c r="BJ80" s="772"/>
      <c r="BK80" s="772"/>
      <c r="BL80" s="772"/>
      <c r="BM80" s="772"/>
      <c r="BN80" s="772"/>
      <c r="BO80" s="772"/>
      <c r="BP80" s="772"/>
      <c r="BQ80" s="772"/>
      <c r="BR80" s="772"/>
      <c r="BS80" s="772"/>
      <c r="BT80" s="772"/>
      <c r="BU80" s="772"/>
      <c r="BV80" s="772"/>
      <c r="BW80" s="772"/>
      <c r="BX80" s="772"/>
      <c r="BY80" s="772"/>
      <c r="BZ80" s="772"/>
      <c r="CA80" s="772"/>
      <c r="CB80" s="772"/>
      <c r="CC80" s="772"/>
      <c r="CD80" s="772"/>
      <c r="CE80" s="772"/>
      <c r="CF80" s="772"/>
      <c r="CG80" s="772"/>
      <c r="CH80" s="772"/>
      <c r="CI80" s="772"/>
      <c r="CJ80" s="772"/>
      <c r="CK80" s="772"/>
      <c r="CL80" s="772"/>
      <c r="CM80" s="772"/>
      <c r="CN80" s="772"/>
      <c r="CO80" s="772"/>
      <c r="CP80" s="772"/>
      <c r="CQ80" s="772"/>
      <c r="CR80" s="772"/>
      <c r="CS80" s="772"/>
      <c r="CT80" s="772"/>
      <c r="CU80" s="772"/>
      <c r="CV80" s="772"/>
      <c r="CW80" s="772"/>
      <c r="CX80" s="772"/>
      <c r="CY80" s="772"/>
      <c r="CZ80" s="772"/>
      <c r="DA80" s="772"/>
      <c r="DB80" s="772"/>
      <c r="DC80" s="772"/>
      <c r="DD80" s="772"/>
      <c r="DE80" s="772"/>
      <c r="DF80" s="772"/>
      <c r="DG80" s="772"/>
      <c r="DH80" s="772"/>
      <c r="DI80" s="772"/>
      <c r="DJ80" s="772"/>
      <c r="DK80" s="772"/>
      <c r="DL80" s="772"/>
      <c r="DM80" s="772"/>
      <c r="DN80" s="772"/>
      <c r="DO80" s="772"/>
      <c r="DP80" s="772"/>
      <c r="DQ80" s="772"/>
      <c r="DR80" s="772"/>
      <c r="DS80" s="772"/>
      <c r="DT80" s="772"/>
      <c r="DU80" s="772"/>
      <c r="DV80" s="772"/>
      <c r="DW80" s="772"/>
      <c r="DX80" s="772"/>
      <c r="DY80" s="772"/>
      <c r="DZ80" s="772"/>
      <c r="EA80" s="772"/>
      <c r="EB80" s="772"/>
      <c r="EC80" s="772"/>
      <c r="ED80" s="772"/>
      <c r="EE80" s="772"/>
      <c r="EF80" s="772"/>
      <c r="EG80" s="772"/>
      <c r="EH80" s="772"/>
      <c r="EI80" s="772"/>
      <c r="EJ80" s="772"/>
      <c r="EK80" s="772"/>
      <c r="EL80" s="772"/>
      <c r="EM80" s="772"/>
      <c r="EN80" s="772"/>
      <c r="EO80" s="772"/>
      <c r="EP80" s="772"/>
      <c r="EQ80" s="772"/>
      <c r="ER80" s="772"/>
      <c r="ES80" s="772"/>
      <c r="ET80" s="772"/>
      <c r="EU80" s="772"/>
      <c r="EV80" s="772"/>
      <c r="EW80" s="772"/>
      <c r="EX80" s="772"/>
      <c r="EY80" s="772"/>
      <c r="EZ80" s="772"/>
      <c r="FA80" s="772"/>
      <c r="FB80" s="772"/>
      <c r="FC80" s="772"/>
      <c r="FD80" s="772"/>
      <c r="FE80" s="772"/>
      <c r="FF80" s="772"/>
      <c r="FG80" s="772"/>
      <c r="FH80" s="772"/>
      <c r="FI80" s="772"/>
      <c r="FJ80" s="772"/>
      <c r="FK80" s="772"/>
      <c r="FL80" s="772"/>
      <c r="FM80" s="772"/>
      <c r="FN80" s="772"/>
      <c r="FO80" s="772"/>
      <c r="FP80" s="772"/>
      <c r="FQ80" s="772"/>
      <c r="FR80" s="772"/>
      <c r="FS80" s="772"/>
      <c r="FT80" s="772"/>
      <c r="FU80" s="772"/>
      <c r="FV80" s="772"/>
      <c r="FW80" s="772"/>
      <c r="FX80" s="772"/>
      <c r="FY80" s="772"/>
      <c r="FZ80" s="772"/>
      <c r="GA80" s="772"/>
      <c r="GB80" s="772"/>
      <c r="GC80" s="772"/>
      <c r="GD80" s="772"/>
      <c r="GE80" s="772"/>
      <c r="GF80" s="772"/>
      <c r="GG80" s="772"/>
      <c r="GH80" s="772"/>
      <c r="GI80" s="772"/>
      <c r="GJ80" s="772"/>
      <c r="GK80" s="772"/>
      <c r="GL80" s="772"/>
      <c r="GM80" s="772"/>
      <c r="GN80" s="772"/>
      <c r="GO80" s="772"/>
      <c r="GP80" s="772"/>
      <c r="GQ80" s="772"/>
      <c r="GR80" s="772"/>
      <c r="GS80" s="772"/>
      <c r="GT80" s="772"/>
      <c r="GU80" s="772"/>
      <c r="GV80" s="772"/>
      <c r="GW80" s="772"/>
      <c r="GX80" s="772"/>
      <c r="GY80" s="772"/>
      <c r="GZ80" s="772"/>
      <c r="HA80" s="772"/>
      <c r="HB80" s="772"/>
      <c r="HC80" s="772"/>
      <c r="HD80" s="772"/>
      <c r="HE80" s="772"/>
      <c r="HF80" s="772"/>
      <c r="HG80" s="772"/>
      <c r="HH80" s="772"/>
      <c r="HI80" s="772"/>
      <c r="HJ80" s="772"/>
      <c r="HK80" s="772"/>
      <c r="HL80" s="772"/>
      <c r="HM80" s="772"/>
      <c r="HN80" s="772"/>
      <c r="HO80" s="772"/>
      <c r="HP80" s="772"/>
      <c r="HQ80" s="772"/>
      <c r="HR80" s="772"/>
      <c r="HS80" s="772"/>
      <c r="HT80" s="772"/>
      <c r="HU80" s="772"/>
      <c r="HV80" s="772"/>
      <c r="HW80" s="772"/>
      <c r="HX80" s="772"/>
      <c r="HY80" s="772"/>
      <c r="HZ80" s="772"/>
      <c r="IA80" s="772"/>
      <c r="IB80" s="772"/>
      <c r="IC80" s="772"/>
      <c r="ID80" s="772"/>
      <c r="IE80" s="772"/>
      <c r="IF80" s="772"/>
      <c r="IG80" s="772"/>
      <c r="IH80" s="772"/>
      <c r="II80" s="772"/>
      <c r="IJ80" s="772"/>
      <c r="IK80" s="772"/>
    </row>
    <row r="81" spans="1:245" s="765" customFormat="1" ht="20.100000000000001" customHeight="1" x14ac:dyDescent="0.25">
      <c r="A81" s="772"/>
      <c r="B81" s="783"/>
      <c r="C81" s="784"/>
      <c r="D81" s="784"/>
      <c r="E81" s="784"/>
      <c r="F81" s="784"/>
      <c r="G81" s="784"/>
      <c r="H81" s="772"/>
      <c r="I81" s="1664">
        <f t="shared" si="32"/>
        <v>57</v>
      </c>
      <c r="J81" s="1668">
        <f t="shared" si="47"/>
        <v>0</v>
      </c>
      <c r="K81" s="1666">
        <f t="shared" si="42"/>
        <v>0</v>
      </c>
      <c r="L81" s="1670">
        <f t="shared" si="52"/>
        <v>0</v>
      </c>
      <c r="M81" s="1668">
        <f t="shared" si="33"/>
        <v>0</v>
      </c>
      <c r="N81" s="772"/>
      <c r="O81" s="1664">
        <f t="shared" si="34"/>
        <v>57</v>
      </c>
      <c r="P81" s="1668">
        <f t="shared" si="48"/>
        <v>0</v>
      </c>
      <c r="Q81" s="1666">
        <f t="shared" si="43"/>
        <v>0</v>
      </c>
      <c r="R81" s="1670">
        <f t="shared" si="53"/>
        <v>0</v>
      </c>
      <c r="S81" s="1668">
        <f t="shared" si="35"/>
        <v>0</v>
      </c>
      <c r="T81" s="772"/>
      <c r="U81" s="1664">
        <f t="shared" si="36"/>
        <v>57</v>
      </c>
      <c r="V81" s="1668">
        <f t="shared" si="49"/>
        <v>0</v>
      </c>
      <c r="W81" s="1666">
        <f t="shared" si="44"/>
        <v>0</v>
      </c>
      <c r="X81" s="1670">
        <f t="shared" si="54"/>
        <v>0</v>
      </c>
      <c r="Y81" s="1668">
        <f t="shared" si="37"/>
        <v>0</v>
      </c>
      <c r="Z81" s="772"/>
      <c r="AA81" s="1664">
        <f t="shared" si="38"/>
        <v>57</v>
      </c>
      <c r="AB81" s="1668">
        <f t="shared" si="50"/>
        <v>0</v>
      </c>
      <c r="AC81" s="1666">
        <f t="shared" si="45"/>
        <v>0</v>
      </c>
      <c r="AD81" s="1670">
        <f t="shared" si="55"/>
        <v>0</v>
      </c>
      <c r="AE81" s="1668">
        <f t="shared" si="39"/>
        <v>0</v>
      </c>
      <c r="AF81" s="772"/>
      <c r="AG81" s="1664">
        <f t="shared" si="40"/>
        <v>57</v>
      </c>
      <c r="AH81" s="1668">
        <f t="shared" si="51"/>
        <v>0</v>
      </c>
      <c r="AI81" s="1666">
        <f t="shared" si="46"/>
        <v>0</v>
      </c>
      <c r="AJ81" s="1670">
        <f t="shared" si="56"/>
        <v>0</v>
      </c>
      <c r="AK81" s="1668">
        <f t="shared" si="41"/>
        <v>0</v>
      </c>
      <c r="AL81" s="772"/>
      <c r="AM81" s="772"/>
      <c r="AN81" s="772"/>
      <c r="AO81" s="772"/>
      <c r="AP81" s="772"/>
      <c r="AQ81" s="772"/>
      <c r="AR81" s="772"/>
      <c r="AS81" s="772"/>
      <c r="AT81" s="772"/>
      <c r="AU81" s="772"/>
      <c r="AV81" s="772"/>
      <c r="AW81" s="772"/>
      <c r="AX81" s="772"/>
      <c r="AY81" s="772"/>
      <c r="AZ81" s="772"/>
      <c r="BA81" s="772"/>
      <c r="BB81" s="772"/>
      <c r="BC81" s="772"/>
      <c r="BD81" s="772"/>
      <c r="BE81" s="772"/>
      <c r="BF81" s="772"/>
      <c r="BG81" s="772"/>
      <c r="BH81" s="772"/>
      <c r="BI81" s="772"/>
      <c r="BJ81" s="772"/>
      <c r="BK81" s="772"/>
      <c r="BL81" s="772"/>
      <c r="BM81" s="772"/>
      <c r="BN81" s="772"/>
      <c r="BO81" s="772"/>
      <c r="BP81" s="772"/>
      <c r="BQ81" s="772"/>
      <c r="BR81" s="772"/>
      <c r="BS81" s="772"/>
      <c r="BT81" s="772"/>
      <c r="BU81" s="772"/>
      <c r="BV81" s="772"/>
      <c r="BW81" s="772"/>
      <c r="BX81" s="772"/>
      <c r="BY81" s="772"/>
      <c r="BZ81" s="772"/>
      <c r="CA81" s="772"/>
      <c r="CB81" s="772"/>
      <c r="CC81" s="772"/>
      <c r="CD81" s="772"/>
      <c r="CE81" s="772"/>
      <c r="CF81" s="772"/>
      <c r="CG81" s="772"/>
      <c r="CH81" s="772"/>
      <c r="CI81" s="772"/>
      <c r="CJ81" s="772"/>
      <c r="CK81" s="772"/>
      <c r="CL81" s="772"/>
      <c r="CM81" s="772"/>
      <c r="CN81" s="772"/>
      <c r="CO81" s="772"/>
      <c r="CP81" s="772"/>
      <c r="CQ81" s="772"/>
      <c r="CR81" s="772"/>
      <c r="CS81" s="772"/>
      <c r="CT81" s="772"/>
      <c r="CU81" s="772"/>
      <c r="CV81" s="772"/>
      <c r="CW81" s="772"/>
      <c r="CX81" s="772"/>
      <c r="CY81" s="772"/>
      <c r="CZ81" s="772"/>
      <c r="DA81" s="772"/>
      <c r="DB81" s="772"/>
      <c r="DC81" s="772"/>
      <c r="DD81" s="772"/>
      <c r="DE81" s="772"/>
      <c r="DF81" s="772"/>
      <c r="DG81" s="772"/>
      <c r="DH81" s="772"/>
      <c r="DI81" s="772"/>
      <c r="DJ81" s="772"/>
      <c r="DK81" s="772"/>
      <c r="DL81" s="772"/>
      <c r="DM81" s="772"/>
      <c r="DN81" s="772"/>
      <c r="DO81" s="772"/>
      <c r="DP81" s="772"/>
      <c r="DQ81" s="772"/>
      <c r="DR81" s="772"/>
      <c r="DS81" s="772"/>
      <c r="DT81" s="772"/>
      <c r="DU81" s="772"/>
      <c r="DV81" s="772"/>
      <c r="DW81" s="772"/>
      <c r="DX81" s="772"/>
      <c r="DY81" s="772"/>
      <c r="DZ81" s="772"/>
      <c r="EA81" s="772"/>
      <c r="EB81" s="772"/>
      <c r="EC81" s="772"/>
      <c r="ED81" s="772"/>
      <c r="EE81" s="772"/>
      <c r="EF81" s="772"/>
      <c r="EG81" s="772"/>
      <c r="EH81" s="772"/>
      <c r="EI81" s="772"/>
      <c r="EJ81" s="772"/>
      <c r="EK81" s="772"/>
      <c r="EL81" s="772"/>
      <c r="EM81" s="772"/>
      <c r="EN81" s="772"/>
      <c r="EO81" s="772"/>
      <c r="EP81" s="772"/>
      <c r="EQ81" s="772"/>
      <c r="ER81" s="772"/>
      <c r="ES81" s="772"/>
      <c r="ET81" s="772"/>
      <c r="EU81" s="772"/>
      <c r="EV81" s="772"/>
      <c r="EW81" s="772"/>
      <c r="EX81" s="772"/>
      <c r="EY81" s="772"/>
      <c r="EZ81" s="772"/>
      <c r="FA81" s="772"/>
      <c r="FB81" s="772"/>
      <c r="FC81" s="772"/>
      <c r="FD81" s="772"/>
      <c r="FE81" s="772"/>
      <c r="FF81" s="772"/>
      <c r="FG81" s="772"/>
      <c r="FH81" s="772"/>
      <c r="FI81" s="772"/>
      <c r="FJ81" s="772"/>
      <c r="FK81" s="772"/>
      <c r="FL81" s="772"/>
      <c r="FM81" s="772"/>
      <c r="FN81" s="772"/>
      <c r="FO81" s="772"/>
      <c r="FP81" s="772"/>
      <c r="FQ81" s="772"/>
      <c r="FR81" s="772"/>
      <c r="FS81" s="772"/>
      <c r="FT81" s="772"/>
      <c r="FU81" s="772"/>
      <c r="FV81" s="772"/>
      <c r="FW81" s="772"/>
      <c r="FX81" s="772"/>
      <c r="FY81" s="772"/>
      <c r="FZ81" s="772"/>
      <c r="GA81" s="772"/>
      <c r="GB81" s="772"/>
      <c r="GC81" s="772"/>
      <c r="GD81" s="772"/>
      <c r="GE81" s="772"/>
      <c r="GF81" s="772"/>
      <c r="GG81" s="772"/>
      <c r="GH81" s="772"/>
      <c r="GI81" s="772"/>
      <c r="GJ81" s="772"/>
      <c r="GK81" s="772"/>
      <c r="GL81" s="772"/>
      <c r="GM81" s="772"/>
      <c r="GN81" s="772"/>
      <c r="GO81" s="772"/>
      <c r="GP81" s="772"/>
      <c r="GQ81" s="772"/>
      <c r="GR81" s="772"/>
      <c r="GS81" s="772"/>
      <c r="GT81" s="772"/>
      <c r="GU81" s="772"/>
      <c r="GV81" s="772"/>
      <c r="GW81" s="772"/>
      <c r="GX81" s="772"/>
      <c r="GY81" s="772"/>
      <c r="GZ81" s="772"/>
      <c r="HA81" s="772"/>
      <c r="HB81" s="772"/>
      <c r="HC81" s="772"/>
      <c r="HD81" s="772"/>
      <c r="HE81" s="772"/>
      <c r="HF81" s="772"/>
      <c r="HG81" s="772"/>
      <c r="HH81" s="772"/>
      <c r="HI81" s="772"/>
      <c r="HJ81" s="772"/>
      <c r="HK81" s="772"/>
      <c r="HL81" s="772"/>
      <c r="HM81" s="772"/>
      <c r="HN81" s="772"/>
      <c r="HO81" s="772"/>
      <c r="HP81" s="772"/>
      <c r="HQ81" s="772"/>
      <c r="HR81" s="772"/>
      <c r="HS81" s="772"/>
      <c r="HT81" s="772"/>
      <c r="HU81" s="772"/>
      <c r="HV81" s="772"/>
      <c r="HW81" s="772"/>
      <c r="HX81" s="772"/>
      <c r="HY81" s="772"/>
      <c r="HZ81" s="772"/>
      <c r="IA81" s="772"/>
      <c r="IB81" s="772"/>
      <c r="IC81" s="772"/>
      <c r="ID81" s="772"/>
      <c r="IE81" s="772"/>
      <c r="IF81" s="772"/>
      <c r="IG81" s="772"/>
      <c r="IH81" s="772"/>
      <c r="II81" s="772"/>
      <c r="IJ81" s="772"/>
      <c r="IK81" s="772"/>
    </row>
    <row r="82" spans="1:245" s="765" customFormat="1" ht="20.100000000000001" customHeight="1" x14ac:dyDescent="0.25">
      <c r="A82" s="772"/>
      <c r="B82" s="783"/>
      <c r="C82" s="784"/>
      <c r="D82" s="784"/>
      <c r="E82" s="784"/>
      <c r="F82" s="784"/>
      <c r="G82" s="784"/>
      <c r="H82" s="772"/>
      <c r="I82" s="1664">
        <f t="shared" si="32"/>
        <v>58</v>
      </c>
      <c r="J82" s="1668">
        <f t="shared" si="47"/>
        <v>0</v>
      </c>
      <c r="K82" s="1666">
        <f t="shared" si="42"/>
        <v>0</v>
      </c>
      <c r="L82" s="1670">
        <f t="shared" si="52"/>
        <v>0</v>
      </c>
      <c r="M82" s="1668">
        <f t="shared" si="33"/>
        <v>0</v>
      </c>
      <c r="N82" s="772"/>
      <c r="O82" s="1664">
        <f t="shared" si="34"/>
        <v>58</v>
      </c>
      <c r="P82" s="1668">
        <f t="shared" si="48"/>
        <v>0</v>
      </c>
      <c r="Q82" s="1666">
        <f t="shared" si="43"/>
        <v>0</v>
      </c>
      <c r="R82" s="1670">
        <f t="shared" si="53"/>
        <v>0</v>
      </c>
      <c r="S82" s="1668">
        <f t="shared" si="35"/>
        <v>0</v>
      </c>
      <c r="T82" s="772"/>
      <c r="U82" s="1664">
        <f t="shared" si="36"/>
        <v>58</v>
      </c>
      <c r="V82" s="1668">
        <f t="shared" si="49"/>
        <v>0</v>
      </c>
      <c r="W82" s="1666">
        <f t="shared" si="44"/>
        <v>0</v>
      </c>
      <c r="X82" s="1670">
        <f t="shared" si="54"/>
        <v>0</v>
      </c>
      <c r="Y82" s="1668">
        <f t="shared" si="37"/>
        <v>0</v>
      </c>
      <c r="Z82" s="772"/>
      <c r="AA82" s="1664">
        <f t="shared" si="38"/>
        <v>58</v>
      </c>
      <c r="AB82" s="1668">
        <f t="shared" si="50"/>
        <v>0</v>
      </c>
      <c r="AC82" s="1666">
        <f t="shared" si="45"/>
        <v>0</v>
      </c>
      <c r="AD82" s="1670">
        <f t="shared" si="55"/>
        <v>0</v>
      </c>
      <c r="AE82" s="1668">
        <f t="shared" si="39"/>
        <v>0</v>
      </c>
      <c r="AF82" s="772"/>
      <c r="AG82" s="1664">
        <f t="shared" si="40"/>
        <v>58</v>
      </c>
      <c r="AH82" s="1668">
        <f t="shared" si="51"/>
        <v>0</v>
      </c>
      <c r="AI82" s="1666">
        <f t="shared" si="46"/>
        <v>0</v>
      </c>
      <c r="AJ82" s="1670">
        <f t="shared" si="56"/>
        <v>0</v>
      </c>
      <c r="AK82" s="1668">
        <f t="shared" si="41"/>
        <v>0</v>
      </c>
      <c r="AL82" s="772"/>
      <c r="AM82" s="772"/>
      <c r="AN82" s="772"/>
      <c r="AO82" s="772"/>
      <c r="AP82" s="772"/>
      <c r="AQ82" s="772"/>
      <c r="AR82" s="772"/>
      <c r="AS82" s="772"/>
      <c r="AT82" s="772"/>
      <c r="AU82" s="772"/>
      <c r="AV82" s="772"/>
      <c r="AW82" s="772"/>
      <c r="AX82" s="772"/>
      <c r="AY82" s="772"/>
      <c r="AZ82" s="772"/>
      <c r="BA82" s="772"/>
      <c r="BB82" s="772"/>
      <c r="BC82" s="772"/>
      <c r="BD82" s="772"/>
      <c r="BE82" s="772"/>
      <c r="BF82" s="772"/>
      <c r="BG82" s="772"/>
      <c r="BH82" s="772"/>
      <c r="BI82" s="772"/>
      <c r="BJ82" s="772"/>
      <c r="BK82" s="772"/>
      <c r="BL82" s="772"/>
      <c r="BM82" s="772"/>
      <c r="BN82" s="772"/>
      <c r="BO82" s="772"/>
      <c r="BP82" s="772"/>
      <c r="BQ82" s="772"/>
      <c r="BR82" s="772"/>
      <c r="BS82" s="772"/>
      <c r="BT82" s="772"/>
      <c r="BU82" s="772"/>
      <c r="BV82" s="772"/>
      <c r="BW82" s="772"/>
      <c r="BX82" s="772"/>
      <c r="BY82" s="772"/>
      <c r="BZ82" s="772"/>
      <c r="CA82" s="772"/>
      <c r="CB82" s="772"/>
      <c r="CC82" s="772"/>
      <c r="CD82" s="772"/>
      <c r="CE82" s="772"/>
      <c r="CF82" s="772"/>
      <c r="CG82" s="772"/>
      <c r="CH82" s="772"/>
      <c r="CI82" s="772"/>
      <c r="CJ82" s="772"/>
      <c r="CK82" s="772"/>
      <c r="CL82" s="772"/>
      <c r="CM82" s="772"/>
      <c r="CN82" s="772"/>
      <c r="CO82" s="772"/>
      <c r="CP82" s="772"/>
      <c r="CQ82" s="772"/>
      <c r="CR82" s="772"/>
      <c r="CS82" s="772"/>
      <c r="CT82" s="772"/>
      <c r="CU82" s="772"/>
      <c r="CV82" s="772"/>
      <c r="CW82" s="772"/>
      <c r="CX82" s="772"/>
      <c r="CY82" s="772"/>
      <c r="CZ82" s="772"/>
      <c r="DA82" s="772"/>
      <c r="DB82" s="772"/>
      <c r="DC82" s="772"/>
      <c r="DD82" s="772"/>
      <c r="DE82" s="772"/>
      <c r="DF82" s="772"/>
      <c r="DG82" s="772"/>
      <c r="DH82" s="772"/>
      <c r="DI82" s="772"/>
      <c r="DJ82" s="772"/>
      <c r="DK82" s="772"/>
      <c r="DL82" s="772"/>
      <c r="DM82" s="772"/>
      <c r="DN82" s="772"/>
      <c r="DO82" s="772"/>
      <c r="DP82" s="772"/>
      <c r="DQ82" s="772"/>
      <c r="DR82" s="772"/>
      <c r="DS82" s="772"/>
      <c r="DT82" s="772"/>
      <c r="DU82" s="772"/>
      <c r="DV82" s="772"/>
      <c r="DW82" s="772"/>
      <c r="DX82" s="772"/>
      <c r="DY82" s="772"/>
      <c r="DZ82" s="772"/>
      <c r="EA82" s="772"/>
      <c r="EB82" s="772"/>
      <c r="EC82" s="772"/>
      <c r="ED82" s="772"/>
      <c r="EE82" s="772"/>
      <c r="EF82" s="772"/>
      <c r="EG82" s="772"/>
      <c r="EH82" s="772"/>
      <c r="EI82" s="772"/>
      <c r="EJ82" s="772"/>
      <c r="EK82" s="772"/>
      <c r="EL82" s="772"/>
      <c r="EM82" s="772"/>
      <c r="EN82" s="772"/>
      <c r="EO82" s="772"/>
      <c r="EP82" s="772"/>
      <c r="EQ82" s="772"/>
      <c r="ER82" s="772"/>
      <c r="ES82" s="772"/>
      <c r="ET82" s="772"/>
      <c r="EU82" s="772"/>
      <c r="EV82" s="772"/>
      <c r="EW82" s="772"/>
      <c r="EX82" s="772"/>
      <c r="EY82" s="772"/>
      <c r="EZ82" s="772"/>
      <c r="FA82" s="772"/>
      <c r="FB82" s="772"/>
      <c r="FC82" s="772"/>
      <c r="FD82" s="772"/>
      <c r="FE82" s="772"/>
      <c r="FF82" s="772"/>
      <c r="FG82" s="772"/>
      <c r="FH82" s="772"/>
      <c r="FI82" s="772"/>
      <c r="FJ82" s="772"/>
      <c r="FK82" s="772"/>
      <c r="FL82" s="772"/>
      <c r="FM82" s="772"/>
      <c r="FN82" s="772"/>
      <c r="FO82" s="772"/>
      <c r="FP82" s="772"/>
      <c r="FQ82" s="772"/>
      <c r="FR82" s="772"/>
      <c r="FS82" s="772"/>
      <c r="FT82" s="772"/>
      <c r="FU82" s="772"/>
      <c r="FV82" s="772"/>
      <c r="FW82" s="772"/>
      <c r="FX82" s="772"/>
      <c r="FY82" s="772"/>
      <c r="FZ82" s="772"/>
      <c r="GA82" s="772"/>
      <c r="GB82" s="772"/>
      <c r="GC82" s="772"/>
      <c r="GD82" s="772"/>
      <c r="GE82" s="772"/>
      <c r="GF82" s="772"/>
      <c r="GG82" s="772"/>
      <c r="GH82" s="772"/>
      <c r="GI82" s="772"/>
      <c r="GJ82" s="772"/>
      <c r="GK82" s="772"/>
      <c r="GL82" s="772"/>
      <c r="GM82" s="772"/>
      <c r="GN82" s="772"/>
      <c r="GO82" s="772"/>
      <c r="GP82" s="772"/>
      <c r="GQ82" s="772"/>
      <c r="GR82" s="772"/>
      <c r="GS82" s="772"/>
      <c r="GT82" s="772"/>
      <c r="GU82" s="772"/>
      <c r="GV82" s="772"/>
      <c r="GW82" s="772"/>
      <c r="GX82" s="772"/>
      <c r="GY82" s="772"/>
      <c r="GZ82" s="772"/>
      <c r="HA82" s="772"/>
      <c r="HB82" s="772"/>
      <c r="HC82" s="772"/>
      <c r="HD82" s="772"/>
      <c r="HE82" s="772"/>
      <c r="HF82" s="772"/>
      <c r="HG82" s="772"/>
      <c r="HH82" s="772"/>
      <c r="HI82" s="772"/>
      <c r="HJ82" s="772"/>
      <c r="HK82" s="772"/>
      <c r="HL82" s="772"/>
      <c r="HM82" s="772"/>
      <c r="HN82" s="772"/>
      <c r="HO82" s="772"/>
      <c r="HP82" s="772"/>
      <c r="HQ82" s="772"/>
      <c r="HR82" s="772"/>
      <c r="HS82" s="772"/>
      <c r="HT82" s="772"/>
      <c r="HU82" s="772"/>
      <c r="HV82" s="772"/>
      <c r="HW82" s="772"/>
      <c r="HX82" s="772"/>
      <c r="HY82" s="772"/>
      <c r="HZ82" s="772"/>
      <c r="IA82" s="772"/>
      <c r="IB82" s="772"/>
      <c r="IC82" s="772"/>
      <c r="ID82" s="772"/>
      <c r="IE82" s="772"/>
      <c r="IF82" s="772"/>
      <c r="IG82" s="772"/>
      <c r="IH82" s="772"/>
      <c r="II82" s="772"/>
      <c r="IJ82" s="772"/>
      <c r="IK82" s="772"/>
    </row>
    <row r="83" spans="1:245" s="765" customFormat="1" ht="20.100000000000001" customHeight="1" x14ac:dyDescent="0.25">
      <c r="A83" s="772"/>
      <c r="B83" s="783"/>
      <c r="C83" s="784"/>
      <c r="D83" s="784"/>
      <c r="E83" s="784"/>
      <c r="F83" s="784"/>
      <c r="G83" s="784"/>
      <c r="H83" s="772"/>
      <c r="I83" s="1664">
        <f t="shared" si="32"/>
        <v>59</v>
      </c>
      <c r="J83" s="1668">
        <f t="shared" si="47"/>
        <v>0</v>
      </c>
      <c r="K83" s="1666">
        <f t="shared" si="42"/>
        <v>0</v>
      </c>
      <c r="L83" s="1670">
        <f t="shared" si="52"/>
        <v>0</v>
      </c>
      <c r="M83" s="1668">
        <f t="shared" si="33"/>
        <v>0</v>
      </c>
      <c r="N83" s="772"/>
      <c r="O83" s="1664">
        <f t="shared" si="34"/>
        <v>59</v>
      </c>
      <c r="P83" s="1668">
        <f t="shared" si="48"/>
        <v>0</v>
      </c>
      <c r="Q83" s="1666">
        <f t="shared" si="43"/>
        <v>0</v>
      </c>
      <c r="R83" s="1670">
        <f t="shared" si="53"/>
        <v>0</v>
      </c>
      <c r="S83" s="1668">
        <f t="shared" si="35"/>
        <v>0</v>
      </c>
      <c r="T83" s="772"/>
      <c r="U83" s="1664">
        <f t="shared" si="36"/>
        <v>59</v>
      </c>
      <c r="V83" s="1668">
        <f t="shared" si="49"/>
        <v>0</v>
      </c>
      <c r="W83" s="1666">
        <f t="shared" si="44"/>
        <v>0</v>
      </c>
      <c r="X83" s="1670">
        <f t="shared" si="54"/>
        <v>0</v>
      </c>
      <c r="Y83" s="1668">
        <f t="shared" si="37"/>
        <v>0</v>
      </c>
      <c r="Z83" s="772"/>
      <c r="AA83" s="1664">
        <f t="shared" si="38"/>
        <v>59</v>
      </c>
      <c r="AB83" s="1668">
        <f t="shared" si="50"/>
        <v>0</v>
      </c>
      <c r="AC83" s="1666">
        <f t="shared" si="45"/>
        <v>0</v>
      </c>
      <c r="AD83" s="1670">
        <f t="shared" si="55"/>
        <v>0</v>
      </c>
      <c r="AE83" s="1668">
        <f t="shared" si="39"/>
        <v>0</v>
      </c>
      <c r="AF83" s="772"/>
      <c r="AG83" s="1664">
        <f t="shared" si="40"/>
        <v>59</v>
      </c>
      <c r="AH83" s="1668">
        <f t="shared" si="51"/>
        <v>0</v>
      </c>
      <c r="AI83" s="1666">
        <f t="shared" si="46"/>
        <v>0</v>
      </c>
      <c r="AJ83" s="1670">
        <f t="shared" si="56"/>
        <v>0</v>
      </c>
      <c r="AK83" s="1668">
        <f t="shared" si="41"/>
        <v>0</v>
      </c>
      <c r="AL83" s="772"/>
      <c r="AM83" s="772"/>
      <c r="AN83" s="772"/>
      <c r="AO83" s="772"/>
      <c r="AP83" s="772"/>
      <c r="AQ83" s="772"/>
      <c r="AR83" s="772"/>
      <c r="AS83" s="772"/>
      <c r="AT83" s="772"/>
      <c r="AU83" s="772"/>
      <c r="AV83" s="772"/>
      <c r="AW83" s="772"/>
      <c r="AX83" s="772"/>
      <c r="AY83" s="772"/>
      <c r="AZ83" s="772"/>
      <c r="BA83" s="772"/>
      <c r="BB83" s="772"/>
      <c r="BC83" s="772"/>
      <c r="BD83" s="772"/>
      <c r="BE83" s="772"/>
      <c r="BF83" s="772"/>
      <c r="BG83" s="772"/>
      <c r="BH83" s="772"/>
      <c r="BI83" s="772"/>
      <c r="BJ83" s="772"/>
      <c r="BK83" s="772"/>
      <c r="BL83" s="772"/>
      <c r="BM83" s="772"/>
      <c r="BN83" s="772"/>
      <c r="BO83" s="772"/>
      <c r="BP83" s="772"/>
      <c r="BQ83" s="772"/>
      <c r="BR83" s="772"/>
      <c r="BS83" s="772"/>
      <c r="BT83" s="772"/>
      <c r="BU83" s="772"/>
      <c r="BV83" s="772"/>
      <c r="BW83" s="772"/>
      <c r="BX83" s="772"/>
      <c r="BY83" s="772"/>
      <c r="BZ83" s="772"/>
      <c r="CA83" s="772"/>
      <c r="CB83" s="772"/>
      <c r="CC83" s="772"/>
      <c r="CD83" s="772"/>
      <c r="CE83" s="772"/>
      <c r="CF83" s="772"/>
      <c r="CG83" s="772"/>
      <c r="CH83" s="772"/>
      <c r="CI83" s="772"/>
      <c r="CJ83" s="772"/>
      <c r="CK83" s="772"/>
      <c r="CL83" s="772"/>
      <c r="CM83" s="772"/>
      <c r="CN83" s="772"/>
      <c r="CO83" s="772"/>
      <c r="CP83" s="772"/>
      <c r="CQ83" s="772"/>
      <c r="CR83" s="772"/>
      <c r="CS83" s="772"/>
      <c r="CT83" s="772"/>
      <c r="CU83" s="772"/>
      <c r="CV83" s="772"/>
      <c r="CW83" s="772"/>
      <c r="CX83" s="772"/>
      <c r="CY83" s="772"/>
      <c r="CZ83" s="772"/>
      <c r="DA83" s="772"/>
      <c r="DB83" s="772"/>
      <c r="DC83" s="772"/>
      <c r="DD83" s="772"/>
      <c r="DE83" s="772"/>
      <c r="DF83" s="772"/>
      <c r="DG83" s="772"/>
      <c r="DH83" s="772"/>
      <c r="DI83" s="772"/>
      <c r="DJ83" s="772"/>
      <c r="DK83" s="772"/>
      <c r="DL83" s="772"/>
      <c r="DM83" s="772"/>
      <c r="DN83" s="772"/>
      <c r="DO83" s="772"/>
      <c r="DP83" s="772"/>
      <c r="DQ83" s="772"/>
      <c r="DR83" s="772"/>
      <c r="DS83" s="772"/>
      <c r="DT83" s="772"/>
      <c r="DU83" s="772"/>
      <c r="DV83" s="772"/>
      <c r="DW83" s="772"/>
      <c r="DX83" s="772"/>
      <c r="DY83" s="772"/>
      <c r="DZ83" s="772"/>
      <c r="EA83" s="772"/>
      <c r="EB83" s="772"/>
      <c r="EC83" s="772"/>
      <c r="ED83" s="772"/>
      <c r="EE83" s="772"/>
      <c r="EF83" s="772"/>
      <c r="EG83" s="772"/>
      <c r="EH83" s="772"/>
      <c r="EI83" s="772"/>
      <c r="EJ83" s="772"/>
      <c r="EK83" s="772"/>
      <c r="EL83" s="772"/>
      <c r="EM83" s="772"/>
      <c r="EN83" s="772"/>
      <c r="EO83" s="772"/>
      <c r="EP83" s="772"/>
      <c r="EQ83" s="772"/>
      <c r="ER83" s="772"/>
      <c r="ES83" s="772"/>
      <c r="ET83" s="772"/>
      <c r="EU83" s="772"/>
      <c r="EV83" s="772"/>
      <c r="EW83" s="772"/>
      <c r="EX83" s="772"/>
      <c r="EY83" s="772"/>
      <c r="EZ83" s="772"/>
      <c r="FA83" s="772"/>
      <c r="FB83" s="772"/>
      <c r="FC83" s="772"/>
      <c r="FD83" s="772"/>
      <c r="FE83" s="772"/>
      <c r="FF83" s="772"/>
      <c r="FG83" s="772"/>
      <c r="FH83" s="772"/>
      <c r="FI83" s="772"/>
      <c r="FJ83" s="772"/>
      <c r="FK83" s="772"/>
      <c r="FL83" s="772"/>
      <c r="FM83" s="772"/>
      <c r="FN83" s="772"/>
      <c r="FO83" s="772"/>
      <c r="FP83" s="772"/>
      <c r="FQ83" s="772"/>
      <c r="FR83" s="772"/>
      <c r="FS83" s="772"/>
      <c r="FT83" s="772"/>
      <c r="FU83" s="772"/>
      <c r="FV83" s="772"/>
      <c r="FW83" s="772"/>
      <c r="FX83" s="772"/>
      <c r="FY83" s="772"/>
      <c r="FZ83" s="772"/>
      <c r="GA83" s="772"/>
      <c r="GB83" s="772"/>
      <c r="GC83" s="772"/>
      <c r="GD83" s="772"/>
      <c r="GE83" s="772"/>
      <c r="GF83" s="772"/>
      <c r="GG83" s="772"/>
      <c r="GH83" s="772"/>
      <c r="GI83" s="772"/>
      <c r="GJ83" s="772"/>
      <c r="GK83" s="772"/>
      <c r="GL83" s="772"/>
      <c r="GM83" s="772"/>
      <c r="GN83" s="772"/>
      <c r="GO83" s="772"/>
      <c r="GP83" s="772"/>
      <c r="GQ83" s="772"/>
      <c r="GR83" s="772"/>
      <c r="GS83" s="772"/>
      <c r="GT83" s="772"/>
      <c r="GU83" s="772"/>
      <c r="GV83" s="772"/>
      <c r="GW83" s="772"/>
      <c r="GX83" s="772"/>
      <c r="GY83" s="772"/>
      <c r="GZ83" s="772"/>
      <c r="HA83" s="772"/>
      <c r="HB83" s="772"/>
      <c r="HC83" s="772"/>
      <c r="HD83" s="772"/>
      <c r="HE83" s="772"/>
      <c r="HF83" s="772"/>
      <c r="HG83" s="772"/>
      <c r="HH83" s="772"/>
      <c r="HI83" s="772"/>
      <c r="HJ83" s="772"/>
      <c r="HK83" s="772"/>
      <c r="HL83" s="772"/>
      <c r="HM83" s="772"/>
      <c r="HN83" s="772"/>
      <c r="HO83" s="772"/>
      <c r="HP83" s="772"/>
      <c r="HQ83" s="772"/>
      <c r="HR83" s="772"/>
      <c r="HS83" s="772"/>
      <c r="HT83" s="772"/>
      <c r="HU83" s="772"/>
      <c r="HV83" s="772"/>
      <c r="HW83" s="772"/>
      <c r="HX83" s="772"/>
      <c r="HY83" s="772"/>
      <c r="HZ83" s="772"/>
      <c r="IA83" s="772"/>
      <c r="IB83" s="772"/>
      <c r="IC83" s="772"/>
      <c r="ID83" s="772"/>
      <c r="IE83" s="772"/>
      <c r="IF83" s="772"/>
      <c r="IG83" s="772"/>
      <c r="IH83" s="772"/>
      <c r="II83" s="772"/>
      <c r="IJ83" s="772"/>
      <c r="IK83" s="772"/>
    </row>
    <row r="84" spans="1:245" s="765" customFormat="1" ht="20.100000000000001" customHeight="1" x14ac:dyDescent="0.25">
      <c r="A84" s="772"/>
      <c r="B84" s="783"/>
      <c r="C84" s="784"/>
      <c r="D84" s="784"/>
      <c r="E84" s="784"/>
      <c r="F84" s="784"/>
      <c r="G84" s="784"/>
      <c r="H84" s="772"/>
      <c r="I84" s="1664">
        <f t="shared" si="32"/>
        <v>60</v>
      </c>
      <c r="J84" s="1668">
        <f t="shared" si="47"/>
        <v>0</v>
      </c>
      <c r="K84" s="1666">
        <f t="shared" si="42"/>
        <v>0</v>
      </c>
      <c r="L84" s="1670">
        <f t="shared" si="52"/>
        <v>0</v>
      </c>
      <c r="M84" s="1668">
        <f t="shared" si="33"/>
        <v>0</v>
      </c>
      <c r="N84" s="772"/>
      <c r="O84" s="1664">
        <f t="shared" si="34"/>
        <v>60</v>
      </c>
      <c r="P84" s="1668">
        <f t="shared" si="48"/>
        <v>0</v>
      </c>
      <c r="Q84" s="1666">
        <f t="shared" si="43"/>
        <v>0</v>
      </c>
      <c r="R84" s="1670">
        <f t="shared" si="53"/>
        <v>0</v>
      </c>
      <c r="S84" s="1668">
        <f t="shared" si="35"/>
        <v>0</v>
      </c>
      <c r="T84" s="772"/>
      <c r="U84" s="1664">
        <f t="shared" si="36"/>
        <v>60</v>
      </c>
      <c r="V84" s="1668">
        <f t="shared" si="49"/>
        <v>0</v>
      </c>
      <c r="W84" s="1666">
        <f t="shared" si="44"/>
        <v>0</v>
      </c>
      <c r="X84" s="1670">
        <f t="shared" si="54"/>
        <v>0</v>
      </c>
      <c r="Y84" s="1668">
        <f t="shared" si="37"/>
        <v>0</v>
      </c>
      <c r="Z84" s="772"/>
      <c r="AA84" s="1664">
        <f t="shared" si="38"/>
        <v>60</v>
      </c>
      <c r="AB84" s="1668">
        <f t="shared" si="50"/>
        <v>0</v>
      </c>
      <c r="AC84" s="1666">
        <f t="shared" si="45"/>
        <v>0</v>
      </c>
      <c r="AD84" s="1670">
        <f t="shared" si="55"/>
        <v>0</v>
      </c>
      <c r="AE84" s="1668">
        <f t="shared" si="39"/>
        <v>0</v>
      </c>
      <c r="AF84" s="772"/>
      <c r="AG84" s="1664">
        <f t="shared" si="40"/>
        <v>60</v>
      </c>
      <c r="AH84" s="1668">
        <f t="shared" si="51"/>
        <v>0</v>
      </c>
      <c r="AI84" s="1666">
        <f t="shared" si="46"/>
        <v>0</v>
      </c>
      <c r="AJ84" s="1670">
        <f t="shared" si="56"/>
        <v>0</v>
      </c>
      <c r="AK84" s="1668">
        <f t="shared" si="41"/>
        <v>0</v>
      </c>
      <c r="AL84" s="772"/>
      <c r="AM84" s="772"/>
      <c r="AN84" s="772"/>
      <c r="AO84" s="772"/>
      <c r="AP84" s="772"/>
      <c r="AQ84" s="772"/>
      <c r="AR84" s="772"/>
      <c r="AS84" s="772"/>
      <c r="AT84" s="772"/>
      <c r="AU84" s="772"/>
      <c r="AV84" s="772"/>
      <c r="AW84" s="772"/>
      <c r="AX84" s="772"/>
      <c r="AY84" s="772"/>
      <c r="AZ84" s="772"/>
      <c r="BA84" s="772"/>
      <c r="BB84" s="772"/>
      <c r="BC84" s="772"/>
      <c r="BD84" s="772"/>
      <c r="BE84" s="772"/>
      <c r="BF84" s="772"/>
      <c r="BG84" s="772"/>
      <c r="BH84" s="772"/>
      <c r="BI84" s="772"/>
      <c r="BJ84" s="772"/>
      <c r="BK84" s="772"/>
      <c r="BL84" s="772"/>
      <c r="BM84" s="772"/>
      <c r="BN84" s="772"/>
      <c r="BO84" s="772"/>
      <c r="BP84" s="772"/>
      <c r="BQ84" s="772"/>
      <c r="BR84" s="772"/>
      <c r="BS84" s="772"/>
      <c r="BT84" s="772"/>
      <c r="BU84" s="772"/>
      <c r="BV84" s="772"/>
      <c r="BW84" s="772"/>
      <c r="BX84" s="772"/>
      <c r="BY84" s="772"/>
      <c r="BZ84" s="772"/>
      <c r="CA84" s="772"/>
      <c r="CB84" s="772"/>
      <c r="CC84" s="772"/>
      <c r="CD84" s="772"/>
      <c r="CE84" s="772"/>
      <c r="CF84" s="772"/>
      <c r="CG84" s="772"/>
      <c r="CH84" s="772"/>
      <c r="CI84" s="772"/>
      <c r="CJ84" s="772"/>
      <c r="CK84" s="772"/>
      <c r="CL84" s="772"/>
      <c r="CM84" s="772"/>
      <c r="CN84" s="772"/>
      <c r="CO84" s="772"/>
      <c r="CP84" s="772"/>
      <c r="CQ84" s="772"/>
      <c r="CR84" s="772"/>
      <c r="CS84" s="772"/>
      <c r="CT84" s="772"/>
      <c r="CU84" s="772"/>
      <c r="CV84" s="772"/>
      <c r="CW84" s="772"/>
      <c r="CX84" s="772"/>
      <c r="CY84" s="772"/>
      <c r="CZ84" s="772"/>
      <c r="DA84" s="772"/>
      <c r="DB84" s="772"/>
      <c r="DC84" s="772"/>
      <c r="DD84" s="772"/>
      <c r="DE84" s="772"/>
      <c r="DF84" s="772"/>
      <c r="DG84" s="772"/>
      <c r="DH84" s="772"/>
      <c r="DI84" s="772"/>
      <c r="DJ84" s="772"/>
      <c r="DK84" s="772"/>
      <c r="DL84" s="772"/>
      <c r="DM84" s="772"/>
      <c r="DN84" s="772"/>
      <c r="DO84" s="772"/>
      <c r="DP84" s="772"/>
      <c r="DQ84" s="772"/>
      <c r="DR84" s="772"/>
      <c r="DS84" s="772"/>
      <c r="DT84" s="772"/>
      <c r="DU84" s="772"/>
      <c r="DV84" s="772"/>
      <c r="DW84" s="772"/>
      <c r="DX84" s="772"/>
      <c r="DY84" s="772"/>
      <c r="DZ84" s="772"/>
      <c r="EA84" s="772"/>
      <c r="EB84" s="772"/>
      <c r="EC84" s="772"/>
      <c r="ED84" s="772"/>
      <c r="EE84" s="772"/>
      <c r="EF84" s="772"/>
      <c r="EG84" s="772"/>
      <c r="EH84" s="772"/>
      <c r="EI84" s="772"/>
      <c r="EJ84" s="772"/>
      <c r="EK84" s="772"/>
      <c r="EL84" s="772"/>
      <c r="EM84" s="772"/>
      <c r="EN84" s="772"/>
      <c r="EO84" s="772"/>
      <c r="EP84" s="772"/>
      <c r="EQ84" s="772"/>
      <c r="ER84" s="772"/>
      <c r="ES84" s="772"/>
      <c r="ET84" s="772"/>
      <c r="EU84" s="772"/>
      <c r="EV84" s="772"/>
      <c r="EW84" s="772"/>
      <c r="EX84" s="772"/>
      <c r="EY84" s="772"/>
      <c r="EZ84" s="772"/>
      <c r="FA84" s="772"/>
      <c r="FB84" s="772"/>
      <c r="FC84" s="772"/>
      <c r="FD84" s="772"/>
      <c r="FE84" s="772"/>
      <c r="FF84" s="772"/>
      <c r="FG84" s="772"/>
      <c r="FH84" s="772"/>
      <c r="FI84" s="772"/>
      <c r="FJ84" s="772"/>
      <c r="FK84" s="772"/>
      <c r="FL84" s="772"/>
      <c r="FM84" s="772"/>
      <c r="FN84" s="772"/>
      <c r="FO84" s="772"/>
      <c r="FP84" s="772"/>
      <c r="FQ84" s="772"/>
      <c r="FR84" s="772"/>
      <c r="FS84" s="772"/>
      <c r="FT84" s="772"/>
      <c r="FU84" s="772"/>
      <c r="FV84" s="772"/>
      <c r="FW84" s="772"/>
      <c r="FX84" s="772"/>
      <c r="FY84" s="772"/>
      <c r="FZ84" s="772"/>
      <c r="GA84" s="772"/>
      <c r="GB84" s="772"/>
      <c r="GC84" s="772"/>
      <c r="GD84" s="772"/>
      <c r="GE84" s="772"/>
      <c r="GF84" s="772"/>
      <c r="GG84" s="772"/>
      <c r="GH84" s="772"/>
      <c r="GI84" s="772"/>
      <c r="GJ84" s="772"/>
      <c r="GK84" s="772"/>
      <c r="GL84" s="772"/>
      <c r="GM84" s="772"/>
      <c r="GN84" s="772"/>
      <c r="GO84" s="772"/>
      <c r="GP84" s="772"/>
      <c r="GQ84" s="772"/>
      <c r="GR84" s="772"/>
      <c r="GS84" s="772"/>
      <c r="GT84" s="772"/>
      <c r="GU84" s="772"/>
      <c r="GV84" s="772"/>
      <c r="GW84" s="772"/>
      <c r="GX84" s="772"/>
      <c r="GY84" s="772"/>
      <c r="GZ84" s="772"/>
      <c r="HA84" s="772"/>
      <c r="HB84" s="772"/>
      <c r="HC84" s="772"/>
      <c r="HD84" s="772"/>
      <c r="HE84" s="772"/>
      <c r="HF84" s="772"/>
      <c r="HG84" s="772"/>
      <c r="HH84" s="772"/>
      <c r="HI84" s="772"/>
      <c r="HJ84" s="772"/>
      <c r="HK84" s="772"/>
      <c r="HL84" s="772"/>
      <c r="HM84" s="772"/>
      <c r="HN84" s="772"/>
      <c r="HO84" s="772"/>
      <c r="HP84" s="772"/>
      <c r="HQ84" s="772"/>
      <c r="HR84" s="772"/>
      <c r="HS84" s="772"/>
      <c r="HT84" s="772"/>
      <c r="HU84" s="772"/>
      <c r="HV84" s="772"/>
      <c r="HW84" s="772"/>
      <c r="HX84" s="772"/>
      <c r="HY84" s="772"/>
      <c r="HZ84" s="772"/>
      <c r="IA84" s="772"/>
      <c r="IB84" s="772"/>
      <c r="IC84" s="772"/>
      <c r="ID84" s="772"/>
      <c r="IE84" s="772"/>
      <c r="IF84" s="772"/>
      <c r="IG84" s="772"/>
      <c r="IH84" s="772"/>
      <c r="II84" s="772"/>
      <c r="IJ84" s="772"/>
      <c r="IK84" s="772"/>
    </row>
    <row r="85" spans="1:245" s="765" customFormat="1" ht="20.100000000000001" customHeight="1" x14ac:dyDescent="0.25">
      <c r="A85" s="772"/>
      <c r="B85" s="783"/>
      <c r="C85" s="784"/>
      <c r="D85" s="784"/>
      <c r="E85" s="784"/>
      <c r="F85" s="784"/>
      <c r="G85" s="784"/>
      <c r="H85" s="772"/>
      <c r="I85" s="1664">
        <f t="shared" si="32"/>
        <v>61</v>
      </c>
      <c r="J85" s="1668">
        <f t="shared" si="47"/>
        <v>0</v>
      </c>
      <c r="K85" s="1666">
        <f t="shared" si="42"/>
        <v>0</v>
      </c>
      <c r="L85" s="1670">
        <f t="shared" si="52"/>
        <v>0</v>
      </c>
      <c r="M85" s="1668">
        <f t="shared" si="33"/>
        <v>0</v>
      </c>
      <c r="N85" s="772"/>
      <c r="O85" s="1664">
        <f t="shared" si="34"/>
        <v>61</v>
      </c>
      <c r="P85" s="1668">
        <f t="shared" si="48"/>
        <v>0</v>
      </c>
      <c r="Q85" s="1666">
        <f t="shared" si="43"/>
        <v>0</v>
      </c>
      <c r="R85" s="1670">
        <f t="shared" si="53"/>
        <v>0</v>
      </c>
      <c r="S85" s="1668">
        <f t="shared" si="35"/>
        <v>0</v>
      </c>
      <c r="T85" s="772"/>
      <c r="U85" s="1664">
        <f t="shared" si="36"/>
        <v>61</v>
      </c>
      <c r="V85" s="1668">
        <f t="shared" si="49"/>
        <v>0</v>
      </c>
      <c r="W85" s="1666">
        <f t="shared" si="44"/>
        <v>0</v>
      </c>
      <c r="X85" s="1670">
        <f t="shared" si="54"/>
        <v>0</v>
      </c>
      <c r="Y85" s="1668">
        <f t="shared" si="37"/>
        <v>0</v>
      </c>
      <c r="Z85" s="772"/>
      <c r="AA85" s="1664">
        <f t="shared" si="38"/>
        <v>61</v>
      </c>
      <c r="AB85" s="1668">
        <f t="shared" si="50"/>
        <v>0</v>
      </c>
      <c r="AC85" s="1666">
        <f t="shared" si="45"/>
        <v>0</v>
      </c>
      <c r="AD85" s="1670">
        <f t="shared" si="55"/>
        <v>0</v>
      </c>
      <c r="AE85" s="1668">
        <f t="shared" si="39"/>
        <v>0</v>
      </c>
      <c r="AF85" s="772"/>
      <c r="AG85" s="1664">
        <f t="shared" si="40"/>
        <v>61</v>
      </c>
      <c r="AH85" s="1668">
        <f t="shared" si="51"/>
        <v>0</v>
      </c>
      <c r="AI85" s="1666">
        <f t="shared" si="46"/>
        <v>0</v>
      </c>
      <c r="AJ85" s="1670">
        <f t="shared" si="56"/>
        <v>0</v>
      </c>
      <c r="AK85" s="1668">
        <f t="shared" si="41"/>
        <v>0</v>
      </c>
      <c r="AL85" s="772"/>
      <c r="AM85" s="772"/>
      <c r="AN85" s="772"/>
      <c r="AO85" s="772"/>
      <c r="AP85" s="772"/>
      <c r="AQ85" s="772"/>
      <c r="AR85" s="772"/>
      <c r="AS85" s="772"/>
      <c r="AT85" s="772"/>
      <c r="AU85" s="772"/>
      <c r="AV85" s="772"/>
      <c r="AW85" s="772"/>
      <c r="AX85" s="772"/>
      <c r="AY85" s="772"/>
      <c r="AZ85" s="772"/>
      <c r="BA85" s="772"/>
      <c r="BB85" s="772"/>
      <c r="BC85" s="772"/>
      <c r="BD85" s="772"/>
      <c r="BE85" s="772"/>
      <c r="BF85" s="772"/>
      <c r="BG85" s="772"/>
      <c r="BH85" s="772"/>
      <c r="BI85" s="772"/>
      <c r="BJ85" s="772"/>
      <c r="BK85" s="772"/>
      <c r="BL85" s="772"/>
      <c r="BM85" s="772"/>
      <c r="BN85" s="772"/>
      <c r="BO85" s="772"/>
      <c r="BP85" s="772"/>
      <c r="BQ85" s="772"/>
      <c r="BR85" s="772"/>
      <c r="BS85" s="772"/>
      <c r="BT85" s="772"/>
      <c r="BU85" s="772"/>
      <c r="BV85" s="772"/>
      <c r="BW85" s="772"/>
      <c r="BX85" s="772"/>
      <c r="BY85" s="772"/>
      <c r="BZ85" s="772"/>
      <c r="CA85" s="772"/>
      <c r="CB85" s="772"/>
      <c r="CC85" s="772"/>
      <c r="CD85" s="772"/>
      <c r="CE85" s="772"/>
      <c r="CF85" s="772"/>
      <c r="CG85" s="772"/>
      <c r="CH85" s="772"/>
      <c r="CI85" s="772"/>
      <c r="CJ85" s="772"/>
      <c r="CK85" s="772"/>
      <c r="CL85" s="772"/>
      <c r="CM85" s="772"/>
      <c r="CN85" s="772"/>
      <c r="CO85" s="772"/>
      <c r="CP85" s="772"/>
      <c r="CQ85" s="772"/>
      <c r="CR85" s="772"/>
      <c r="CS85" s="772"/>
      <c r="CT85" s="772"/>
      <c r="CU85" s="772"/>
      <c r="CV85" s="772"/>
      <c r="CW85" s="772"/>
      <c r="CX85" s="772"/>
      <c r="CY85" s="772"/>
      <c r="CZ85" s="772"/>
      <c r="DA85" s="772"/>
      <c r="DB85" s="772"/>
      <c r="DC85" s="772"/>
      <c r="DD85" s="772"/>
      <c r="DE85" s="772"/>
      <c r="DF85" s="772"/>
      <c r="DG85" s="772"/>
      <c r="DH85" s="772"/>
      <c r="DI85" s="772"/>
      <c r="DJ85" s="772"/>
      <c r="DK85" s="772"/>
      <c r="DL85" s="772"/>
      <c r="DM85" s="772"/>
      <c r="DN85" s="772"/>
      <c r="DO85" s="772"/>
      <c r="DP85" s="772"/>
      <c r="DQ85" s="772"/>
      <c r="DR85" s="772"/>
      <c r="DS85" s="772"/>
      <c r="DT85" s="772"/>
      <c r="DU85" s="772"/>
      <c r="DV85" s="772"/>
      <c r="DW85" s="772"/>
      <c r="DX85" s="772"/>
      <c r="DY85" s="772"/>
      <c r="DZ85" s="772"/>
      <c r="EA85" s="772"/>
      <c r="EB85" s="772"/>
      <c r="EC85" s="772"/>
      <c r="ED85" s="772"/>
      <c r="EE85" s="772"/>
      <c r="EF85" s="772"/>
      <c r="EG85" s="772"/>
      <c r="EH85" s="772"/>
      <c r="EI85" s="772"/>
      <c r="EJ85" s="772"/>
      <c r="EK85" s="772"/>
      <c r="EL85" s="772"/>
      <c r="EM85" s="772"/>
      <c r="EN85" s="772"/>
      <c r="EO85" s="772"/>
      <c r="EP85" s="772"/>
      <c r="EQ85" s="772"/>
      <c r="ER85" s="772"/>
      <c r="ES85" s="772"/>
      <c r="ET85" s="772"/>
      <c r="EU85" s="772"/>
      <c r="EV85" s="772"/>
      <c r="EW85" s="772"/>
      <c r="EX85" s="772"/>
      <c r="EY85" s="772"/>
      <c r="EZ85" s="772"/>
      <c r="FA85" s="772"/>
      <c r="FB85" s="772"/>
      <c r="FC85" s="772"/>
      <c r="FD85" s="772"/>
      <c r="FE85" s="772"/>
      <c r="FF85" s="772"/>
      <c r="FG85" s="772"/>
      <c r="FH85" s="772"/>
      <c r="FI85" s="772"/>
      <c r="FJ85" s="772"/>
      <c r="FK85" s="772"/>
      <c r="FL85" s="772"/>
      <c r="FM85" s="772"/>
      <c r="FN85" s="772"/>
      <c r="FO85" s="772"/>
      <c r="FP85" s="772"/>
      <c r="FQ85" s="772"/>
      <c r="FR85" s="772"/>
      <c r="FS85" s="772"/>
      <c r="FT85" s="772"/>
      <c r="FU85" s="772"/>
      <c r="FV85" s="772"/>
      <c r="FW85" s="772"/>
      <c r="FX85" s="772"/>
      <c r="FY85" s="772"/>
      <c r="FZ85" s="772"/>
      <c r="GA85" s="772"/>
      <c r="GB85" s="772"/>
      <c r="GC85" s="772"/>
      <c r="GD85" s="772"/>
      <c r="GE85" s="772"/>
      <c r="GF85" s="772"/>
      <c r="GG85" s="772"/>
      <c r="GH85" s="772"/>
      <c r="GI85" s="772"/>
      <c r="GJ85" s="772"/>
      <c r="GK85" s="772"/>
      <c r="GL85" s="772"/>
      <c r="GM85" s="772"/>
      <c r="GN85" s="772"/>
      <c r="GO85" s="772"/>
      <c r="GP85" s="772"/>
      <c r="GQ85" s="772"/>
      <c r="GR85" s="772"/>
      <c r="GS85" s="772"/>
      <c r="GT85" s="772"/>
      <c r="GU85" s="772"/>
      <c r="GV85" s="772"/>
      <c r="GW85" s="772"/>
      <c r="GX85" s="772"/>
      <c r="GY85" s="772"/>
      <c r="GZ85" s="772"/>
      <c r="HA85" s="772"/>
      <c r="HB85" s="772"/>
      <c r="HC85" s="772"/>
      <c r="HD85" s="772"/>
      <c r="HE85" s="772"/>
      <c r="HF85" s="772"/>
      <c r="HG85" s="772"/>
      <c r="HH85" s="772"/>
      <c r="HI85" s="772"/>
      <c r="HJ85" s="772"/>
      <c r="HK85" s="772"/>
      <c r="HL85" s="772"/>
      <c r="HM85" s="772"/>
      <c r="HN85" s="772"/>
      <c r="HO85" s="772"/>
      <c r="HP85" s="772"/>
      <c r="HQ85" s="772"/>
      <c r="HR85" s="772"/>
      <c r="HS85" s="772"/>
      <c r="HT85" s="772"/>
      <c r="HU85" s="772"/>
      <c r="HV85" s="772"/>
      <c r="HW85" s="772"/>
      <c r="HX85" s="772"/>
      <c r="HY85" s="772"/>
      <c r="HZ85" s="772"/>
      <c r="IA85" s="772"/>
      <c r="IB85" s="772"/>
      <c r="IC85" s="772"/>
      <c r="ID85" s="772"/>
      <c r="IE85" s="772"/>
      <c r="IF85" s="772"/>
      <c r="IG85" s="772"/>
      <c r="IH85" s="772"/>
      <c r="II85" s="772"/>
      <c r="IJ85" s="772"/>
      <c r="IK85" s="772"/>
    </row>
    <row r="86" spans="1:245" s="765" customFormat="1" ht="20.100000000000001" customHeight="1" x14ac:dyDescent="0.25">
      <c r="A86" s="772"/>
      <c r="B86" s="783"/>
      <c r="C86" s="784"/>
      <c r="D86" s="784"/>
      <c r="E86" s="784"/>
      <c r="F86" s="784"/>
      <c r="G86" s="784"/>
      <c r="H86" s="772"/>
      <c r="I86" s="1664">
        <f t="shared" si="32"/>
        <v>62</v>
      </c>
      <c r="J86" s="1668">
        <f t="shared" si="47"/>
        <v>0</v>
      </c>
      <c r="K86" s="1666">
        <f t="shared" si="42"/>
        <v>0</v>
      </c>
      <c r="L86" s="1670">
        <f t="shared" si="52"/>
        <v>0</v>
      </c>
      <c r="M86" s="1668">
        <f t="shared" si="33"/>
        <v>0</v>
      </c>
      <c r="N86" s="772"/>
      <c r="O86" s="1664">
        <f t="shared" si="34"/>
        <v>62</v>
      </c>
      <c r="P86" s="1668">
        <f t="shared" si="48"/>
        <v>0</v>
      </c>
      <c r="Q86" s="1666">
        <f t="shared" si="43"/>
        <v>0</v>
      </c>
      <c r="R86" s="1670">
        <f t="shared" si="53"/>
        <v>0</v>
      </c>
      <c r="S86" s="1668">
        <f t="shared" si="35"/>
        <v>0</v>
      </c>
      <c r="T86" s="772"/>
      <c r="U86" s="1664">
        <f t="shared" si="36"/>
        <v>62</v>
      </c>
      <c r="V86" s="1668">
        <f t="shared" si="49"/>
        <v>0</v>
      </c>
      <c r="W86" s="1666">
        <f t="shared" si="44"/>
        <v>0</v>
      </c>
      <c r="X86" s="1670">
        <f t="shared" si="54"/>
        <v>0</v>
      </c>
      <c r="Y86" s="1668">
        <f t="shared" si="37"/>
        <v>0</v>
      </c>
      <c r="Z86" s="772"/>
      <c r="AA86" s="1664">
        <f t="shared" si="38"/>
        <v>62</v>
      </c>
      <c r="AB86" s="1668">
        <f t="shared" si="50"/>
        <v>0</v>
      </c>
      <c r="AC86" s="1666">
        <f t="shared" si="45"/>
        <v>0</v>
      </c>
      <c r="AD86" s="1670">
        <f t="shared" si="55"/>
        <v>0</v>
      </c>
      <c r="AE86" s="1668">
        <f t="shared" si="39"/>
        <v>0</v>
      </c>
      <c r="AF86" s="772"/>
      <c r="AG86" s="1664">
        <f t="shared" si="40"/>
        <v>62</v>
      </c>
      <c r="AH86" s="1668">
        <f t="shared" si="51"/>
        <v>0</v>
      </c>
      <c r="AI86" s="1666">
        <f t="shared" si="46"/>
        <v>0</v>
      </c>
      <c r="AJ86" s="1670">
        <f t="shared" si="56"/>
        <v>0</v>
      </c>
      <c r="AK86" s="1668">
        <f t="shared" si="41"/>
        <v>0</v>
      </c>
      <c r="AL86" s="772"/>
      <c r="AM86" s="772"/>
      <c r="AN86" s="772"/>
      <c r="AO86" s="772"/>
      <c r="AP86" s="772"/>
      <c r="AQ86" s="772"/>
      <c r="AR86" s="772"/>
      <c r="AS86" s="772"/>
      <c r="AT86" s="772"/>
      <c r="AU86" s="772"/>
      <c r="AV86" s="772"/>
      <c r="AW86" s="772"/>
      <c r="AX86" s="772"/>
      <c r="AY86" s="772"/>
      <c r="AZ86" s="772"/>
      <c r="BA86" s="772"/>
      <c r="BB86" s="772"/>
      <c r="BC86" s="772"/>
      <c r="BD86" s="772"/>
      <c r="BE86" s="772"/>
      <c r="BF86" s="772"/>
      <c r="BG86" s="772"/>
      <c r="BH86" s="772"/>
      <c r="BI86" s="772"/>
      <c r="BJ86" s="772"/>
      <c r="BK86" s="772"/>
      <c r="BL86" s="772"/>
      <c r="BM86" s="772"/>
      <c r="BN86" s="772"/>
      <c r="BO86" s="772"/>
      <c r="BP86" s="772"/>
      <c r="BQ86" s="772"/>
      <c r="BR86" s="772"/>
      <c r="BS86" s="772"/>
      <c r="BT86" s="772"/>
      <c r="BU86" s="772"/>
      <c r="BV86" s="772"/>
      <c r="BW86" s="772"/>
      <c r="BX86" s="772"/>
      <c r="BY86" s="772"/>
      <c r="BZ86" s="772"/>
      <c r="CA86" s="772"/>
      <c r="CB86" s="772"/>
      <c r="CC86" s="772"/>
      <c r="CD86" s="772"/>
      <c r="CE86" s="772"/>
      <c r="CF86" s="772"/>
      <c r="CG86" s="772"/>
      <c r="CH86" s="772"/>
      <c r="CI86" s="772"/>
      <c r="CJ86" s="772"/>
      <c r="CK86" s="772"/>
      <c r="CL86" s="772"/>
      <c r="CM86" s="772"/>
      <c r="CN86" s="772"/>
      <c r="CO86" s="772"/>
      <c r="CP86" s="772"/>
      <c r="CQ86" s="772"/>
      <c r="CR86" s="772"/>
      <c r="CS86" s="772"/>
      <c r="CT86" s="772"/>
      <c r="CU86" s="772"/>
      <c r="CV86" s="772"/>
      <c r="CW86" s="772"/>
      <c r="CX86" s="772"/>
      <c r="CY86" s="772"/>
      <c r="CZ86" s="772"/>
      <c r="DA86" s="772"/>
      <c r="DB86" s="772"/>
      <c r="DC86" s="772"/>
      <c r="DD86" s="772"/>
      <c r="DE86" s="772"/>
      <c r="DF86" s="772"/>
      <c r="DG86" s="772"/>
      <c r="DH86" s="772"/>
      <c r="DI86" s="772"/>
      <c r="DJ86" s="772"/>
      <c r="DK86" s="772"/>
      <c r="DL86" s="772"/>
      <c r="DM86" s="772"/>
      <c r="DN86" s="772"/>
      <c r="DO86" s="772"/>
      <c r="DP86" s="772"/>
      <c r="DQ86" s="772"/>
      <c r="DR86" s="772"/>
      <c r="DS86" s="772"/>
      <c r="DT86" s="772"/>
      <c r="DU86" s="772"/>
      <c r="DV86" s="772"/>
      <c r="DW86" s="772"/>
      <c r="DX86" s="772"/>
      <c r="DY86" s="772"/>
      <c r="DZ86" s="772"/>
      <c r="EA86" s="772"/>
      <c r="EB86" s="772"/>
      <c r="EC86" s="772"/>
      <c r="ED86" s="772"/>
      <c r="EE86" s="772"/>
      <c r="EF86" s="772"/>
      <c r="EG86" s="772"/>
      <c r="EH86" s="772"/>
      <c r="EI86" s="772"/>
      <c r="EJ86" s="772"/>
      <c r="EK86" s="772"/>
      <c r="EL86" s="772"/>
      <c r="EM86" s="772"/>
      <c r="EN86" s="772"/>
      <c r="EO86" s="772"/>
      <c r="EP86" s="772"/>
      <c r="EQ86" s="772"/>
      <c r="ER86" s="772"/>
      <c r="ES86" s="772"/>
      <c r="ET86" s="772"/>
      <c r="EU86" s="772"/>
      <c r="EV86" s="772"/>
      <c r="EW86" s="772"/>
      <c r="EX86" s="772"/>
      <c r="EY86" s="772"/>
      <c r="EZ86" s="772"/>
      <c r="FA86" s="772"/>
      <c r="FB86" s="772"/>
      <c r="FC86" s="772"/>
      <c r="FD86" s="772"/>
      <c r="FE86" s="772"/>
      <c r="FF86" s="772"/>
      <c r="FG86" s="772"/>
      <c r="FH86" s="772"/>
      <c r="FI86" s="772"/>
      <c r="FJ86" s="772"/>
      <c r="FK86" s="772"/>
      <c r="FL86" s="772"/>
      <c r="FM86" s="772"/>
      <c r="FN86" s="772"/>
      <c r="FO86" s="772"/>
      <c r="FP86" s="772"/>
      <c r="FQ86" s="772"/>
      <c r="FR86" s="772"/>
      <c r="FS86" s="772"/>
      <c r="FT86" s="772"/>
      <c r="FU86" s="772"/>
      <c r="FV86" s="772"/>
      <c r="FW86" s="772"/>
      <c r="FX86" s="772"/>
      <c r="FY86" s="772"/>
      <c r="FZ86" s="772"/>
      <c r="GA86" s="772"/>
      <c r="GB86" s="772"/>
      <c r="GC86" s="772"/>
      <c r="GD86" s="772"/>
      <c r="GE86" s="772"/>
      <c r="GF86" s="772"/>
      <c r="GG86" s="772"/>
      <c r="GH86" s="772"/>
      <c r="GI86" s="772"/>
      <c r="GJ86" s="772"/>
      <c r="GK86" s="772"/>
      <c r="GL86" s="772"/>
      <c r="GM86" s="772"/>
      <c r="GN86" s="772"/>
      <c r="GO86" s="772"/>
      <c r="GP86" s="772"/>
      <c r="GQ86" s="772"/>
      <c r="GR86" s="772"/>
      <c r="GS86" s="772"/>
      <c r="GT86" s="772"/>
      <c r="GU86" s="772"/>
      <c r="GV86" s="772"/>
      <c r="GW86" s="772"/>
      <c r="GX86" s="772"/>
      <c r="GY86" s="772"/>
      <c r="GZ86" s="772"/>
      <c r="HA86" s="772"/>
      <c r="HB86" s="772"/>
      <c r="HC86" s="772"/>
      <c r="HD86" s="772"/>
      <c r="HE86" s="772"/>
      <c r="HF86" s="772"/>
      <c r="HG86" s="772"/>
      <c r="HH86" s="772"/>
      <c r="HI86" s="772"/>
      <c r="HJ86" s="772"/>
      <c r="HK86" s="772"/>
      <c r="HL86" s="772"/>
      <c r="HM86" s="772"/>
      <c r="HN86" s="772"/>
      <c r="HO86" s="772"/>
      <c r="HP86" s="772"/>
      <c r="HQ86" s="772"/>
      <c r="HR86" s="772"/>
      <c r="HS86" s="772"/>
      <c r="HT86" s="772"/>
      <c r="HU86" s="772"/>
      <c r="HV86" s="772"/>
      <c r="HW86" s="772"/>
      <c r="HX86" s="772"/>
      <c r="HY86" s="772"/>
      <c r="HZ86" s="772"/>
      <c r="IA86" s="772"/>
      <c r="IB86" s="772"/>
      <c r="IC86" s="772"/>
      <c r="ID86" s="772"/>
      <c r="IE86" s="772"/>
      <c r="IF86" s="772"/>
      <c r="IG86" s="772"/>
      <c r="IH86" s="772"/>
      <c r="II86" s="772"/>
      <c r="IJ86" s="772"/>
      <c r="IK86" s="772"/>
    </row>
    <row r="87" spans="1:245" s="765" customFormat="1" ht="20.100000000000001" customHeight="1" x14ac:dyDescent="0.25">
      <c r="A87" s="772"/>
      <c r="B87" s="783"/>
      <c r="C87" s="784"/>
      <c r="D87" s="784"/>
      <c r="E87" s="784"/>
      <c r="F87" s="784"/>
      <c r="G87" s="784"/>
      <c r="H87" s="772"/>
      <c r="I87" s="1664">
        <f t="shared" si="32"/>
        <v>63</v>
      </c>
      <c r="J87" s="1668">
        <f t="shared" si="47"/>
        <v>0</v>
      </c>
      <c r="K87" s="1666">
        <f t="shared" si="42"/>
        <v>0</v>
      </c>
      <c r="L87" s="1670">
        <f t="shared" si="52"/>
        <v>0</v>
      </c>
      <c r="M87" s="1668">
        <f t="shared" si="33"/>
        <v>0</v>
      </c>
      <c r="N87" s="772"/>
      <c r="O87" s="1664">
        <f t="shared" si="34"/>
        <v>63</v>
      </c>
      <c r="P87" s="1668">
        <f t="shared" si="48"/>
        <v>0</v>
      </c>
      <c r="Q87" s="1666">
        <f t="shared" si="43"/>
        <v>0</v>
      </c>
      <c r="R87" s="1670">
        <f t="shared" si="53"/>
        <v>0</v>
      </c>
      <c r="S87" s="1668">
        <f t="shared" si="35"/>
        <v>0</v>
      </c>
      <c r="T87" s="772"/>
      <c r="U87" s="1664">
        <f t="shared" si="36"/>
        <v>63</v>
      </c>
      <c r="V87" s="1668">
        <f t="shared" si="49"/>
        <v>0</v>
      </c>
      <c r="W87" s="1666">
        <f t="shared" si="44"/>
        <v>0</v>
      </c>
      <c r="X87" s="1670">
        <f t="shared" si="54"/>
        <v>0</v>
      </c>
      <c r="Y87" s="1668">
        <f t="shared" si="37"/>
        <v>0</v>
      </c>
      <c r="Z87" s="772"/>
      <c r="AA87" s="1664">
        <f t="shared" si="38"/>
        <v>63</v>
      </c>
      <c r="AB87" s="1668">
        <f t="shared" si="50"/>
        <v>0</v>
      </c>
      <c r="AC87" s="1666">
        <f t="shared" si="45"/>
        <v>0</v>
      </c>
      <c r="AD87" s="1670">
        <f t="shared" si="55"/>
        <v>0</v>
      </c>
      <c r="AE87" s="1668">
        <f t="shared" si="39"/>
        <v>0</v>
      </c>
      <c r="AF87" s="772"/>
      <c r="AG87" s="1664">
        <f t="shared" si="40"/>
        <v>63</v>
      </c>
      <c r="AH87" s="1668">
        <f t="shared" si="51"/>
        <v>0</v>
      </c>
      <c r="AI87" s="1666">
        <f t="shared" si="46"/>
        <v>0</v>
      </c>
      <c r="AJ87" s="1670">
        <f t="shared" si="56"/>
        <v>0</v>
      </c>
      <c r="AK87" s="1668">
        <f t="shared" si="41"/>
        <v>0</v>
      </c>
      <c r="AL87" s="772"/>
      <c r="AM87" s="772"/>
      <c r="AN87" s="772"/>
      <c r="AO87" s="772"/>
      <c r="AP87" s="772"/>
      <c r="AQ87" s="772"/>
      <c r="AR87" s="772"/>
      <c r="AS87" s="772"/>
      <c r="AT87" s="772"/>
      <c r="AU87" s="772"/>
      <c r="AV87" s="772"/>
      <c r="AW87" s="772"/>
      <c r="AX87" s="772"/>
      <c r="AY87" s="772"/>
      <c r="AZ87" s="772"/>
      <c r="BA87" s="772"/>
      <c r="BB87" s="772"/>
      <c r="BC87" s="772"/>
      <c r="BD87" s="772"/>
      <c r="BE87" s="772"/>
      <c r="BF87" s="772"/>
      <c r="BG87" s="772"/>
      <c r="BH87" s="772"/>
      <c r="BI87" s="772"/>
      <c r="BJ87" s="772"/>
      <c r="BK87" s="772"/>
      <c r="BL87" s="772"/>
      <c r="BM87" s="772"/>
      <c r="BN87" s="772"/>
      <c r="BO87" s="772"/>
      <c r="BP87" s="772"/>
      <c r="BQ87" s="772"/>
      <c r="BR87" s="772"/>
      <c r="BS87" s="772"/>
      <c r="BT87" s="772"/>
      <c r="BU87" s="772"/>
      <c r="BV87" s="772"/>
      <c r="BW87" s="772"/>
      <c r="BX87" s="772"/>
      <c r="BY87" s="772"/>
      <c r="BZ87" s="772"/>
      <c r="CA87" s="772"/>
      <c r="CB87" s="772"/>
      <c r="CC87" s="772"/>
      <c r="CD87" s="772"/>
      <c r="CE87" s="772"/>
      <c r="CF87" s="772"/>
      <c r="CG87" s="772"/>
      <c r="CH87" s="772"/>
      <c r="CI87" s="772"/>
      <c r="CJ87" s="772"/>
      <c r="CK87" s="772"/>
      <c r="CL87" s="772"/>
      <c r="CM87" s="772"/>
      <c r="CN87" s="772"/>
      <c r="CO87" s="772"/>
      <c r="CP87" s="772"/>
      <c r="CQ87" s="772"/>
      <c r="CR87" s="772"/>
      <c r="CS87" s="772"/>
      <c r="CT87" s="772"/>
      <c r="CU87" s="772"/>
      <c r="CV87" s="772"/>
      <c r="CW87" s="772"/>
      <c r="CX87" s="772"/>
      <c r="CY87" s="772"/>
      <c r="CZ87" s="772"/>
      <c r="DA87" s="772"/>
      <c r="DB87" s="772"/>
      <c r="DC87" s="772"/>
      <c r="DD87" s="772"/>
      <c r="DE87" s="772"/>
      <c r="DF87" s="772"/>
      <c r="DG87" s="772"/>
      <c r="DH87" s="772"/>
      <c r="DI87" s="772"/>
      <c r="DJ87" s="772"/>
      <c r="DK87" s="772"/>
      <c r="DL87" s="772"/>
      <c r="DM87" s="772"/>
      <c r="DN87" s="772"/>
      <c r="DO87" s="772"/>
      <c r="DP87" s="772"/>
      <c r="DQ87" s="772"/>
      <c r="DR87" s="772"/>
      <c r="DS87" s="772"/>
      <c r="DT87" s="772"/>
      <c r="DU87" s="772"/>
      <c r="DV87" s="772"/>
      <c r="DW87" s="772"/>
      <c r="DX87" s="772"/>
      <c r="DY87" s="772"/>
      <c r="DZ87" s="772"/>
      <c r="EA87" s="772"/>
      <c r="EB87" s="772"/>
      <c r="EC87" s="772"/>
      <c r="ED87" s="772"/>
      <c r="EE87" s="772"/>
      <c r="EF87" s="772"/>
      <c r="EG87" s="772"/>
      <c r="EH87" s="772"/>
      <c r="EI87" s="772"/>
      <c r="EJ87" s="772"/>
      <c r="EK87" s="772"/>
      <c r="EL87" s="772"/>
      <c r="EM87" s="772"/>
      <c r="EN87" s="772"/>
      <c r="EO87" s="772"/>
      <c r="EP87" s="772"/>
      <c r="EQ87" s="772"/>
      <c r="ER87" s="772"/>
      <c r="ES87" s="772"/>
      <c r="ET87" s="772"/>
      <c r="EU87" s="772"/>
      <c r="EV87" s="772"/>
      <c r="EW87" s="772"/>
      <c r="EX87" s="772"/>
      <c r="EY87" s="772"/>
      <c r="EZ87" s="772"/>
      <c r="FA87" s="772"/>
      <c r="FB87" s="772"/>
      <c r="FC87" s="772"/>
      <c r="FD87" s="772"/>
      <c r="FE87" s="772"/>
      <c r="FF87" s="772"/>
      <c r="FG87" s="772"/>
      <c r="FH87" s="772"/>
      <c r="FI87" s="772"/>
      <c r="FJ87" s="772"/>
      <c r="FK87" s="772"/>
      <c r="FL87" s="772"/>
      <c r="FM87" s="772"/>
      <c r="FN87" s="772"/>
      <c r="FO87" s="772"/>
      <c r="FP87" s="772"/>
      <c r="FQ87" s="772"/>
      <c r="FR87" s="772"/>
      <c r="FS87" s="772"/>
      <c r="FT87" s="772"/>
      <c r="FU87" s="772"/>
      <c r="FV87" s="772"/>
      <c r="FW87" s="772"/>
      <c r="FX87" s="772"/>
      <c r="FY87" s="772"/>
      <c r="FZ87" s="772"/>
      <c r="GA87" s="772"/>
      <c r="GB87" s="772"/>
      <c r="GC87" s="772"/>
      <c r="GD87" s="772"/>
      <c r="GE87" s="772"/>
      <c r="GF87" s="772"/>
      <c r="GG87" s="772"/>
      <c r="GH87" s="772"/>
      <c r="GI87" s="772"/>
      <c r="GJ87" s="772"/>
      <c r="GK87" s="772"/>
      <c r="GL87" s="772"/>
      <c r="GM87" s="772"/>
      <c r="GN87" s="772"/>
      <c r="GO87" s="772"/>
      <c r="GP87" s="772"/>
      <c r="GQ87" s="772"/>
      <c r="GR87" s="772"/>
      <c r="GS87" s="772"/>
      <c r="GT87" s="772"/>
      <c r="GU87" s="772"/>
      <c r="GV87" s="772"/>
      <c r="GW87" s="772"/>
      <c r="GX87" s="772"/>
      <c r="GY87" s="772"/>
      <c r="GZ87" s="772"/>
      <c r="HA87" s="772"/>
      <c r="HB87" s="772"/>
      <c r="HC87" s="772"/>
      <c r="HD87" s="772"/>
      <c r="HE87" s="772"/>
      <c r="HF87" s="772"/>
      <c r="HG87" s="772"/>
      <c r="HH87" s="772"/>
      <c r="HI87" s="772"/>
      <c r="HJ87" s="772"/>
      <c r="HK87" s="772"/>
      <c r="HL87" s="772"/>
      <c r="HM87" s="772"/>
      <c r="HN87" s="772"/>
      <c r="HO87" s="772"/>
      <c r="HP87" s="772"/>
      <c r="HQ87" s="772"/>
      <c r="HR87" s="772"/>
      <c r="HS87" s="772"/>
      <c r="HT87" s="772"/>
      <c r="HU87" s="772"/>
      <c r="HV87" s="772"/>
      <c r="HW87" s="772"/>
      <c r="HX87" s="772"/>
      <c r="HY87" s="772"/>
      <c r="HZ87" s="772"/>
      <c r="IA87" s="772"/>
      <c r="IB87" s="772"/>
      <c r="IC87" s="772"/>
      <c r="ID87" s="772"/>
      <c r="IE87" s="772"/>
      <c r="IF87" s="772"/>
      <c r="IG87" s="772"/>
      <c r="IH87" s="772"/>
      <c r="II87" s="772"/>
      <c r="IJ87" s="772"/>
      <c r="IK87" s="772"/>
    </row>
    <row r="88" spans="1:245" s="765" customFormat="1" ht="20.100000000000001" customHeight="1" x14ac:dyDescent="0.25">
      <c r="A88" s="772"/>
      <c r="B88" s="783"/>
      <c r="C88" s="784"/>
      <c r="D88" s="784"/>
      <c r="E88" s="784"/>
      <c r="F88" s="784"/>
      <c r="G88" s="784"/>
      <c r="H88" s="772"/>
      <c r="I88" s="1664">
        <f t="shared" si="32"/>
        <v>64</v>
      </c>
      <c r="J88" s="1668">
        <f t="shared" si="47"/>
        <v>0</v>
      </c>
      <c r="K88" s="1666">
        <f t="shared" si="42"/>
        <v>0</v>
      </c>
      <c r="L88" s="1670">
        <f t="shared" si="52"/>
        <v>0</v>
      </c>
      <c r="M88" s="1668">
        <f t="shared" si="33"/>
        <v>0</v>
      </c>
      <c r="N88" s="772"/>
      <c r="O88" s="1664">
        <f t="shared" si="34"/>
        <v>64</v>
      </c>
      <c r="P88" s="1668">
        <f t="shared" si="48"/>
        <v>0</v>
      </c>
      <c r="Q88" s="1666">
        <f t="shared" si="43"/>
        <v>0</v>
      </c>
      <c r="R88" s="1670">
        <f t="shared" si="53"/>
        <v>0</v>
      </c>
      <c r="S88" s="1668">
        <f t="shared" si="35"/>
        <v>0</v>
      </c>
      <c r="T88" s="772"/>
      <c r="U88" s="1664">
        <f t="shared" si="36"/>
        <v>64</v>
      </c>
      <c r="V88" s="1668">
        <f t="shared" si="49"/>
        <v>0</v>
      </c>
      <c r="W88" s="1666">
        <f t="shared" si="44"/>
        <v>0</v>
      </c>
      <c r="X88" s="1670">
        <f t="shared" si="54"/>
        <v>0</v>
      </c>
      <c r="Y88" s="1668">
        <f t="shared" si="37"/>
        <v>0</v>
      </c>
      <c r="Z88" s="772"/>
      <c r="AA88" s="1664">
        <f t="shared" si="38"/>
        <v>64</v>
      </c>
      <c r="AB88" s="1668">
        <f t="shared" si="50"/>
        <v>0</v>
      </c>
      <c r="AC88" s="1666">
        <f t="shared" si="45"/>
        <v>0</v>
      </c>
      <c r="AD88" s="1670">
        <f t="shared" si="55"/>
        <v>0</v>
      </c>
      <c r="AE88" s="1668">
        <f t="shared" si="39"/>
        <v>0</v>
      </c>
      <c r="AF88" s="772"/>
      <c r="AG88" s="1664">
        <f t="shared" si="40"/>
        <v>64</v>
      </c>
      <c r="AH88" s="1668">
        <f t="shared" si="51"/>
        <v>0</v>
      </c>
      <c r="AI88" s="1666">
        <f t="shared" si="46"/>
        <v>0</v>
      </c>
      <c r="AJ88" s="1670">
        <f t="shared" si="56"/>
        <v>0</v>
      </c>
      <c r="AK88" s="1668">
        <f t="shared" si="41"/>
        <v>0</v>
      </c>
      <c r="AL88" s="772"/>
      <c r="AM88" s="772"/>
      <c r="AN88" s="772"/>
      <c r="AO88" s="772"/>
      <c r="AP88" s="772"/>
      <c r="AQ88" s="772"/>
      <c r="AR88" s="772"/>
      <c r="AS88" s="772"/>
      <c r="AT88" s="772"/>
      <c r="AU88" s="772"/>
      <c r="AV88" s="772"/>
      <c r="AW88" s="772"/>
      <c r="AX88" s="772"/>
      <c r="AY88" s="772"/>
      <c r="AZ88" s="772"/>
      <c r="BA88" s="772"/>
      <c r="BB88" s="772"/>
      <c r="BC88" s="772"/>
      <c r="BD88" s="772"/>
      <c r="BE88" s="772"/>
      <c r="BF88" s="772"/>
      <c r="BG88" s="772"/>
      <c r="BH88" s="772"/>
      <c r="BI88" s="772"/>
      <c r="BJ88" s="772"/>
      <c r="BK88" s="772"/>
      <c r="BL88" s="772"/>
      <c r="BM88" s="772"/>
      <c r="BN88" s="772"/>
      <c r="BO88" s="772"/>
      <c r="BP88" s="772"/>
      <c r="BQ88" s="772"/>
      <c r="BR88" s="772"/>
      <c r="BS88" s="772"/>
      <c r="BT88" s="772"/>
      <c r="BU88" s="772"/>
      <c r="BV88" s="772"/>
      <c r="BW88" s="772"/>
      <c r="BX88" s="772"/>
      <c r="BY88" s="772"/>
      <c r="BZ88" s="772"/>
      <c r="CA88" s="772"/>
      <c r="CB88" s="772"/>
      <c r="CC88" s="772"/>
      <c r="CD88" s="772"/>
      <c r="CE88" s="772"/>
      <c r="CF88" s="772"/>
      <c r="CG88" s="772"/>
      <c r="CH88" s="772"/>
      <c r="CI88" s="772"/>
      <c r="CJ88" s="772"/>
      <c r="CK88" s="772"/>
      <c r="CL88" s="772"/>
      <c r="CM88" s="772"/>
      <c r="CN88" s="772"/>
      <c r="CO88" s="772"/>
      <c r="CP88" s="772"/>
      <c r="CQ88" s="772"/>
      <c r="CR88" s="772"/>
      <c r="CS88" s="772"/>
      <c r="CT88" s="772"/>
      <c r="CU88" s="772"/>
      <c r="CV88" s="772"/>
      <c r="CW88" s="772"/>
      <c r="CX88" s="772"/>
      <c r="CY88" s="772"/>
      <c r="CZ88" s="772"/>
      <c r="DA88" s="772"/>
      <c r="DB88" s="772"/>
      <c r="DC88" s="772"/>
      <c r="DD88" s="772"/>
      <c r="DE88" s="772"/>
      <c r="DF88" s="772"/>
      <c r="DG88" s="772"/>
      <c r="DH88" s="772"/>
      <c r="DI88" s="772"/>
      <c r="DJ88" s="772"/>
      <c r="DK88" s="772"/>
      <c r="DL88" s="772"/>
      <c r="DM88" s="772"/>
      <c r="DN88" s="772"/>
      <c r="DO88" s="772"/>
      <c r="DP88" s="772"/>
      <c r="DQ88" s="772"/>
      <c r="DR88" s="772"/>
      <c r="DS88" s="772"/>
      <c r="DT88" s="772"/>
      <c r="DU88" s="772"/>
      <c r="DV88" s="772"/>
      <c r="DW88" s="772"/>
      <c r="DX88" s="772"/>
      <c r="DY88" s="772"/>
      <c r="DZ88" s="772"/>
      <c r="EA88" s="772"/>
      <c r="EB88" s="772"/>
      <c r="EC88" s="772"/>
      <c r="ED88" s="772"/>
      <c r="EE88" s="772"/>
      <c r="EF88" s="772"/>
      <c r="EG88" s="772"/>
      <c r="EH88" s="772"/>
      <c r="EI88" s="772"/>
      <c r="EJ88" s="772"/>
      <c r="EK88" s="772"/>
      <c r="EL88" s="772"/>
      <c r="EM88" s="772"/>
      <c r="EN88" s="772"/>
      <c r="EO88" s="772"/>
      <c r="EP88" s="772"/>
      <c r="EQ88" s="772"/>
      <c r="ER88" s="772"/>
      <c r="ES88" s="772"/>
      <c r="ET88" s="772"/>
      <c r="EU88" s="772"/>
      <c r="EV88" s="772"/>
      <c r="EW88" s="772"/>
      <c r="EX88" s="772"/>
      <c r="EY88" s="772"/>
      <c r="EZ88" s="772"/>
      <c r="FA88" s="772"/>
      <c r="FB88" s="772"/>
      <c r="FC88" s="772"/>
      <c r="FD88" s="772"/>
      <c r="FE88" s="772"/>
      <c r="FF88" s="772"/>
      <c r="FG88" s="772"/>
      <c r="FH88" s="772"/>
      <c r="FI88" s="772"/>
      <c r="FJ88" s="772"/>
      <c r="FK88" s="772"/>
      <c r="FL88" s="772"/>
      <c r="FM88" s="772"/>
      <c r="FN88" s="772"/>
      <c r="FO88" s="772"/>
      <c r="FP88" s="772"/>
      <c r="FQ88" s="772"/>
      <c r="FR88" s="772"/>
      <c r="FS88" s="772"/>
      <c r="FT88" s="772"/>
      <c r="FU88" s="772"/>
      <c r="FV88" s="772"/>
      <c r="FW88" s="772"/>
      <c r="FX88" s="772"/>
      <c r="FY88" s="772"/>
      <c r="FZ88" s="772"/>
      <c r="GA88" s="772"/>
      <c r="GB88" s="772"/>
      <c r="GC88" s="772"/>
      <c r="GD88" s="772"/>
      <c r="GE88" s="772"/>
      <c r="GF88" s="772"/>
      <c r="GG88" s="772"/>
      <c r="GH88" s="772"/>
      <c r="GI88" s="772"/>
      <c r="GJ88" s="772"/>
      <c r="GK88" s="772"/>
      <c r="GL88" s="772"/>
      <c r="GM88" s="772"/>
      <c r="GN88" s="772"/>
      <c r="GO88" s="772"/>
      <c r="GP88" s="772"/>
      <c r="GQ88" s="772"/>
      <c r="GR88" s="772"/>
      <c r="GS88" s="772"/>
      <c r="GT88" s="772"/>
      <c r="GU88" s="772"/>
      <c r="GV88" s="772"/>
      <c r="GW88" s="772"/>
      <c r="GX88" s="772"/>
      <c r="GY88" s="772"/>
      <c r="GZ88" s="772"/>
      <c r="HA88" s="772"/>
      <c r="HB88" s="772"/>
      <c r="HC88" s="772"/>
      <c r="HD88" s="772"/>
      <c r="HE88" s="772"/>
      <c r="HF88" s="772"/>
      <c r="HG88" s="772"/>
      <c r="HH88" s="772"/>
      <c r="HI88" s="772"/>
      <c r="HJ88" s="772"/>
      <c r="HK88" s="772"/>
      <c r="HL88" s="772"/>
      <c r="HM88" s="772"/>
      <c r="HN88" s="772"/>
      <c r="HO88" s="772"/>
      <c r="HP88" s="772"/>
      <c r="HQ88" s="772"/>
      <c r="HR88" s="772"/>
      <c r="HS88" s="772"/>
      <c r="HT88" s="772"/>
      <c r="HU88" s="772"/>
      <c r="HV88" s="772"/>
      <c r="HW88" s="772"/>
      <c r="HX88" s="772"/>
      <c r="HY88" s="772"/>
      <c r="HZ88" s="772"/>
      <c r="IA88" s="772"/>
      <c r="IB88" s="772"/>
      <c r="IC88" s="772"/>
      <c r="ID88" s="772"/>
      <c r="IE88" s="772"/>
      <c r="IF88" s="772"/>
      <c r="IG88" s="772"/>
      <c r="IH88" s="772"/>
      <c r="II88" s="772"/>
      <c r="IJ88" s="772"/>
      <c r="IK88" s="772"/>
    </row>
    <row r="89" spans="1:245" s="765" customFormat="1" ht="20.100000000000001" customHeight="1" x14ac:dyDescent="0.25">
      <c r="A89" s="772"/>
      <c r="B89" s="783"/>
      <c r="C89" s="784"/>
      <c r="D89" s="784"/>
      <c r="E89" s="784"/>
      <c r="F89" s="784"/>
      <c r="G89" s="784"/>
      <c r="H89" s="772"/>
      <c r="I89" s="1664">
        <f t="shared" si="32"/>
        <v>65</v>
      </c>
      <c r="J89" s="1668">
        <f t="shared" ref="J89:J156" si="57">ROUND(IF(I89&gt;annuité_emprunt1,0,IF(I89&gt;différé_emprunt1,-PMT((taux_emprunt1/périodicité_emprunt1),(annuité_emprunt1-différé_emprunt1),emprunt1),emprunt1*taux_emprunt1/périodicité_emprunt1)),2)</f>
        <v>0</v>
      </c>
      <c r="K89" s="1666">
        <f t="shared" si="42"/>
        <v>0</v>
      </c>
      <c r="L89" s="1670">
        <f t="shared" si="52"/>
        <v>0</v>
      </c>
      <c r="M89" s="1668">
        <f t="shared" si="33"/>
        <v>0</v>
      </c>
      <c r="N89" s="772"/>
      <c r="O89" s="1664">
        <f t="shared" si="34"/>
        <v>65</v>
      </c>
      <c r="P89" s="1668">
        <f t="shared" ref="P89:P156" si="58">ROUND(IF(O89&gt;annuité_emprunt2,0,IF(O89&gt;différé_emprunt2,-PMT((taux_emprunt2/périodicité_emprunt2),(annuité_emprunt2-différé_emprunt2),emprunt2),emprunt2*taux_emprunt2/périodicité_emprunt2)),2)</f>
        <v>0</v>
      </c>
      <c r="Q89" s="1666">
        <f t="shared" si="43"/>
        <v>0</v>
      </c>
      <c r="R89" s="1670">
        <f t="shared" si="53"/>
        <v>0</v>
      </c>
      <c r="S89" s="1668">
        <f t="shared" si="35"/>
        <v>0</v>
      </c>
      <c r="T89" s="772"/>
      <c r="U89" s="1664">
        <f t="shared" si="36"/>
        <v>65</v>
      </c>
      <c r="V89" s="1668">
        <f t="shared" ref="V89:V120" si="59">ROUND(IF(U89&gt;annuité_emprunt3,0,IF(U89&gt;différé_emprunt3,-PMT((taux_emprunt3/périodicité_emprunt3),(annuité_emprunt3-différé_emprunt3),emprunt3),emprunt3*taux_emprunt3/périodicité_emprunt3)),2)</f>
        <v>0</v>
      </c>
      <c r="W89" s="1666">
        <f t="shared" si="44"/>
        <v>0</v>
      </c>
      <c r="X89" s="1670">
        <f t="shared" si="54"/>
        <v>0</v>
      </c>
      <c r="Y89" s="1668">
        <f t="shared" si="37"/>
        <v>0</v>
      </c>
      <c r="Z89" s="772"/>
      <c r="AA89" s="1664">
        <f t="shared" si="38"/>
        <v>65</v>
      </c>
      <c r="AB89" s="1668">
        <f t="shared" ref="AB89:AB120" si="60">ROUND(IF(AA89&gt;annuité_emprunt4,0,IF(AA89&gt;différé_emprunt4,-PMT((taux_emprunt4/périodicité_emprunt4),(annuité_emprunt4-différé_emprunt4),emprunt4),emprunt4*taux_emprunt4/périodicité_emprunt4)),2)</f>
        <v>0</v>
      </c>
      <c r="AC89" s="1666">
        <f t="shared" si="45"/>
        <v>0</v>
      </c>
      <c r="AD89" s="1670">
        <f t="shared" si="55"/>
        <v>0</v>
      </c>
      <c r="AE89" s="1668">
        <f t="shared" si="39"/>
        <v>0</v>
      </c>
      <c r="AF89" s="772"/>
      <c r="AG89" s="1664">
        <f t="shared" si="40"/>
        <v>65</v>
      </c>
      <c r="AH89" s="1668">
        <f t="shared" ref="AH89:AH120" si="61">ROUND(IF(AG89&gt;annuité_emprunt5,0,IF(AG89&gt;différé_emprunt5,-PMT((taux_emprunt5/périodicité_emprunt5),(annuité_emprunt5-différé_emprunt5),emprunt5),emprunt5*taux_emprunt5/périodicité_emprunt5)),2)</f>
        <v>0</v>
      </c>
      <c r="AI89" s="1666">
        <f t="shared" si="46"/>
        <v>0</v>
      </c>
      <c r="AJ89" s="1670">
        <f t="shared" si="56"/>
        <v>0</v>
      </c>
      <c r="AK89" s="1668">
        <f t="shared" si="41"/>
        <v>0</v>
      </c>
      <c r="AL89" s="772"/>
      <c r="AM89" s="772"/>
      <c r="AN89" s="772"/>
      <c r="AO89" s="772"/>
      <c r="AP89" s="772"/>
      <c r="AQ89" s="772"/>
      <c r="AR89" s="772"/>
      <c r="AS89" s="772"/>
      <c r="AT89" s="772"/>
      <c r="AU89" s="772"/>
      <c r="AV89" s="772"/>
      <c r="AW89" s="772"/>
      <c r="AX89" s="772"/>
      <c r="AY89" s="772"/>
      <c r="AZ89" s="772"/>
      <c r="BA89" s="772"/>
      <c r="BB89" s="772"/>
      <c r="BC89" s="772"/>
      <c r="BD89" s="772"/>
      <c r="BE89" s="772"/>
      <c r="BF89" s="772"/>
      <c r="BG89" s="772"/>
      <c r="BH89" s="772"/>
      <c r="BI89" s="772"/>
      <c r="BJ89" s="772"/>
      <c r="BK89" s="772"/>
      <c r="BL89" s="772"/>
      <c r="BM89" s="772"/>
      <c r="BN89" s="772"/>
      <c r="BO89" s="772"/>
      <c r="BP89" s="772"/>
      <c r="BQ89" s="772"/>
      <c r="BR89" s="772"/>
      <c r="BS89" s="772"/>
      <c r="BT89" s="772"/>
      <c r="BU89" s="772"/>
      <c r="BV89" s="772"/>
      <c r="BW89" s="772"/>
      <c r="BX89" s="772"/>
      <c r="BY89" s="772"/>
      <c r="BZ89" s="772"/>
      <c r="CA89" s="772"/>
      <c r="CB89" s="772"/>
      <c r="CC89" s="772"/>
      <c r="CD89" s="772"/>
      <c r="CE89" s="772"/>
      <c r="CF89" s="772"/>
      <c r="CG89" s="772"/>
      <c r="CH89" s="772"/>
      <c r="CI89" s="772"/>
      <c r="CJ89" s="772"/>
      <c r="CK89" s="772"/>
      <c r="CL89" s="772"/>
      <c r="CM89" s="772"/>
      <c r="CN89" s="772"/>
      <c r="CO89" s="772"/>
      <c r="CP89" s="772"/>
      <c r="CQ89" s="772"/>
      <c r="CR89" s="772"/>
      <c r="CS89" s="772"/>
      <c r="CT89" s="772"/>
      <c r="CU89" s="772"/>
      <c r="CV89" s="772"/>
      <c r="CW89" s="772"/>
      <c r="CX89" s="772"/>
      <c r="CY89" s="772"/>
      <c r="CZ89" s="772"/>
      <c r="DA89" s="772"/>
      <c r="DB89" s="772"/>
      <c r="DC89" s="772"/>
      <c r="DD89" s="772"/>
      <c r="DE89" s="772"/>
      <c r="DF89" s="772"/>
      <c r="DG89" s="772"/>
      <c r="DH89" s="772"/>
      <c r="DI89" s="772"/>
      <c r="DJ89" s="772"/>
      <c r="DK89" s="772"/>
      <c r="DL89" s="772"/>
      <c r="DM89" s="772"/>
      <c r="DN89" s="772"/>
      <c r="DO89" s="772"/>
      <c r="DP89" s="772"/>
      <c r="DQ89" s="772"/>
      <c r="DR89" s="772"/>
      <c r="DS89" s="772"/>
      <c r="DT89" s="772"/>
      <c r="DU89" s="772"/>
      <c r="DV89" s="772"/>
      <c r="DW89" s="772"/>
      <c r="DX89" s="772"/>
      <c r="DY89" s="772"/>
      <c r="DZ89" s="772"/>
      <c r="EA89" s="772"/>
      <c r="EB89" s="772"/>
      <c r="EC89" s="772"/>
      <c r="ED89" s="772"/>
      <c r="EE89" s="772"/>
      <c r="EF89" s="772"/>
      <c r="EG89" s="772"/>
      <c r="EH89" s="772"/>
      <c r="EI89" s="772"/>
      <c r="EJ89" s="772"/>
      <c r="EK89" s="772"/>
      <c r="EL89" s="772"/>
      <c r="EM89" s="772"/>
      <c r="EN89" s="772"/>
      <c r="EO89" s="772"/>
      <c r="EP89" s="772"/>
      <c r="EQ89" s="772"/>
      <c r="ER89" s="772"/>
      <c r="ES89" s="772"/>
      <c r="ET89" s="772"/>
      <c r="EU89" s="772"/>
      <c r="EV89" s="772"/>
      <c r="EW89" s="772"/>
      <c r="EX89" s="772"/>
      <c r="EY89" s="772"/>
      <c r="EZ89" s="772"/>
      <c r="FA89" s="772"/>
      <c r="FB89" s="772"/>
      <c r="FC89" s="772"/>
      <c r="FD89" s="772"/>
      <c r="FE89" s="772"/>
      <c r="FF89" s="772"/>
      <c r="FG89" s="772"/>
      <c r="FH89" s="772"/>
      <c r="FI89" s="772"/>
      <c r="FJ89" s="772"/>
      <c r="FK89" s="772"/>
      <c r="FL89" s="772"/>
      <c r="FM89" s="772"/>
      <c r="FN89" s="772"/>
      <c r="FO89" s="772"/>
      <c r="FP89" s="772"/>
      <c r="FQ89" s="772"/>
      <c r="FR89" s="772"/>
      <c r="FS89" s="772"/>
      <c r="FT89" s="772"/>
      <c r="FU89" s="772"/>
      <c r="FV89" s="772"/>
      <c r="FW89" s="772"/>
      <c r="FX89" s="772"/>
      <c r="FY89" s="772"/>
      <c r="FZ89" s="772"/>
      <c r="GA89" s="772"/>
      <c r="GB89" s="772"/>
      <c r="GC89" s="772"/>
      <c r="GD89" s="772"/>
      <c r="GE89" s="772"/>
      <c r="GF89" s="772"/>
      <c r="GG89" s="772"/>
      <c r="GH89" s="772"/>
      <c r="GI89" s="772"/>
      <c r="GJ89" s="772"/>
      <c r="GK89" s="772"/>
      <c r="GL89" s="772"/>
      <c r="GM89" s="772"/>
      <c r="GN89" s="772"/>
      <c r="GO89" s="772"/>
      <c r="GP89" s="772"/>
      <c r="GQ89" s="772"/>
      <c r="GR89" s="772"/>
      <c r="GS89" s="772"/>
      <c r="GT89" s="772"/>
      <c r="GU89" s="772"/>
      <c r="GV89" s="772"/>
      <c r="GW89" s="772"/>
      <c r="GX89" s="772"/>
      <c r="GY89" s="772"/>
      <c r="GZ89" s="772"/>
      <c r="HA89" s="772"/>
      <c r="HB89" s="772"/>
      <c r="HC89" s="772"/>
      <c r="HD89" s="772"/>
      <c r="HE89" s="772"/>
      <c r="HF89" s="772"/>
      <c r="HG89" s="772"/>
      <c r="HH89" s="772"/>
      <c r="HI89" s="772"/>
      <c r="HJ89" s="772"/>
      <c r="HK89" s="772"/>
      <c r="HL89" s="772"/>
      <c r="HM89" s="772"/>
      <c r="HN89" s="772"/>
      <c r="HO89" s="772"/>
      <c r="HP89" s="772"/>
      <c r="HQ89" s="772"/>
      <c r="HR89" s="772"/>
      <c r="HS89" s="772"/>
      <c r="HT89" s="772"/>
      <c r="HU89" s="772"/>
      <c r="HV89" s="772"/>
      <c r="HW89" s="772"/>
      <c r="HX89" s="772"/>
      <c r="HY89" s="772"/>
      <c r="HZ89" s="772"/>
      <c r="IA89" s="772"/>
      <c r="IB89" s="772"/>
      <c r="IC89" s="772"/>
      <c r="ID89" s="772"/>
      <c r="IE89" s="772"/>
      <c r="IF89" s="772"/>
      <c r="IG89" s="772"/>
      <c r="IH89" s="772"/>
      <c r="II89" s="772"/>
      <c r="IJ89" s="772"/>
      <c r="IK89" s="772"/>
    </row>
    <row r="90" spans="1:245" s="765" customFormat="1" ht="20.100000000000001" customHeight="1" x14ac:dyDescent="0.25">
      <c r="A90" s="772"/>
      <c r="B90" s="783"/>
      <c r="C90" s="784"/>
      <c r="D90" s="784"/>
      <c r="E90" s="784"/>
      <c r="F90" s="784"/>
      <c r="G90" s="784"/>
      <c r="H90" s="772"/>
      <c r="I90" s="1664">
        <f t="shared" si="32"/>
        <v>66</v>
      </c>
      <c r="J90" s="1668">
        <f t="shared" si="57"/>
        <v>0</v>
      </c>
      <c r="K90" s="1666">
        <f t="shared" si="42"/>
        <v>0</v>
      </c>
      <c r="L90" s="1670">
        <f t="shared" ref="L90:L105" si="62">ROUND(IF(J90=0,0,IF(I90=annuité_emprunt1,M89,IF(I90&gt;différé_emprunt1,-PPMT((taux_emprunt1/périodicité_emprunt1),I90-différé_emprunt1,(annuité_emprunt1-différé_emprunt1),emprunt1),0))),2)</f>
        <v>0</v>
      </c>
      <c r="M90" s="1668">
        <f t="shared" si="33"/>
        <v>0</v>
      </c>
      <c r="N90" s="772"/>
      <c r="O90" s="1664">
        <f t="shared" si="34"/>
        <v>66</v>
      </c>
      <c r="P90" s="1668">
        <f t="shared" si="58"/>
        <v>0</v>
      </c>
      <c r="Q90" s="1666">
        <f t="shared" si="43"/>
        <v>0</v>
      </c>
      <c r="R90" s="1670">
        <f t="shared" ref="R90:R105" si="63">ROUND(IF(P90=0,0,IF(O90=annuité_emprunt2,S89,IF(O90&gt;différé_emprunt2,-PPMT((taux_emprunt2/périodicité_emprunt2),O90-différé_emprunt2,(annuité_emprunt2-différé_emprunt2),emprunt2),0))),2)</f>
        <v>0</v>
      </c>
      <c r="S90" s="1668">
        <f t="shared" si="35"/>
        <v>0</v>
      </c>
      <c r="T90" s="772"/>
      <c r="U90" s="1664">
        <f t="shared" si="36"/>
        <v>66</v>
      </c>
      <c r="V90" s="1668">
        <f t="shared" si="59"/>
        <v>0</v>
      </c>
      <c r="W90" s="1666">
        <f t="shared" si="44"/>
        <v>0</v>
      </c>
      <c r="X90" s="1670">
        <f t="shared" ref="X90:X121" si="64">ROUND(IF(V90=0,0,IF(U90=annuité_emprunt3,Y89,IF(U90&gt;différé_emprunt3,-PPMT((taux_emprunt3/périodicité_emprunt3),U90-différé_emprunt3,(annuité_emprunt3-différé_emprunt3),emprunt3),0))),2)</f>
        <v>0</v>
      </c>
      <c r="Y90" s="1668">
        <f t="shared" si="37"/>
        <v>0</v>
      </c>
      <c r="Z90" s="772"/>
      <c r="AA90" s="1664">
        <f t="shared" si="38"/>
        <v>66</v>
      </c>
      <c r="AB90" s="1668">
        <f t="shared" si="60"/>
        <v>0</v>
      </c>
      <c r="AC90" s="1666">
        <f t="shared" si="45"/>
        <v>0</v>
      </c>
      <c r="AD90" s="1670">
        <f t="shared" ref="AD90:AD121" si="65">ROUND(IF(AB90=0,0,IF(AA90=annuité_emprunt4,AE89,IF(AA90&gt;différé_emprunt4,-PPMT((taux_emprunt4/périodicité_emprunt4),AA90-différé_emprunt4,(annuité_emprunt4-différé_emprunt4),emprunt4),0))),2)</f>
        <v>0</v>
      </c>
      <c r="AE90" s="1668">
        <f t="shared" si="39"/>
        <v>0</v>
      </c>
      <c r="AF90" s="772"/>
      <c r="AG90" s="1664">
        <f t="shared" si="40"/>
        <v>66</v>
      </c>
      <c r="AH90" s="1668">
        <f t="shared" si="61"/>
        <v>0</v>
      </c>
      <c r="AI90" s="1666">
        <f t="shared" si="46"/>
        <v>0</v>
      </c>
      <c r="AJ90" s="1670">
        <f t="shared" ref="AJ90:AJ121" si="66">ROUND(IF(AH90=0,0,IF(AG90=annuité_emprunt5,AK89,IF(AG90&gt;différé_emprunt5,-PPMT((taux_emprunt5/périodicité_emprunt5),AG90-différé_emprunt5,(annuité_emprunt5-différé_emprunt5),emprunt5),0))),2)</f>
        <v>0</v>
      </c>
      <c r="AK90" s="1668">
        <f t="shared" si="41"/>
        <v>0</v>
      </c>
      <c r="AL90" s="772"/>
      <c r="AM90" s="772"/>
      <c r="AN90" s="772"/>
      <c r="AO90" s="772"/>
      <c r="AP90" s="772"/>
      <c r="AQ90" s="772"/>
      <c r="AR90" s="772"/>
      <c r="AS90" s="772"/>
      <c r="AT90" s="772"/>
      <c r="AU90" s="772"/>
      <c r="AV90" s="772"/>
      <c r="AW90" s="772"/>
      <c r="AX90" s="772"/>
      <c r="AY90" s="772"/>
      <c r="AZ90" s="772"/>
      <c r="BA90" s="772"/>
      <c r="BB90" s="772"/>
      <c r="BC90" s="772"/>
      <c r="BD90" s="772"/>
      <c r="BE90" s="772"/>
      <c r="BF90" s="772"/>
      <c r="BG90" s="772"/>
      <c r="BH90" s="772"/>
      <c r="BI90" s="772"/>
      <c r="BJ90" s="772"/>
      <c r="BK90" s="772"/>
      <c r="BL90" s="772"/>
      <c r="BM90" s="772"/>
      <c r="BN90" s="772"/>
      <c r="BO90" s="772"/>
      <c r="BP90" s="772"/>
      <c r="BQ90" s="772"/>
      <c r="BR90" s="772"/>
      <c r="BS90" s="772"/>
      <c r="BT90" s="772"/>
      <c r="BU90" s="772"/>
      <c r="BV90" s="772"/>
      <c r="BW90" s="772"/>
      <c r="BX90" s="772"/>
      <c r="BY90" s="772"/>
      <c r="BZ90" s="772"/>
      <c r="CA90" s="772"/>
      <c r="CB90" s="772"/>
      <c r="CC90" s="772"/>
      <c r="CD90" s="772"/>
      <c r="CE90" s="772"/>
      <c r="CF90" s="772"/>
      <c r="CG90" s="772"/>
      <c r="CH90" s="772"/>
      <c r="CI90" s="772"/>
      <c r="CJ90" s="772"/>
      <c r="CK90" s="772"/>
      <c r="CL90" s="772"/>
      <c r="CM90" s="772"/>
      <c r="CN90" s="772"/>
      <c r="CO90" s="772"/>
      <c r="CP90" s="772"/>
      <c r="CQ90" s="772"/>
      <c r="CR90" s="772"/>
      <c r="CS90" s="772"/>
      <c r="CT90" s="772"/>
      <c r="CU90" s="772"/>
      <c r="CV90" s="772"/>
      <c r="CW90" s="772"/>
      <c r="CX90" s="772"/>
      <c r="CY90" s="772"/>
      <c r="CZ90" s="772"/>
      <c r="DA90" s="772"/>
      <c r="DB90" s="772"/>
      <c r="DC90" s="772"/>
      <c r="DD90" s="772"/>
      <c r="DE90" s="772"/>
      <c r="DF90" s="772"/>
      <c r="DG90" s="772"/>
      <c r="DH90" s="772"/>
      <c r="DI90" s="772"/>
      <c r="DJ90" s="772"/>
      <c r="DK90" s="772"/>
      <c r="DL90" s="772"/>
      <c r="DM90" s="772"/>
      <c r="DN90" s="772"/>
      <c r="DO90" s="772"/>
      <c r="DP90" s="772"/>
      <c r="DQ90" s="772"/>
      <c r="DR90" s="772"/>
      <c r="DS90" s="772"/>
      <c r="DT90" s="772"/>
      <c r="DU90" s="772"/>
      <c r="DV90" s="772"/>
      <c r="DW90" s="772"/>
      <c r="DX90" s="772"/>
      <c r="DY90" s="772"/>
      <c r="DZ90" s="772"/>
      <c r="EA90" s="772"/>
      <c r="EB90" s="772"/>
      <c r="EC90" s="772"/>
      <c r="ED90" s="772"/>
      <c r="EE90" s="772"/>
      <c r="EF90" s="772"/>
      <c r="EG90" s="772"/>
      <c r="EH90" s="772"/>
      <c r="EI90" s="772"/>
      <c r="EJ90" s="772"/>
      <c r="EK90" s="772"/>
      <c r="EL90" s="772"/>
      <c r="EM90" s="772"/>
      <c r="EN90" s="772"/>
      <c r="EO90" s="772"/>
      <c r="EP90" s="772"/>
      <c r="EQ90" s="772"/>
      <c r="ER90" s="772"/>
      <c r="ES90" s="772"/>
      <c r="ET90" s="772"/>
      <c r="EU90" s="772"/>
      <c r="EV90" s="772"/>
      <c r="EW90" s="772"/>
      <c r="EX90" s="772"/>
      <c r="EY90" s="772"/>
      <c r="EZ90" s="772"/>
      <c r="FA90" s="772"/>
      <c r="FB90" s="772"/>
      <c r="FC90" s="772"/>
      <c r="FD90" s="772"/>
      <c r="FE90" s="772"/>
      <c r="FF90" s="772"/>
      <c r="FG90" s="772"/>
      <c r="FH90" s="772"/>
      <c r="FI90" s="772"/>
      <c r="FJ90" s="772"/>
      <c r="FK90" s="772"/>
      <c r="FL90" s="772"/>
      <c r="FM90" s="772"/>
      <c r="FN90" s="772"/>
      <c r="FO90" s="772"/>
      <c r="FP90" s="772"/>
      <c r="FQ90" s="772"/>
      <c r="FR90" s="772"/>
      <c r="FS90" s="772"/>
      <c r="FT90" s="772"/>
      <c r="FU90" s="772"/>
      <c r="FV90" s="772"/>
      <c r="FW90" s="772"/>
      <c r="FX90" s="772"/>
      <c r="FY90" s="772"/>
      <c r="FZ90" s="772"/>
      <c r="GA90" s="772"/>
      <c r="GB90" s="772"/>
      <c r="GC90" s="772"/>
      <c r="GD90" s="772"/>
      <c r="GE90" s="772"/>
      <c r="GF90" s="772"/>
      <c r="GG90" s="772"/>
      <c r="GH90" s="772"/>
      <c r="GI90" s="772"/>
      <c r="GJ90" s="772"/>
      <c r="GK90" s="772"/>
      <c r="GL90" s="772"/>
      <c r="GM90" s="772"/>
      <c r="GN90" s="772"/>
      <c r="GO90" s="772"/>
      <c r="GP90" s="772"/>
      <c r="GQ90" s="772"/>
      <c r="GR90" s="772"/>
      <c r="GS90" s="772"/>
      <c r="GT90" s="772"/>
      <c r="GU90" s="772"/>
      <c r="GV90" s="772"/>
      <c r="GW90" s="772"/>
      <c r="GX90" s="772"/>
      <c r="GY90" s="772"/>
      <c r="GZ90" s="772"/>
      <c r="HA90" s="772"/>
      <c r="HB90" s="772"/>
      <c r="HC90" s="772"/>
      <c r="HD90" s="772"/>
      <c r="HE90" s="772"/>
      <c r="HF90" s="772"/>
      <c r="HG90" s="772"/>
      <c r="HH90" s="772"/>
      <c r="HI90" s="772"/>
      <c r="HJ90" s="772"/>
      <c r="HK90" s="772"/>
      <c r="HL90" s="772"/>
      <c r="HM90" s="772"/>
      <c r="HN90" s="772"/>
      <c r="HO90" s="772"/>
      <c r="HP90" s="772"/>
      <c r="HQ90" s="772"/>
      <c r="HR90" s="772"/>
      <c r="HS90" s="772"/>
      <c r="HT90" s="772"/>
      <c r="HU90" s="772"/>
      <c r="HV90" s="772"/>
      <c r="HW90" s="772"/>
      <c r="HX90" s="772"/>
      <c r="HY90" s="772"/>
      <c r="HZ90" s="772"/>
      <c r="IA90" s="772"/>
      <c r="IB90" s="772"/>
      <c r="IC90" s="772"/>
      <c r="ID90" s="772"/>
      <c r="IE90" s="772"/>
      <c r="IF90" s="772"/>
      <c r="IG90" s="772"/>
      <c r="IH90" s="772"/>
      <c r="II90" s="772"/>
      <c r="IJ90" s="772"/>
      <c r="IK90" s="772"/>
    </row>
    <row r="91" spans="1:245" s="765" customFormat="1" ht="20.100000000000001" customHeight="1" x14ac:dyDescent="0.25">
      <c r="A91" s="772"/>
      <c r="B91" s="783"/>
      <c r="C91" s="784"/>
      <c r="D91" s="784"/>
      <c r="E91" s="784"/>
      <c r="F91" s="784"/>
      <c r="G91" s="784"/>
      <c r="H91" s="772"/>
      <c r="I91" s="1664">
        <f t="shared" ref="I91:I154" si="67">1+I90</f>
        <v>67</v>
      </c>
      <c r="J91" s="1668">
        <f t="shared" si="57"/>
        <v>0</v>
      </c>
      <c r="K91" s="1666">
        <f t="shared" si="42"/>
        <v>0</v>
      </c>
      <c r="L91" s="1670">
        <f t="shared" si="62"/>
        <v>0</v>
      </c>
      <c r="M91" s="1668">
        <f t="shared" ref="M91:M154" si="68">M90-L91</f>
        <v>0</v>
      </c>
      <c r="N91" s="772"/>
      <c r="O91" s="1664">
        <f t="shared" ref="O91:O154" si="69">1+O90</f>
        <v>67</v>
      </c>
      <c r="P91" s="1668">
        <f t="shared" si="58"/>
        <v>0</v>
      </c>
      <c r="Q91" s="1666">
        <f t="shared" si="43"/>
        <v>0</v>
      </c>
      <c r="R91" s="1670">
        <f t="shared" si="63"/>
        <v>0</v>
      </c>
      <c r="S91" s="1668">
        <f t="shared" ref="S91:S154" si="70">S90-R91</f>
        <v>0</v>
      </c>
      <c r="T91" s="772"/>
      <c r="U91" s="1664">
        <f t="shared" ref="U91:U154" si="71">1+U90</f>
        <v>67</v>
      </c>
      <c r="V91" s="1668">
        <f t="shared" si="59"/>
        <v>0</v>
      </c>
      <c r="W91" s="1666">
        <f t="shared" si="44"/>
        <v>0</v>
      </c>
      <c r="X91" s="1670">
        <f t="shared" si="64"/>
        <v>0</v>
      </c>
      <c r="Y91" s="1668">
        <f t="shared" ref="Y91:Y154" si="72">Y90-X91</f>
        <v>0</v>
      </c>
      <c r="Z91" s="772"/>
      <c r="AA91" s="1664">
        <f t="shared" ref="AA91:AA154" si="73">1+AA90</f>
        <v>67</v>
      </c>
      <c r="AB91" s="1668">
        <f t="shared" si="60"/>
        <v>0</v>
      </c>
      <c r="AC91" s="1666">
        <f t="shared" si="45"/>
        <v>0</v>
      </c>
      <c r="AD91" s="1670">
        <f t="shared" si="65"/>
        <v>0</v>
      </c>
      <c r="AE91" s="1668">
        <f t="shared" ref="AE91:AE154" si="74">AE90-AD91</f>
        <v>0</v>
      </c>
      <c r="AF91" s="772"/>
      <c r="AG91" s="1664">
        <f t="shared" ref="AG91:AG154" si="75">1+AG90</f>
        <v>67</v>
      </c>
      <c r="AH91" s="1668">
        <f t="shared" si="61"/>
        <v>0</v>
      </c>
      <c r="AI91" s="1666">
        <f t="shared" si="46"/>
        <v>0</v>
      </c>
      <c r="AJ91" s="1670">
        <f t="shared" si="66"/>
        <v>0</v>
      </c>
      <c r="AK91" s="1668">
        <f t="shared" ref="AK91:AK154" si="76">AK90-AJ91</f>
        <v>0</v>
      </c>
      <c r="AL91" s="772"/>
      <c r="AM91" s="772"/>
      <c r="AN91" s="772"/>
      <c r="AO91" s="772"/>
      <c r="AP91" s="772"/>
      <c r="AQ91" s="772"/>
      <c r="AR91" s="772"/>
      <c r="AS91" s="772"/>
      <c r="AT91" s="772"/>
      <c r="AU91" s="772"/>
      <c r="AV91" s="772"/>
      <c r="AW91" s="772"/>
      <c r="AX91" s="772"/>
      <c r="AY91" s="772"/>
      <c r="AZ91" s="772"/>
      <c r="BA91" s="772"/>
      <c r="BB91" s="772"/>
      <c r="BC91" s="772"/>
      <c r="BD91" s="772"/>
      <c r="BE91" s="772"/>
      <c r="BF91" s="772"/>
      <c r="BG91" s="772"/>
      <c r="BH91" s="772"/>
      <c r="BI91" s="772"/>
      <c r="BJ91" s="772"/>
      <c r="BK91" s="772"/>
      <c r="BL91" s="772"/>
      <c r="BM91" s="772"/>
      <c r="BN91" s="772"/>
      <c r="BO91" s="772"/>
      <c r="BP91" s="772"/>
      <c r="BQ91" s="772"/>
      <c r="BR91" s="772"/>
      <c r="BS91" s="772"/>
      <c r="BT91" s="772"/>
      <c r="BU91" s="772"/>
      <c r="BV91" s="772"/>
      <c r="BW91" s="772"/>
      <c r="BX91" s="772"/>
      <c r="BY91" s="772"/>
      <c r="BZ91" s="772"/>
      <c r="CA91" s="772"/>
      <c r="CB91" s="772"/>
      <c r="CC91" s="772"/>
      <c r="CD91" s="772"/>
      <c r="CE91" s="772"/>
      <c r="CF91" s="772"/>
      <c r="CG91" s="772"/>
      <c r="CH91" s="772"/>
      <c r="CI91" s="772"/>
      <c r="CJ91" s="772"/>
      <c r="CK91" s="772"/>
      <c r="CL91" s="772"/>
      <c r="CM91" s="772"/>
      <c r="CN91" s="772"/>
      <c r="CO91" s="772"/>
      <c r="CP91" s="772"/>
      <c r="CQ91" s="772"/>
      <c r="CR91" s="772"/>
      <c r="CS91" s="772"/>
      <c r="CT91" s="772"/>
      <c r="CU91" s="772"/>
      <c r="CV91" s="772"/>
      <c r="CW91" s="772"/>
      <c r="CX91" s="772"/>
      <c r="CY91" s="772"/>
      <c r="CZ91" s="772"/>
      <c r="DA91" s="772"/>
      <c r="DB91" s="772"/>
      <c r="DC91" s="772"/>
      <c r="DD91" s="772"/>
      <c r="DE91" s="772"/>
      <c r="DF91" s="772"/>
      <c r="DG91" s="772"/>
      <c r="DH91" s="772"/>
      <c r="DI91" s="772"/>
      <c r="DJ91" s="772"/>
      <c r="DK91" s="772"/>
      <c r="DL91" s="772"/>
      <c r="DM91" s="772"/>
      <c r="DN91" s="772"/>
      <c r="DO91" s="772"/>
      <c r="DP91" s="772"/>
      <c r="DQ91" s="772"/>
      <c r="DR91" s="772"/>
      <c r="DS91" s="772"/>
      <c r="DT91" s="772"/>
      <c r="DU91" s="772"/>
      <c r="DV91" s="772"/>
      <c r="DW91" s="772"/>
      <c r="DX91" s="772"/>
      <c r="DY91" s="772"/>
      <c r="DZ91" s="772"/>
      <c r="EA91" s="772"/>
      <c r="EB91" s="772"/>
      <c r="EC91" s="772"/>
      <c r="ED91" s="772"/>
      <c r="EE91" s="772"/>
      <c r="EF91" s="772"/>
      <c r="EG91" s="772"/>
      <c r="EH91" s="772"/>
      <c r="EI91" s="772"/>
      <c r="EJ91" s="772"/>
      <c r="EK91" s="772"/>
      <c r="EL91" s="772"/>
      <c r="EM91" s="772"/>
      <c r="EN91" s="772"/>
      <c r="EO91" s="772"/>
      <c r="EP91" s="772"/>
      <c r="EQ91" s="772"/>
      <c r="ER91" s="772"/>
      <c r="ES91" s="772"/>
      <c r="ET91" s="772"/>
      <c r="EU91" s="772"/>
      <c r="EV91" s="772"/>
      <c r="EW91" s="772"/>
      <c r="EX91" s="772"/>
      <c r="EY91" s="772"/>
      <c r="EZ91" s="772"/>
      <c r="FA91" s="772"/>
      <c r="FB91" s="772"/>
      <c r="FC91" s="772"/>
      <c r="FD91" s="772"/>
      <c r="FE91" s="772"/>
      <c r="FF91" s="772"/>
      <c r="FG91" s="772"/>
      <c r="FH91" s="772"/>
      <c r="FI91" s="772"/>
      <c r="FJ91" s="772"/>
      <c r="FK91" s="772"/>
      <c r="FL91" s="772"/>
      <c r="FM91" s="772"/>
      <c r="FN91" s="772"/>
      <c r="FO91" s="772"/>
      <c r="FP91" s="772"/>
      <c r="FQ91" s="772"/>
      <c r="FR91" s="772"/>
      <c r="FS91" s="772"/>
      <c r="FT91" s="772"/>
      <c r="FU91" s="772"/>
      <c r="FV91" s="772"/>
      <c r="FW91" s="772"/>
      <c r="FX91" s="772"/>
      <c r="FY91" s="772"/>
      <c r="FZ91" s="772"/>
      <c r="GA91" s="772"/>
      <c r="GB91" s="772"/>
      <c r="GC91" s="772"/>
      <c r="GD91" s="772"/>
      <c r="GE91" s="772"/>
      <c r="GF91" s="772"/>
      <c r="GG91" s="772"/>
      <c r="GH91" s="772"/>
      <c r="GI91" s="772"/>
      <c r="GJ91" s="772"/>
      <c r="GK91" s="772"/>
      <c r="GL91" s="772"/>
      <c r="GM91" s="772"/>
      <c r="GN91" s="772"/>
      <c r="GO91" s="772"/>
      <c r="GP91" s="772"/>
      <c r="GQ91" s="772"/>
      <c r="GR91" s="772"/>
      <c r="GS91" s="772"/>
      <c r="GT91" s="772"/>
      <c r="GU91" s="772"/>
      <c r="GV91" s="772"/>
      <c r="GW91" s="772"/>
      <c r="GX91" s="772"/>
      <c r="GY91" s="772"/>
      <c r="GZ91" s="772"/>
      <c r="HA91" s="772"/>
      <c r="HB91" s="772"/>
      <c r="HC91" s="772"/>
      <c r="HD91" s="772"/>
      <c r="HE91" s="772"/>
      <c r="HF91" s="772"/>
      <c r="HG91" s="772"/>
      <c r="HH91" s="772"/>
      <c r="HI91" s="772"/>
      <c r="HJ91" s="772"/>
      <c r="HK91" s="772"/>
      <c r="HL91" s="772"/>
      <c r="HM91" s="772"/>
      <c r="HN91" s="772"/>
      <c r="HO91" s="772"/>
      <c r="HP91" s="772"/>
      <c r="HQ91" s="772"/>
      <c r="HR91" s="772"/>
      <c r="HS91" s="772"/>
      <c r="HT91" s="772"/>
      <c r="HU91" s="772"/>
      <c r="HV91" s="772"/>
      <c r="HW91" s="772"/>
      <c r="HX91" s="772"/>
      <c r="HY91" s="772"/>
      <c r="HZ91" s="772"/>
      <c r="IA91" s="772"/>
      <c r="IB91" s="772"/>
      <c r="IC91" s="772"/>
      <c r="ID91" s="772"/>
      <c r="IE91" s="772"/>
      <c r="IF91" s="772"/>
      <c r="IG91" s="772"/>
      <c r="IH91" s="772"/>
      <c r="II91" s="772"/>
      <c r="IJ91" s="772"/>
      <c r="IK91" s="772"/>
    </row>
    <row r="92" spans="1:245" s="765" customFormat="1" ht="20.100000000000001" customHeight="1" x14ac:dyDescent="0.25">
      <c r="A92" s="772"/>
      <c r="B92" s="783"/>
      <c r="C92" s="784"/>
      <c r="D92" s="784"/>
      <c r="E92" s="784"/>
      <c r="F92" s="784"/>
      <c r="G92" s="784"/>
      <c r="H92" s="772"/>
      <c r="I92" s="1664">
        <f t="shared" si="67"/>
        <v>68</v>
      </c>
      <c r="J92" s="1668">
        <f t="shared" si="57"/>
        <v>0</v>
      </c>
      <c r="K92" s="1666">
        <f t="shared" ref="K92:K155" si="77">IF(J92=0,0,J92-L92)</f>
        <v>0</v>
      </c>
      <c r="L92" s="1670">
        <f t="shared" si="62"/>
        <v>0</v>
      </c>
      <c r="M92" s="1668">
        <f t="shared" si="68"/>
        <v>0</v>
      </c>
      <c r="N92" s="772"/>
      <c r="O92" s="1664">
        <f t="shared" si="69"/>
        <v>68</v>
      </c>
      <c r="P92" s="1668">
        <f t="shared" si="58"/>
        <v>0</v>
      </c>
      <c r="Q92" s="1666">
        <f t="shared" ref="Q92:Q155" si="78">IF(P92=0,0,P92-R92)</f>
        <v>0</v>
      </c>
      <c r="R92" s="1670">
        <f t="shared" si="63"/>
        <v>0</v>
      </c>
      <c r="S92" s="1668">
        <f t="shared" si="70"/>
        <v>0</v>
      </c>
      <c r="T92" s="772"/>
      <c r="U92" s="1664">
        <f t="shared" si="71"/>
        <v>68</v>
      </c>
      <c r="V92" s="1668">
        <f t="shared" si="59"/>
        <v>0</v>
      </c>
      <c r="W92" s="1666">
        <f t="shared" ref="W92:W155" si="79">IF(V92=0,0,V92-X92)</f>
        <v>0</v>
      </c>
      <c r="X92" s="1670">
        <f t="shared" si="64"/>
        <v>0</v>
      </c>
      <c r="Y92" s="1668">
        <f t="shared" si="72"/>
        <v>0</v>
      </c>
      <c r="Z92" s="772"/>
      <c r="AA92" s="1664">
        <f t="shared" si="73"/>
        <v>68</v>
      </c>
      <c r="AB92" s="1668">
        <f t="shared" si="60"/>
        <v>0</v>
      </c>
      <c r="AC92" s="1666">
        <f t="shared" ref="AC92:AC155" si="80">IF(AB92=0,0,AB92-AD92)</f>
        <v>0</v>
      </c>
      <c r="AD92" s="1670">
        <f t="shared" si="65"/>
        <v>0</v>
      </c>
      <c r="AE92" s="1668">
        <f t="shared" si="74"/>
        <v>0</v>
      </c>
      <c r="AF92" s="772"/>
      <c r="AG92" s="1664">
        <f t="shared" si="75"/>
        <v>68</v>
      </c>
      <c r="AH92" s="1668">
        <f t="shared" si="61"/>
        <v>0</v>
      </c>
      <c r="AI92" s="1666">
        <f t="shared" ref="AI92:AI155" si="81">IF(AH92=0,0,AH92-AJ92)</f>
        <v>0</v>
      </c>
      <c r="AJ92" s="1670">
        <f t="shared" si="66"/>
        <v>0</v>
      </c>
      <c r="AK92" s="1668">
        <f t="shared" si="76"/>
        <v>0</v>
      </c>
      <c r="AL92" s="772"/>
      <c r="AM92" s="772"/>
      <c r="AN92" s="772"/>
      <c r="AO92" s="772"/>
      <c r="AP92" s="772"/>
      <c r="AQ92" s="772"/>
      <c r="AR92" s="772"/>
      <c r="AS92" s="772"/>
      <c r="AT92" s="772"/>
      <c r="AU92" s="772"/>
      <c r="AV92" s="772"/>
      <c r="AW92" s="772"/>
      <c r="AX92" s="772"/>
      <c r="AY92" s="772"/>
      <c r="AZ92" s="772"/>
      <c r="BA92" s="772"/>
      <c r="BB92" s="772"/>
      <c r="BC92" s="772"/>
      <c r="BD92" s="772"/>
      <c r="BE92" s="772"/>
      <c r="BF92" s="772"/>
      <c r="BG92" s="772"/>
      <c r="BH92" s="772"/>
      <c r="BI92" s="772"/>
      <c r="BJ92" s="772"/>
      <c r="BK92" s="772"/>
      <c r="BL92" s="772"/>
      <c r="BM92" s="772"/>
      <c r="BN92" s="772"/>
      <c r="BO92" s="772"/>
      <c r="BP92" s="772"/>
      <c r="BQ92" s="772"/>
      <c r="BR92" s="772"/>
      <c r="BS92" s="772"/>
      <c r="BT92" s="772"/>
      <c r="BU92" s="772"/>
      <c r="BV92" s="772"/>
      <c r="BW92" s="772"/>
      <c r="BX92" s="772"/>
      <c r="BY92" s="772"/>
      <c r="BZ92" s="772"/>
      <c r="CA92" s="772"/>
      <c r="CB92" s="772"/>
      <c r="CC92" s="772"/>
      <c r="CD92" s="772"/>
      <c r="CE92" s="772"/>
      <c r="CF92" s="772"/>
      <c r="CG92" s="772"/>
      <c r="CH92" s="772"/>
      <c r="CI92" s="772"/>
      <c r="CJ92" s="772"/>
      <c r="CK92" s="772"/>
      <c r="CL92" s="772"/>
      <c r="CM92" s="772"/>
      <c r="CN92" s="772"/>
      <c r="CO92" s="772"/>
      <c r="CP92" s="772"/>
      <c r="CQ92" s="772"/>
      <c r="CR92" s="772"/>
      <c r="CS92" s="772"/>
      <c r="CT92" s="772"/>
      <c r="CU92" s="772"/>
      <c r="CV92" s="772"/>
      <c r="CW92" s="772"/>
      <c r="CX92" s="772"/>
      <c r="CY92" s="772"/>
      <c r="CZ92" s="772"/>
      <c r="DA92" s="772"/>
      <c r="DB92" s="772"/>
      <c r="DC92" s="772"/>
      <c r="DD92" s="772"/>
      <c r="DE92" s="772"/>
      <c r="DF92" s="772"/>
      <c r="DG92" s="772"/>
      <c r="DH92" s="772"/>
      <c r="DI92" s="772"/>
      <c r="DJ92" s="772"/>
      <c r="DK92" s="772"/>
      <c r="DL92" s="772"/>
      <c r="DM92" s="772"/>
      <c r="DN92" s="772"/>
      <c r="DO92" s="772"/>
      <c r="DP92" s="772"/>
      <c r="DQ92" s="772"/>
      <c r="DR92" s="772"/>
      <c r="DS92" s="772"/>
      <c r="DT92" s="772"/>
      <c r="DU92" s="772"/>
      <c r="DV92" s="772"/>
      <c r="DW92" s="772"/>
      <c r="DX92" s="772"/>
      <c r="DY92" s="772"/>
      <c r="DZ92" s="772"/>
      <c r="EA92" s="772"/>
      <c r="EB92" s="772"/>
      <c r="EC92" s="772"/>
      <c r="ED92" s="772"/>
      <c r="EE92" s="772"/>
      <c r="EF92" s="772"/>
      <c r="EG92" s="772"/>
      <c r="EH92" s="772"/>
      <c r="EI92" s="772"/>
      <c r="EJ92" s="772"/>
      <c r="EK92" s="772"/>
      <c r="EL92" s="772"/>
      <c r="EM92" s="772"/>
      <c r="EN92" s="772"/>
      <c r="EO92" s="772"/>
      <c r="EP92" s="772"/>
      <c r="EQ92" s="772"/>
      <c r="ER92" s="772"/>
      <c r="ES92" s="772"/>
      <c r="ET92" s="772"/>
      <c r="EU92" s="772"/>
      <c r="EV92" s="772"/>
      <c r="EW92" s="772"/>
      <c r="EX92" s="772"/>
      <c r="EY92" s="772"/>
      <c r="EZ92" s="772"/>
      <c r="FA92" s="772"/>
      <c r="FB92" s="772"/>
      <c r="FC92" s="772"/>
      <c r="FD92" s="772"/>
      <c r="FE92" s="772"/>
      <c r="FF92" s="772"/>
      <c r="FG92" s="772"/>
      <c r="FH92" s="772"/>
      <c r="FI92" s="772"/>
      <c r="FJ92" s="772"/>
      <c r="FK92" s="772"/>
      <c r="FL92" s="772"/>
      <c r="FM92" s="772"/>
      <c r="FN92" s="772"/>
      <c r="FO92" s="772"/>
      <c r="FP92" s="772"/>
      <c r="FQ92" s="772"/>
      <c r="FR92" s="772"/>
      <c r="FS92" s="772"/>
      <c r="FT92" s="772"/>
      <c r="FU92" s="772"/>
      <c r="FV92" s="772"/>
      <c r="FW92" s="772"/>
      <c r="FX92" s="772"/>
      <c r="FY92" s="772"/>
      <c r="FZ92" s="772"/>
      <c r="GA92" s="772"/>
      <c r="GB92" s="772"/>
      <c r="GC92" s="772"/>
      <c r="GD92" s="772"/>
      <c r="GE92" s="772"/>
      <c r="GF92" s="772"/>
      <c r="GG92" s="772"/>
      <c r="GH92" s="772"/>
      <c r="GI92" s="772"/>
      <c r="GJ92" s="772"/>
      <c r="GK92" s="772"/>
      <c r="GL92" s="772"/>
      <c r="GM92" s="772"/>
      <c r="GN92" s="772"/>
      <c r="GO92" s="772"/>
      <c r="GP92" s="772"/>
      <c r="GQ92" s="772"/>
      <c r="GR92" s="772"/>
      <c r="GS92" s="772"/>
      <c r="GT92" s="772"/>
      <c r="GU92" s="772"/>
      <c r="GV92" s="772"/>
      <c r="GW92" s="772"/>
      <c r="GX92" s="772"/>
      <c r="GY92" s="772"/>
      <c r="GZ92" s="772"/>
      <c r="HA92" s="772"/>
      <c r="HB92" s="772"/>
      <c r="HC92" s="772"/>
      <c r="HD92" s="772"/>
      <c r="HE92" s="772"/>
      <c r="HF92" s="772"/>
      <c r="HG92" s="772"/>
      <c r="HH92" s="772"/>
      <c r="HI92" s="772"/>
      <c r="HJ92" s="772"/>
      <c r="HK92" s="772"/>
      <c r="HL92" s="772"/>
      <c r="HM92" s="772"/>
      <c r="HN92" s="772"/>
      <c r="HO92" s="772"/>
      <c r="HP92" s="772"/>
      <c r="HQ92" s="772"/>
      <c r="HR92" s="772"/>
      <c r="HS92" s="772"/>
      <c r="HT92" s="772"/>
      <c r="HU92" s="772"/>
      <c r="HV92" s="772"/>
      <c r="HW92" s="772"/>
      <c r="HX92" s="772"/>
      <c r="HY92" s="772"/>
      <c r="HZ92" s="772"/>
      <c r="IA92" s="772"/>
      <c r="IB92" s="772"/>
      <c r="IC92" s="772"/>
      <c r="ID92" s="772"/>
      <c r="IE92" s="772"/>
      <c r="IF92" s="772"/>
      <c r="IG92" s="772"/>
      <c r="IH92" s="772"/>
      <c r="II92" s="772"/>
      <c r="IJ92" s="772"/>
      <c r="IK92" s="772"/>
    </row>
    <row r="93" spans="1:245" s="765" customFormat="1" ht="20.100000000000001" customHeight="1" x14ac:dyDescent="0.25">
      <c r="A93" s="772"/>
      <c r="B93" s="783"/>
      <c r="C93" s="784"/>
      <c r="D93" s="784"/>
      <c r="E93" s="784"/>
      <c r="F93" s="784"/>
      <c r="G93" s="784"/>
      <c r="H93" s="772"/>
      <c r="I93" s="1664">
        <f t="shared" si="67"/>
        <v>69</v>
      </c>
      <c r="J93" s="1668">
        <f t="shared" si="57"/>
        <v>0</v>
      </c>
      <c r="K93" s="1666">
        <f t="shared" si="77"/>
        <v>0</v>
      </c>
      <c r="L93" s="1670">
        <f t="shared" si="62"/>
        <v>0</v>
      </c>
      <c r="M93" s="1668">
        <f t="shared" si="68"/>
        <v>0</v>
      </c>
      <c r="N93" s="772"/>
      <c r="O93" s="1664">
        <f t="shared" si="69"/>
        <v>69</v>
      </c>
      <c r="P93" s="1668">
        <f t="shared" si="58"/>
        <v>0</v>
      </c>
      <c r="Q93" s="1666">
        <f t="shared" si="78"/>
        <v>0</v>
      </c>
      <c r="R93" s="1670">
        <f t="shared" si="63"/>
        <v>0</v>
      </c>
      <c r="S93" s="1668">
        <f t="shared" si="70"/>
        <v>0</v>
      </c>
      <c r="T93" s="772"/>
      <c r="U93" s="1664">
        <f t="shared" si="71"/>
        <v>69</v>
      </c>
      <c r="V93" s="1668">
        <f t="shared" si="59"/>
        <v>0</v>
      </c>
      <c r="W93" s="1666">
        <f t="shared" si="79"/>
        <v>0</v>
      </c>
      <c r="X93" s="1670">
        <f t="shared" si="64"/>
        <v>0</v>
      </c>
      <c r="Y93" s="1668">
        <f t="shared" si="72"/>
        <v>0</v>
      </c>
      <c r="Z93" s="772"/>
      <c r="AA93" s="1664">
        <f t="shared" si="73"/>
        <v>69</v>
      </c>
      <c r="AB93" s="1668">
        <f t="shared" si="60"/>
        <v>0</v>
      </c>
      <c r="AC93" s="1666">
        <f t="shared" si="80"/>
        <v>0</v>
      </c>
      <c r="AD93" s="1670">
        <f t="shared" si="65"/>
        <v>0</v>
      </c>
      <c r="AE93" s="1668">
        <f t="shared" si="74"/>
        <v>0</v>
      </c>
      <c r="AF93" s="772"/>
      <c r="AG93" s="1664">
        <f t="shared" si="75"/>
        <v>69</v>
      </c>
      <c r="AH93" s="1668">
        <f t="shared" si="61"/>
        <v>0</v>
      </c>
      <c r="AI93" s="1666">
        <f t="shared" si="81"/>
        <v>0</v>
      </c>
      <c r="AJ93" s="1670">
        <f t="shared" si="66"/>
        <v>0</v>
      </c>
      <c r="AK93" s="1668">
        <f t="shared" si="76"/>
        <v>0</v>
      </c>
      <c r="AL93" s="772"/>
      <c r="AM93" s="772"/>
      <c r="AN93" s="772"/>
      <c r="AO93" s="772"/>
      <c r="AP93" s="772"/>
      <c r="AQ93" s="772"/>
      <c r="AR93" s="772"/>
      <c r="AS93" s="772"/>
      <c r="AT93" s="772"/>
      <c r="AU93" s="772"/>
      <c r="AV93" s="772"/>
      <c r="AW93" s="772"/>
      <c r="AX93" s="772"/>
      <c r="AY93" s="772"/>
      <c r="AZ93" s="772"/>
      <c r="BA93" s="772"/>
      <c r="BB93" s="772"/>
      <c r="BC93" s="772"/>
      <c r="BD93" s="772"/>
      <c r="BE93" s="772"/>
      <c r="BF93" s="772"/>
      <c r="BG93" s="772"/>
      <c r="BH93" s="772"/>
      <c r="BI93" s="772"/>
      <c r="BJ93" s="772"/>
      <c r="BK93" s="772"/>
      <c r="BL93" s="772"/>
      <c r="BM93" s="772"/>
      <c r="BN93" s="772"/>
      <c r="BO93" s="772"/>
      <c r="BP93" s="772"/>
      <c r="BQ93" s="772"/>
      <c r="BR93" s="772"/>
      <c r="BS93" s="772"/>
      <c r="BT93" s="772"/>
      <c r="BU93" s="772"/>
      <c r="BV93" s="772"/>
      <c r="BW93" s="772"/>
      <c r="BX93" s="772"/>
      <c r="BY93" s="772"/>
      <c r="BZ93" s="772"/>
      <c r="CA93" s="772"/>
      <c r="CB93" s="772"/>
      <c r="CC93" s="772"/>
      <c r="CD93" s="772"/>
      <c r="CE93" s="772"/>
      <c r="CF93" s="772"/>
      <c r="CG93" s="772"/>
      <c r="CH93" s="772"/>
      <c r="CI93" s="772"/>
      <c r="CJ93" s="772"/>
      <c r="CK93" s="772"/>
      <c r="CL93" s="772"/>
      <c r="CM93" s="772"/>
      <c r="CN93" s="772"/>
      <c r="CO93" s="772"/>
      <c r="CP93" s="772"/>
      <c r="CQ93" s="772"/>
      <c r="CR93" s="772"/>
      <c r="CS93" s="772"/>
      <c r="CT93" s="772"/>
      <c r="CU93" s="772"/>
      <c r="CV93" s="772"/>
      <c r="CW93" s="772"/>
      <c r="CX93" s="772"/>
      <c r="CY93" s="772"/>
      <c r="CZ93" s="772"/>
      <c r="DA93" s="772"/>
      <c r="DB93" s="772"/>
      <c r="DC93" s="772"/>
      <c r="DD93" s="772"/>
      <c r="DE93" s="772"/>
      <c r="DF93" s="772"/>
      <c r="DG93" s="772"/>
      <c r="DH93" s="772"/>
      <c r="DI93" s="772"/>
      <c r="DJ93" s="772"/>
      <c r="DK93" s="772"/>
      <c r="DL93" s="772"/>
      <c r="DM93" s="772"/>
      <c r="DN93" s="772"/>
      <c r="DO93" s="772"/>
      <c r="DP93" s="772"/>
      <c r="DQ93" s="772"/>
      <c r="DR93" s="772"/>
      <c r="DS93" s="772"/>
      <c r="DT93" s="772"/>
      <c r="DU93" s="772"/>
      <c r="DV93" s="772"/>
      <c r="DW93" s="772"/>
      <c r="DX93" s="772"/>
      <c r="DY93" s="772"/>
      <c r="DZ93" s="772"/>
      <c r="EA93" s="772"/>
      <c r="EB93" s="772"/>
      <c r="EC93" s="772"/>
      <c r="ED93" s="772"/>
      <c r="EE93" s="772"/>
      <c r="EF93" s="772"/>
      <c r="EG93" s="772"/>
      <c r="EH93" s="772"/>
      <c r="EI93" s="772"/>
      <c r="EJ93" s="772"/>
      <c r="EK93" s="772"/>
      <c r="EL93" s="772"/>
      <c r="EM93" s="772"/>
      <c r="EN93" s="772"/>
      <c r="EO93" s="772"/>
      <c r="EP93" s="772"/>
      <c r="EQ93" s="772"/>
      <c r="ER93" s="772"/>
      <c r="ES93" s="772"/>
      <c r="ET93" s="772"/>
      <c r="EU93" s="772"/>
      <c r="EV93" s="772"/>
      <c r="EW93" s="772"/>
      <c r="EX93" s="772"/>
      <c r="EY93" s="772"/>
      <c r="EZ93" s="772"/>
      <c r="FA93" s="772"/>
      <c r="FB93" s="772"/>
      <c r="FC93" s="772"/>
      <c r="FD93" s="772"/>
      <c r="FE93" s="772"/>
      <c r="FF93" s="772"/>
      <c r="FG93" s="772"/>
      <c r="FH93" s="772"/>
      <c r="FI93" s="772"/>
      <c r="FJ93" s="772"/>
      <c r="FK93" s="772"/>
      <c r="FL93" s="772"/>
      <c r="FM93" s="772"/>
      <c r="FN93" s="772"/>
      <c r="FO93" s="772"/>
      <c r="FP93" s="772"/>
      <c r="FQ93" s="772"/>
      <c r="FR93" s="772"/>
      <c r="FS93" s="772"/>
      <c r="FT93" s="772"/>
      <c r="FU93" s="772"/>
      <c r="FV93" s="772"/>
      <c r="FW93" s="772"/>
      <c r="FX93" s="772"/>
      <c r="FY93" s="772"/>
      <c r="FZ93" s="772"/>
      <c r="GA93" s="772"/>
      <c r="GB93" s="772"/>
      <c r="GC93" s="772"/>
      <c r="GD93" s="772"/>
      <c r="GE93" s="772"/>
      <c r="GF93" s="772"/>
      <c r="GG93" s="772"/>
      <c r="GH93" s="772"/>
      <c r="GI93" s="772"/>
      <c r="GJ93" s="772"/>
      <c r="GK93" s="772"/>
      <c r="GL93" s="772"/>
      <c r="GM93" s="772"/>
      <c r="GN93" s="772"/>
      <c r="GO93" s="772"/>
      <c r="GP93" s="772"/>
      <c r="GQ93" s="772"/>
      <c r="GR93" s="772"/>
      <c r="GS93" s="772"/>
      <c r="GT93" s="772"/>
      <c r="GU93" s="772"/>
      <c r="GV93" s="772"/>
      <c r="GW93" s="772"/>
      <c r="GX93" s="772"/>
      <c r="GY93" s="772"/>
      <c r="GZ93" s="772"/>
      <c r="HA93" s="772"/>
      <c r="HB93" s="772"/>
      <c r="HC93" s="772"/>
      <c r="HD93" s="772"/>
      <c r="HE93" s="772"/>
      <c r="HF93" s="772"/>
      <c r="HG93" s="772"/>
      <c r="HH93" s="772"/>
      <c r="HI93" s="772"/>
      <c r="HJ93" s="772"/>
      <c r="HK93" s="772"/>
      <c r="HL93" s="772"/>
      <c r="HM93" s="772"/>
      <c r="HN93" s="772"/>
      <c r="HO93" s="772"/>
      <c r="HP93" s="772"/>
      <c r="HQ93" s="772"/>
      <c r="HR93" s="772"/>
      <c r="HS93" s="772"/>
      <c r="HT93" s="772"/>
      <c r="HU93" s="772"/>
      <c r="HV93" s="772"/>
      <c r="HW93" s="772"/>
      <c r="HX93" s="772"/>
      <c r="HY93" s="772"/>
      <c r="HZ93" s="772"/>
      <c r="IA93" s="772"/>
      <c r="IB93" s="772"/>
      <c r="IC93" s="772"/>
      <c r="ID93" s="772"/>
      <c r="IE93" s="772"/>
      <c r="IF93" s="772"/>
      <c r="IG93" s="772"/>
      <c r="IH93" s="772"/>
      <c r="II93" s="772"/>
      <c r="IJ93" s="772"/>
      <c r="IK93" s="772"/>
    </row>
    <row r="94" spans="1:245" s="765" customFormat="1" ht="20.100000000000001" customHeight="1" x14ac:dyDescent="0.25">
      <c r="A94" s="772"/>
      <c r="B94" s="783"/>
      <c r="C94" s="784"/>
      <c r="D94" s="784"/>
      <c r="E94" s="784"/>
      <c r="F94" s="784"/>
      <c r="G94" s="784"/>
      <c r="H94" s="772"/>
      <c r="I94" s="1664">
        <f t="shared" si="67"/>
        <v>70</v>
      </c>
      <c r="J94" s="1668">
        <f t="shared" si="57"/>
        <v>0</v>
      </c>
      <c r="K94" s="1666">
        <f t="shared" si="77"/>
        <v>0</v>
      </c>
      <c r="L94" s="1670">
        <f t="shared" si="62"/>
        <v>0</v>
      </c>
      <c r="M94" s="1668">
        <f t="shared" si="68"/>
        <v>0</v>
      </c>
      <c r="N94" s="772"/>
      <c r="O94" s="1664">
        <f t="shared" si="69"/>
        <v>70</v>
      </c>
      <c r="P94" s="1668">
        <f t="shared" si="58"/>
        <v>0</v>
      </c>
      <c r="Q94" s="1666">
        <f t="shared" si="78"/>
        <v>0</v>
      </c>
      <c r="R94" s="1670">
        <f t="shared" si="63"/>
        <v>0</v>
      </c>
      <c r="S94" s="1668">
        <f t="shared" si="70"/>
        <v>0</v>
      </c>
      <c r="T94" s="772"/>
      <c r="U94" s="1664">
        <f t="shared" si="71"/>
        <v>70</v>
      </c>
      <c r="V94" s="1668">
        <f t="shared" si="59"/>
        <v>0</v>
      </c>
      <c r="W94" s="1666">
        <f t="shared" si="79"/>
        <v>0</v>
      </c>
      <c r="X94" s="1670">
        <f t="shared" si="64"/>
        <v>0</v>
      </c>
      <c r="Y94" s="1668">
        <f t="shared" si="72"/>
        <v>0</v>
      </c>
      <c r="Z94" s="772"/>
      <c r="AA94" s="1664">
        <f t="shared" si="73"/>
        <v>70</v>
      </c>
      <c r="AB94" s="1668">
        <f t="shared" si="60"/>
        <v>0</v>
      </c>
      <c r="AC94" s="1666">
        <f t="shared" si="80"/>
        <v>0</v>
      </c>
      <c r="AD94" s="1670">
        <f t="shared" si="65"/>
        <v>0</v>
      </c>
      <c r="AE94" s="1668">
        <f t="shared" si="74"/>
        <v>0</v>
      </c>
      <c r="AF94" s="772"/>
      <c r="AG94" s="1664">
        <f t="shared" si="75"/>
        <v>70</v>
      </c>
      <c r="AH94" s="1668">
        <f t="shared" si="61"/>
        <v>0</v>
      </c>
      <c r="AI94" s="1666">
        <f t="shared" si="81"/>
        <v>0</v>
      </c>
      <c r="AJ94" s="1670">
        <f t="shared" si="66"/>
        <v>0</v>
      </c>
      <c r="AK94" s="1668">
        <f t="shared" si="76"/>
        <v>0</v>
      </c>
      <c r="AL94" s="772"/>
      <c r="AM94" s="772"/>
      <c r="AN94" s="772"/>
      <c r="AO94" s="772"/>
      <c r="AP94" s="772"/>
      <c r="AQ94" s="772"/>
      <c r="AR94" s="772"/>
      <c r="AS94" s="772"/>
      <c r="AT94" s="772"/>
      <c r="AU94" s="772"/>
      <c r="AV94" s="772"/>
      <c r="AW94" s="772"/>
      <c r="AX94" s="772"/>
      <c r="AY94" s="772"/>
      <c r="AZ94" s="772"/>
      <c r="BA94" s="772"/>
      <c r="BB94" s="772"/>
      <c r="BC94" s="772"/>
      <c r="BD94" s="772"/>
      <c r="BE94" s="772"/>
      <c r="BF94" s="772"/>
      <c r="BG94" s="772"/>
      <c r="BH94" s="772"/>
      <c r="BI94" s="772"/>
      <c r="BJ94" s="772"/>
      <c r="BK94" s="772"/>
      <c r="BL94" s="772"/>
      <c r="BM94" s="772"/>
      <c r="BN94" s="772"/>
      <c r="BO94" s="772"/>
      <c r="BP94" s="772"/>
      <c r="BQ94" s="772"/>
      <c r="BR94" s="772"/>
      <c r="BS94" s="772"/>
      <c r="BT94" s="772"/>
      <c r="BU94" s="772"/>
      <c r="BV94" s="772"/>
      <c r="BW94" s="772"/>
      <c r="BX94" s="772"/>
      <c r="BY94" s="772"/>
      <c r="BZ94" s="772"/>
      <c r="CA94" s="772"/>
      <c r="CB94" s="772"/>
      <c r="CC94" s="772"/>
      <c r="CD94" s="772"/>
      <c r="CE94" s="772"/>
      <c r="CF94" s="772"/>
      <c r="CG94" s="772"/>
      <c r="CH94" s="772"/>
      <c r="CI94" s="772"/>
      <c r="CJ94" s="772"/>
      <c r="CK94" s="772"/>
      <c r="CL94" s="772"/>
      <c r="CM94" s="772"/>
      <c r="CN94" s="772"/>
      <c r="CO94" s="772"/>
      <c r="CP94" s="772"/>
      <c r="CQ94" s="772"/>
      <c r="CR94" s="772"/>
      <c r="CS94" s="772"/>
      <c r="CT94" s="772"/>
      <c r="CU94" s="772"/>
      <c r="CV94" s="772"/>
      <c r="CW94" s="772"/>
      <c r="CX94" s="772"/>
      <c r="CY94" s="772"/>
      <c r="CZ94" s="772"/>
      <c r="DA94" s="772"/>
      <c r="DB94" s="772"/>
      <c r="DC94" s="772"/>
      <c r="DD94" s="772"/>
      <c r="DE94" s="772"/>
      <c r="DF94" s="772"/>
      <c r="DG94" s="772"/>
      <c r="DH94" s="772"/>
      <c r="DI94" s="772"/>
      <c r="DJ94" s="772"/>
      <c r="DK94" s="772"/>
      <c r="DL94" s="772"/>
      <c r="DM94" s="772"/>
      <c r="DN94" s="772"/>
      <c r="DO94" s="772"/>
      <c r="DP94" s="772"/>
      <c r="DQ94" s="772"/>
      <c r="DR94" s="772"/>
      <c r="DS94" s="772"/>
      <c r="DT94" s="772"/>
      <c r="DU94" s="772"/>
      <c r="DV94" s="772"/>
      <c r="DW94" s="772"/>
      <c r="DX94" s="772"/>
      <c r="DY94" s="772"/>
      <c r="DZ94" s="772"/>
      <c r="EA94" s="772"/>
      <c r="EB94" s="772"/>
      <c r="EC94" s="772"/>
      <c r="ED94" s="772"/>
      <c r="EE94" s="772"/>
      <c r="EF94" s="772"/>
      <c r="EG94" s="772"/>
      <c r="EH94" s="772"/>
      <c r="EI94" s="772"/>
      <c r="EJ94" s="772"/>
      <c r="EK94" s="772"/>
      <c r="EL94" s="772"/>
      <c r="EM94" s="772"/>
      <c r="EN94" s="772"/>
      <c r="EO94" s="772"/>
      <c r="EP94" s="772"/>
      <c r="EQ94" s="772"/>
      <c r="ER94" s="772"/>
      <c r="ES94" s="772"/>
      <c r="ET94" s="772"/>
      <c r="EU94" s="772"/>
      <c r="EV94" s="772"/>
      <c r="EW94" s="772"/>
      <c r="EX94" s="772"/>
      <c r="EY94" s="772"/>
      <c r="EZ94" s="772"/>
      <c r="FA94" s="772"/>
      <c r="FB94" s="772"/>
      <c r="FC94" s="772"/>
      <c r="FD94" s="772"/>
      <c r="FE94" s="772"/>
      <c r="FF94" s="772"/>
      <c r="FG94" s="772"/>
      <c r="FH94" s="772"/>
      <c r="FI94" s="772"/>
      <c r="FJ94" s="772"/>
      <c r="FK94" s="772"/>
      <c r="FL94" s="772"/>
      <c r="FM94" s="772"/>
      <c r="FN94" s="772"/>
      <c r="FO94" s="772"/>
      <c r="FP94" s="772"/>
      <c r="FQ94" s="772"/>
      <c r="FR94" s="772"/>
      <c r="FS94" s="772"/>
      <c r="FT94" s="772"/>
      <c r="FU94" s="772"/>
      <c r="FV94" s="772"/>
      <c r="FW94" s="772"/>
      <c r="FX94" s="772"/>
      <c r="FY94" s="772"/>
      <c r="FZ94" s="772"/>
      <c r="GA94" s="772"/>
      <c r="GB94" s="772"/>
      <c r="GC94" s="772"/>
      <c r="GD94" s="772"/>
      <c r="GE94" s="772"/>
      <c r="GF94" s="772"/>
      <c r="GG94" s="772"/>
      <c r="GH94" s="772"/>
      <c r="GI94" s="772"/>
      <c r="GJ94" s="772"/>
      <c r="GK94" s="772"/>
      <c r="GL94" s="772"/>
      <c r="GM94" s="772"/>
      <c r="GN94" s="772"/>
      <c r="GO94" s="772"/>
      <c r="GP94" s="772"/>
      <c r="GQ94" s="772"/>
      <c r="GR94" s="772"/>
      <c r="GS94" s="772"/>
      <c r="GT94" s="772"/>
      <c r="GU94" s="772"/>
      <c r="GV94" s="772"/>
      <c r="GW94" s="772"/>
      <c r="GX94" s="772"/>
      <c r="GY94" s="772"/>
      <c r="GZ94" s="772"/>
      <c r="HA94" s="772"/>
      <c r="HB94" s="772"/>
      <c r="HC94" s="772"/>
      <c r="HD94" s="772"/>
      <c r="HE94" s="772"/>
      <c r="HF94" s="772"/>
      <c r="HG94" s="772"/>
      <c r="HH94" s="772"/>
      <c r="HI94" s="772"/>
      <c r="HJ94" s="772"/>
      <c r="HK94" s="772"/>
      <c r="HL94" s="772"/>
      <c r="HM94" s="772"/>
      <c r="HN94" s="772"/>
      <c r="HO94" s="772"/>
      <c r="HP94" s="772"/>
      <c r="HQ94" s="772"/>
      <c r="HR94" s="772"/>
      <c r="HS94" s="772"/>
      <c r="HT94" s="772"/>
      <c r="HU94" s="772"/>
      <c r="HV94" s="772"/>
      <c r="HW94" s="772"/>
      <c r="HX94" s="772"/>
      <c r="HY94" s="772"/>
      <c r="HZ94" s="772"/>
      <c r="IA94" s="772"/>
      <c r="IB94" s="772"/>
      <c r="IC94" s="772"/>
      <c r="ID94" s="772"/>
      <c r="IE94" s="772"/>
      <c r="IF94" s="772"/>
      <c r="IG94" s="772"/>
      <c r="IH94" s="772"/>
      <c r="II94" s="772"/>
      <c r="IJ94" s="772"/>
      <c r="IK94" s="772"/>
    </row>
    <row r="95" spans="1:245" s="765" customFormat="1" ht="20.100000000000001" customHeight="1" x14ac:dyDescent="0.25">
      <c r="A95" s="772"/>
      <c r="B95" s="783"/>
      <c r="C95" s="784"/>
      <c r="D95" s="784"/>
      <c r="E95" s="784"/>
      <c r="F95" s="784"/>
      <c r="G95" s="784"/>
      <c r="H95" s="772"/>
      <c r="I95" s="1664">
        <f t="shared" si="67"/>
        <v>71</v>
      </c>
      <c r="J95" s="1668">
        <f t="shared" si="57"/>
        <v>0</v>
      </c>
      <c r="K95" s="1666">
        <f t="shared" si="77"/>
        <v>0</v>
      </c>
      <c r="L95" s="1670">
        <f t="shared" si="62"/>
        <v>0</v>
      </c>
      <c r="M95" s="1668">
        <f t="shared" si="68"/>
        <v>0</v>
      </c>
      <c r="N95" s="772"/>
      <c r="O95" s="1664">
        <f t="shared" si="69"/>
        <v>71</v>
      </c>
      <c r="P95" s="1668">
        <f t="shared" si="58"/>
        <v>0</v>
      </c>
      <c r="Q95" s="1666">
        <f t="shared" si="78"/>
        <v>0</v>
      </c>
      <c r="R95" s="1670">
        <f t="shared" si="63"/>
        <v>0</v>
      </c>
      <c r="S95" s="1668">
        <f t="shared" si="70"/>
        <v>0</v>
      </c>
      <c r="T95" s="772"/>
      <c r="U95" s="1664">
        <f t="shared" si="71"/>
        <v>71</v>
      </c>
      <c r="V95" s="1668">
        <f t="shared" si="59"/>
        <v>0</v>
      </c>
      <c r="W95" s="1666">
        <f t="shared" si="79"/>
        <v>0</v>
      </c>
      <c r="X95" s="1670">
        <f t="shared" si="64"/>
        <v>0</v>
      </c>
      <c r="Y95" s="1668">
        <f t="shared" si="72"/>
        <v>0</v>
      </c>
      <c r="Z95" s="772"/>
      <c r="AA95" s="1664">
        <f t="shared" si="73"/>
        <v>71</v>
      </c>
      <c r="AB95" s="1668">
        <f t="shared" si="60"/>
        <v>0</v>
      </c>
      <c r="AC95" s="1666">
        <f t="shared" si="80"/>
        <v>0</v>
      </c>
      <c r="AD95" s="1670">
        <f t="shared" si="65"/>
        <v>0</v>
      </c>
      <c r="AE95" s="1668">
        <f t="shared" si="74"/>
        <v>0</v>
      </c>
      <c r="AF95" s="772"/>
      <c r="AG95" s="1664">
        <f t="shared" si="75"/>
        <v>71</v>
      </c>
      <c r="AH95" s="1668">
        <f t="shared" si="61"/>
        <v>0</v>
      </c>
      <c r="AI95" s="1666">
        <f t="shared" si="81"/>
        <v>0</v>
      </c>
      <c r="AJ95" s="1670">
        <f t="shared" si="66"/>
        <v>0</v>
      </c>
      <c r="AK95" s="1668">
        <f t="shared" si="76"/>
        <v>0</v>
      </c>
      <c r="AL95" s="772"/>
      <c r="AM95" s="772"/>
      <c r="AN95" s="772"/>
      <c r="AO95" s="772"/>
      <c r="AP95" s="772"/>
      <c r="AQ95" s="772"/>
      <c r="AR95" s="772"/>
      <c r="AS95" s="772"/>
      <c r="AT95" s="772"/>
      <c r="AU95" s="772"/>
      <c r="AV95" s="772"/>
      <c r="AW95" s="772"/>
      <c r="AX95" s="772"/>
      <c r="AY95" s="772"/>
      <c r="AZ95" s="772"/>
      <c r="BA95" s="772"/>
      <c r="BB95" s="772"/>
      <c r="BC95" s="772"/>
      <c r="BD95" s="772"/>
      <c r="BE95" s="772"/>
      <c r="BF95" s="772"/>
      <c r="BG95" s="772"/>
      <c r="BH95" s="772"/>
      <c r="BI95" s="772"/>
      <c r="BJ95" s="772"/>
      <c r="BK95" s="772"/>
      <c r="BL95" s="772"/>
      <c r="BM95" s="772"/>
      <c r="BN95" s="772"/>
      <c r="BO95" s="772"/>
      <c r="BP95" s="772"/>
      <c r="BQ95" s="772"/>
      <c r="BR95" s="772"/>
      <c r="BS95" s="772"/>
      <c r="BT95" s="772"/>
      <c r="BU95" s="772"/>
      <c r="BV95" s="772"/>
      <c r="BW95" s="772"/>
      <c r="BX95" s="772"/>
      <c r="BY95" s="772"/>
      <c r="BZ95" s="772"/>
      <c r="CA95" s="772"/>
      <c r="CB95" s="772"/>
      <c r="CC95" s="772"/>
      <c r="CD95" s="772"/>
      <c r="CE95" s="772"/>
      <c r="CF95" s="772"/>
      <c r="CG95" s="772"/>
      <c r="CH95" s="772"/>
      <c r="CI95" s="772"/>
      <c r="CJ95" s="772"/>
      <c r="CK95" s="772"/>
      <c r="CL95" s="772"/>
      <c r="CM95" s="772"/>
      <c r="CN95" s="772"/>
      <c r="CO95" s="772"/>
      <c r="CP95" s="772"/>
      <c r="CQ95" s="772"/>
      <c r="CR95" s="772"/>
      <c r="CS95" s="772"/>
      <c r="CT95" s="772"/>
      <c r="CU95" s="772"/>
      <c r="CV95" s="772"/>
      <c r="CW95" s="772"/>
      <c r="CX95" s="772"/>
      <c r="CY95" s="772"/>
      <c r="CZ95" s="772"/>
      <c r="DA95" s="772"/>
      <c r="DB95" s="772"/>
      <c r="DC95" s="772"/>
      <c r="DD95" s="772"/>
      <c r="DE95" s="772"/>
      <c r="DF95" s="772"/>
      <c r="DG95" s="772"/>
      <c r="DH95" s="772"/>
      <c r="DI95" s="772"/>
      <c r="DJ95" s="772"/>
      <c r="DK95" s="772"/>
      <c r="DL95" s="772"/>
      <c r="DM95" s="772"/>
      <c r="DN95" s="772"/>
      <c r="DO95" s="772"/>
      <c r="DP95" s="772"/>
      <c r="DQ95" s="772"/>
      <c r="DR95" s="772"/>
      <c r="DS95" s="772"/>
      <c r="DT95" s="772"/>
      <c r="DU95" s="772"/>
      <c r="DV95" s="772"/>
      <c r="DW95" s="772"/>
      <c r="DX95" s="772"/>
      <c r="DY95" s="772"/>
      <c r="DZ95" s="772"/>
      <c r="EA95" s="772"/>
      <c r="EB95" s="772"/>
      <c r="EC95" s="772"/>
      <c r="ED95" s="772"/>
      <c r="EE95" s="772"/>
      <c r="EF95" s="772"/>
      <c r="EG95" s="772"/>
      <c r="EH95" s="772"/>
      <c r="EI95" s="772"/>
      <c r="EJ95" s="772"/>
      <c r="EK95" s="772"/>
      <c r="EL95" s="772"/>
      <c r="EM95" s="772"/>
      <c r="EN95" s="772"/>
      <c r="EO95" s="772"/>
      <c r="EP95" s="772"/>
      <c r="EQ95" s="772"/>
      <c r="ER95" s="772"/>
      <c r="ES95" s="772"/>
      <c r="ET95" s="772"/>
      <c r="EU95" s="772"/>
      <c r="EV95" s="772"/>
      <c r="EW95" s="772"/>
      <c r="EX95" s="772"/>
      <c r="EY95" s="772"/>
      <c r="EZ95" s="772"/>
      <c r="FA95" s="772"/>
      <c r="FB95" s="772"/>
      <c r="FC95" s="772"/>
      <c r="FD95" s="772"/>
      <c r="FE95" s="772"/>
      <c r="FF95" s="772"/>
      <c r="FG95" s="772"/>
      <c r="FH95" s="772"/>
      <c r="FI95" s="772"/>
      <c r="FJ95" s="772"/>
      <c r="FK95" s="772"/>
      <c r="FL95" s="772"/>
      <c r="FM95" s="772"/>
      <c r="FN95" s="772"/>
      <c r="FO95" s="772"/>
      <c r="FP95" s="772"/>
      <c r="FQ95" s="772"/>
      <c r="FR95" s="772"/>
      <c r="FS95" s="772"/>
      <c r="FT95" s="772"/>
      <c r="FU95" s="772"/>
      <c r="FV95" s="772"/>
      <c r="FW95" s="772"/>
      <c r="FX95" s="772"/>
      <c r="FY95" s="772"/>
      <c r="FZ95" s="772"/>
      <c r="GA95" s="772"/>
      <c r="GB95" s="772"/>
      <c r="GC95" s="772"/>
      <c r="GD95" s="772"/>
      <c r="GE95" s="772"/>
      <c r="GF95" s="772"/>
      <c r="GG95" s="772"/>
      <c r="GH95" s="772"/>
      <c r="GI95" s="772"/>
      <c r="GJ95" s="772"/>
      <c r="GK95" s="772"/>
      <c r="GL95" s="772"/>
      <c r="GM95" s="772"/>
      <c r="GN95" s="772"/>
      <c r="GO95" s="772"/>
      <c r="GP95" s="772"/>
      <c r="GQ95" s="772"/>
      <c r="GR95" s="772"/>
      <c r="GS95" s="772"/>
      <c r="GT95" s="772"/>
      <c r="GU95" s="772"/>
      <c r="GV95" s="772"/>
      <c r="GW95" s="772"/>
      <c r="GX95" s="772"/>
      <c r="GY95" s="772"/>
      <c r="GZ95" s="772"/>
      <c r="HA95" s="772"/>
      <c r="HB95" s="772"/>
      <c r="HC95" s="772"/>
      <c r="HD95" s="772"/>
      <c r="HE95" s="772"/>
      <c r="HF95" s="772"/>
      <c r="HG95" s="772"/>
      <c r="HH95" s="772"/>
      <c r="HI95" s="772"/>
      <c r="HJ95" s="772"/>
      <c r="HK95" s="772"/>
      <c r="HL95" s="772"/>
      <c r="HM95" s="772"/>
      <c r="HN95" s="772"/>
      <c r="HO95" s="772"/>
      <c r="HP95" s="772"/>
      <c r="HQ95" s="772"/>
      <c r="HR95" s="772"/>
      <c r="HS95" s="772"/>
      <c r="HT95" s="772"/>
      <c r="HU95" s="772"/>
      <c r="HV95" s="772"/>
      <c r="HW95" s="772"/>
      <c r="HX95" s="772"/>
      <c r="HY95" s="772"/>
      <c r="HZ95" s="772"/>
      <c r="IA95" s="772"/>
      <c r="IB95" s="772"/>
      <c r="IC95" s="772"/>
      <c r="ID95" s="772"/>
      <c r="IE95" s="772"/>
      <c r="IF95" s="772"/>
      <c r="IG95" s="772"/>
      <c r="IH95" s="772"/>
      <c r="II95" s="772"/>
      <c r="IJ95" s="772"/>
      <c r="IK95" s="772"/>
    </row>
    <row r="96" spans="1:245" s="765" customFormat="1" ht="20.100000000000001" customHeight="1" x14ac:dyDescent="0.25">
      <c r="A96" s="772"/>
      <c r="B96" s="783"/>
      <c r="C96" s="784"/>
      <c r="D96" s="784"/>
      <c r="E96" s="784"/>
      <c r="F96" s="784"/>
      <c r="G96" s="784"/>
      <c r="H96" s="772"/>
      <c r="I96" s="1664">
        <f t="shared" si="67"/>
        <v>72</v>
      </c>
      <c r="J96" s="1668">
        <f t="shared" si="57"/>
        <v>0</v>
      </c>
      <c r="K96" s="1666">
        <f t="shared" si="77"/>
        <v>0</v>
      </c>
      <c r="L96" s="1670">
        <f t="shared" si="62"/>
        <v>0</v>
      </c>
      <c r="M96" s="1668">
        <f t="shared" si="68"/>
        <v>0</v>
      </c>
      <c r="N96" s="772"/>
      <c r="O96" s="1664">
        <f t="shared" si="69"/>
        <v>72</v>
      </c>
      <c r="P96" s="1668">
        <f t="shared" si="58"/>
        <v>0</v>
      </c>
      <c r="Q96" s="1666">
        <f t="shared" si="78"/>
        <v>0</v>
      </c>
      <c r="R96" s="1670">
        <f t="shared" si="63"/>
        <v>0</v>
      </c>
      <c r="S96" s="1668">
        <f t="shared" si="70"/>
        <v>0</v>
      </c>
      <c r="T96" s="772"/>
      <c r="U96" s="1664">
        <f t="shared" si="71"/>
        <v>72</v>
      </c>
      <c r="V96" s="1668">
        <f t="shared" si="59"/>
        <v>0</v>
      </c>
      <c r="W96" s="1666">
        <f t="shared" si="79"/>
        <v>0</v>
      </c>
      <c r="X96" s="1670">
        <f t="shared" si="64"/>
        <v>0</v>
      </c>
      <c r="Y96" s="1668">
        <f t="shared" si="72"/>
        <v>0</v>
      </c>
      <c r="Z96" s="772"/>
      <c r="AA96" s="1664">
        <f t="shared" si="73"/>
        <v>72</v>
      </c>
      <c r="AB96" s="1668">
        <f t="shared" si="60"/>
        <v>0</v>
      </c>
      <c r="AC96" s="1666">
        <f t="shared" si="80"/>
        <v>0</v>
      </c>
      <c r="AD96" s="1670">
        <f t="shared" si="65"/>
        <v>0</v>
      </c>
      <c r="AE96" s="1668">
        <f t="shared" si="74"/>
        <v>0</v>
      </c>
      <c r="AF96" s="772"/>
      <c r="AG96" s="1664">
        <f t="shared" si="75"/>
        <v>72</v>
      </c>
      <c r="AH96" s="1668">
        <f t="shared" si="61"/>
        <v>0</v>
      </c>
      <c r="AI96" s="1666">
        <f t="shared" si="81"/>
        <v>0</v>
      </c>
      <c r="AJ96" s="1670">
        <f t="shared" si="66"/>
        <v>0</v>
      </c>
      <c r="AK96" s="1668">
        <f t="shared" si="76"/>
        <v>0</v>
      </c>
      <c r="AL96" s="772"/>
      <c r="AM96" s="772"/>
      <c r="AN96" s="772"/>
      <c r="AO96" s="772"/>
      <c r="AP96" s="772"/>
      <c r="AQ96" s="772"/>
      <c r="AR96" s="772"/>
      <c r="AS96" s="772"/>
      <c r="AT96" s="772"/>
      <c r="AU96" s="772"/>
      <c r="AV96" s="772"/>
      <c r="AW96" s="772"/>
      <c r="AX96" s="772"/>
      <c r="AY96" s="772"/>
      <c r="AZ96" s="772"/>
      <c r="BA96" s="772"/>
      <c r="BB96" s="772"/>
      <c r="BC96" s="772"/>
      <c r="BD96" s="772"/>
      <c r="BE96" s="772"/>
      <c r="BF96" s="772"/>
      <c r="BG96" s="772"/>
      <c r="BH96" s="772"/>
      <c r="BI96" s="772"/>
      <c r="BJ96" s="772"/>
      <c r="BK96" s="772"/>
      <c r="BL96" s="772"/>
      <c r="BM96" s="772"/>
      <c r="BN96" s="772"/>
      <c r="BO96" s="772"/>
      <c r="BP96" s="772"/>
      <c r="BQ96" s="772"/>
      <c r="BR96" s="772"/>
      <c r="BS96" s="772"/>
      <c r="BT96" s="772"/>
      <c r="BU96" s="772"/>
      <c r="BV96" s="772"/>
      <c r="BW96" s="772"/>
      <c r="BX96" s="772"/>
      <c r="BY96" s="772"/>
      <c r="BZ96" s="772"/>
      <c r="CA96" s="772"/>
      <c r="CB96" s="772"/>
      <c r="CC96" s="772"/>
      <c r="CD96" s="772"/>
      <c r="CE96" s="772"/>
      <c r="CF96" s="772"/>
      <c r="CG96" s="772"/>
      <c r="CH96" s="772"/>
      <c r="CI96" s="772"/>
      <c r="CJ96" s="772"/>
      <c r="CK96" s="772"/>
      <c r="CL96" s="772"/>
      <c r="CM96" s="772"/>
      <c r="CN96" s="772"/>
      <c r="CO96" s="772"/>
      <c r="CP96" s="772"/>
      <c r="CQ96" s="772"/>
      <c r="CR96" s="772"/>
      <c r="CS96" s="772"/>
      <c r="CT96" s="772"/>
      <c r="CU96" s="772"/>
      <c r="CV96" s="772"/>
      <c r="CW96" s="772"/>
      <c r="CX96" s="772"/>
      <c r="CY96" s="772"/>
      <c r="CZ96" s="772"/>
      <c r="DA96" s="772"/>
      <c r="DB96" s="772"/>
      <c r="DC96" s="772"/>
      <c r="DD96" s="772"/>
      <c r="DE96" s="772"/>
      <c r="DF96" s="772"/>
      <c r="DG96" s="772"/>
      <c r="DH96" s="772"/>
      <c r="DI96" s="772"/>
      <c r="DJ96" s="772"/>
      <c r="DK96" s="772"/>
      <c r="DL96" s="772"/>
      <c r="DM96" s="772"/>
      <c r="DN96" s="772"/>
      <c r="DO96" s="772"/>
      <c r="DP96" s="772"/>
      <c r="DQ96" s="772"/>
      <c r="DR96" s="772"/>
      <c r="DS96" s="772"/>
      <c r="DT96" s="772"/>
      <c r="DU96" s="772"/>
      <c r="DV96" s="772"/>
      <c r="DW96" s="772"/>
      <c r="DX96" s="772"/>
      <c r="DY96" s="772"/>
      <c r="DZ96" s="772"/>
      <c r="EA96" s="772"/>
      <c r="EB96" s="772"/>
      <c r="EC96" s="772"/>
      <c r="ED96" s="772"/>
      <c r="EE96" s="772"/>
      <c r="EF96" s="772"/>
      <c r="EG96" s="772"/>
      <c r="EH96" s="772"/>
      <c r="EI96" s="772"/>
      <c r="EJ96" s="772"/>
      <c r="EK96" s="772"/>
      <c r="EL96" s="772"/>
      <c r="EM96" s="772"/>
      <c r="EN96" s="772"/>
      <c r="EO96" s="772"/>
      <c r="EP96" s="772"/>
      <c r="EQ96" s="772"/>
      <c r="ER96" s="772"/>
      <c r="ES96" s="772"/>
      <c r="ET96" s="772"/>
      <c r="EU96" s="772"/>
      <c r="EV96" s="772"/>
      <c r="EW96" s="772"/>
      <c r="EX96" s="772"/>
      <c r="EY96" s="772"/>
      <c r="EZ96" s="772"/>
      <c r="FA96" s="772"/>
      <c r="FB96" s="772"/>
      <c r="FC96" s="772"/>
      <c r="FD96" s="772"/>
      <c r="FE96" s="772"/>
      <c r="FF96" s="772"/>
      <c r="FG96" s="772"/>
      <c r="FH96" s="772"/>
      <c r="FI96" s="772"/>
      <c r="FJ96" s="772"/>
      <c r="FK96" s="772"/>
      <c r="FL96" s="772"/>
      <c r="FM96" s="772"/>
      <c r="FN96" s="772"/>
      <c r="FO96" s="772"/>
      <c r="FP96" s="772"/>
      <c r="FQ96" s="772"/>
      <c r="FR96" s="772"/>
      <c r="FS96" s="772"/>
      <c r="FT96" s="772"/>
      <c r="FU96" s="772"/>
      <c r="FV96" s="772"/>
      <c r="FW96" s="772"/>
      <c r="FX96" s="772"/>
      <c r="FY96" s="772"/>
      <c r="FZ96" s="772"/>
      <c r="GA96" s="772"/>
      <c r="GB96" s="772"/>
      <c r="GC96" s="772"/>
      <c r="GD96" s="772"/>
      <c r="GE96" s="772"/>
      <c r="GF96" s="772"/>
      <c r="GG96" s="772"/>
      <c r="GH96" s="772"/>
      <c r="GI96" s="772"/>
      <c r="GJ96" s="772"/>
      <c r="GK96" s="772"/>
      <c r="GL96" s="772"/>
      <c r="GM96" s="772"/>
      <c r="GN96" s="772"/>
      <c r="GO96" s="772"/>
      <c r="GP96" s="772"/>
      <c r="GQ96" s="772"/>
      <c r="GR96" s="772"/>
      <c r="GS96" s="772"/>
      <c r="GT96" s="772"/>
      <c r="GU96" s="772"/>
      <c r="GV96" s="772"/>
      <c r="GW96" s="772"/>
      <c r="GX96" s="772"/>
      <c r="GY96" s="772"/>
      <c r="GZ96" s="772"/>
      <c r="HA96" s="772"/>
      <c r="HB96" s="772"/>
      <c r="HC96" s="772"/>
      <c r="HD96" s="772"/>
      <c r="HE96" s="772"/>
      <c r="HF96" s="772"/>
      <c r="HG96" s="772"/>
      <c r="HH96" s="772"/>
      <c r="HI96" s="772"/>
      <c r="HJ96" s="772"/>
      <c r="HK96" s="772"/>
      <c r="HL96" s="772"/>
      <c r="HM96" s="772"/>
      <c r="HN96" s="772"/>
      <c r="HO96" s="772"/>
      <c r="HP96" s="772"/>
      <c r="HQ96" s="772"/>
      <c r="HR96" s="772"/>
      <c r="HS96" s="772"/>
      <c r="HT96" s="772"/>
      <c r="HU96" s="772"/>
      <c r="HV96" s="772"/>
      <c r="HW96" s="772"/>
      <c r="HX96" s="772"/>
      <c r="HY96" s="772"/>
      <c r="HZ96" s="772"/>
      <c r="IA96" s="772"/>
      <c r="IB96" s="772"/>
      <c r="IC96" s="772"/>
      <c r="ID96" s="772"/>
      <c r="IE96" s="772"/>
      <c r="IF96" s="772"/>
      <c r="IG96" s="772"/>
      <c r="IH96" s="772"/>
      <c r="II96" s="772"/>
      <c r="IJ96" s="772"/>
      <c r="IK96" s="772"/>
    </row>
    <row r="97" spans="2:37" ht="20.100000000000001" customHeight="1" x14ac:dyDescent="0.3">
      <c r="B97" s="783"/>
      <c r="C97" s="784"/>
      <c r="D97" s="784"/>
      <c r="E97" s="784"/>
      <c r="F97" s="784"/>
      <c r="G97" s="784"/>
      <c r="H97" s="772"/>
      <c r="I97" s="1664">
        <f t="shared" si="67"/>
        <v>73</v>
      </c>
      <c r="J97" s="1668">
        <f t="shared" si="57"/>
        <v>0</v>
      </c>
      <c r="K97" s="1666">
        <f t="shared" si="77"/>
        <v>0</v>
      </c>
      <c r="L97" s="1670">
        <f t="shared" si="62"/>
        <v>0</v>
      </c>
      <c r="M97" s="1668">
        <f t="shared" si="68"/>
        <v>0</v>
      </c>
      <c r="N97" s="772"/>
      <c r="O97" s="1664">
        <f t="shared" si="69"/>
        <v>73</v>
      </c>
      <c r="P97" s="1668">
        <f t="shared" si="58"/>
        <v>0</v>
      </c>
      <c r="Q97" s="1666">
        <f t="shared" si="78"/>
        <v>0</v>
      </c>
      <c r="R97" s="1670">
        <f t="shared" si="63"/>
        <v>0</v>
      </c>
      <c r="S97" s="1668">
        <f t="shared" si="70"/>
        <v>0</v>
      </c>
      <c r="T97" s="772"/>
      <c r="U97" s="1664">
        <f t="shared" si="71"/>
        <v>73</v>
      </c>
      <c r="V97" s="1668">
        <f t="shared" si="59"/>
        <v>0</v>
      </c>
      <c r="W97" s="1666">
        <f t="shared" si="79"/>
        <v>0</v>
      </c>
      <c r="X97" s="1670">
        <f t="shared" si="64"/>
        <v>0</v>
      </c>
      <c r="Y97" s="1668">
        <f t="shared" si="72"/>
        <v>0</v>
      </c>
      <c r="Z97" s="772"/>
      <c r="AA97" s="1664">
        <f t="shared" si="73"/>
        <v>73</v>
      </c>
      <c r="AB97" s="1668">
        <f t="shared" si="60"/>
        <v>0</v>
      </c>
      <c r="AC97" s="1666">
        <f t="shared" si="80"/>
        <v>0</v>
      </c>
      <c r="AD97" s="1670">
        <f t="shared" si="65"/>
        <v>0</v>
      </c>
      <c r="AE97" s="1668">
        <f t="shared" si="74"/>
        <v>0</v>
      </c>
      <c r="AF97" s="772"/>
      <c r="AG97" s="1664">
        <f t="shared" si="75"/>
        <v>73</v>
      </c>
      <c r="AH97" s="1668">
        <f t="shared" si="61"/>
        <v>0</v>
      </c>
      <c r="AI97" s="1666">
        <f t="shared" si="81"/>
        <v>0</v>
      </c>
      <c r="AJ97" s="1670">
        <f t="shared" si="66"/>
        <v>0</v>
      </c>
      <c r="AK97" s="1668">
        <f t="shared" si="76"/>
        <v>0</v>
      </c>
    </row>
    <row r="98" spans="2:37" ht="20.100000000000001" customHeight="1" x14ac:dyDescent="0.3">
      <c r="B98" s="783"/>
      <c r="C98" s="784"/>
      <c r="D98" s="784"/>
      <c r="E98" s="784"/>
      <c r="F98" s="784"/>
      <c r="G98" s="784"/>
      <c r="H98" s="772"/>
      <c r="I98" s="1664">
        <f t="shared" si="67"/>
        <v>74</v>
      </c>
      <c r="J98" s="1668">
        <f t="shared" si="57"/>
        <v>0</v>
      </c>
      <c r="K98" s="1666">
        <f t="shared" si="77"/>
        <v>0</v>
      </c>
      <c r="L98" s="1670">
        <f t="shared" si="62"/>
        <v>0</v>
      </c>
      <c r="M98" s="1668">
        <f t="shared" si="68"/>
        <v>0</v>
      </c>
      <c r="N98" s="772"/>
      <c r="O98" s="1664">
        <f t="shared" si="69"/>
        <v>74</v>
      </c>
      <c r="P98" s="1668">
        <f t="shared" si="58"/>
        <v>0</v>
      </c>
      <c r="Q98" s="1666">
        <f t="shared" si="78"/>
        <v>0</v>
      </c>
      <c r="R98" s="1670">
        <f t="shared" si="63"/>
        <v>0</v>
      </c>
      <c r="S98" s="1668">
        <f t="shared" si="70"/>
        <v>0</v>
      </c>
      <c r="T98" s="772"/>
      <c r="U98" s="1664">
        <f t="shared" si="71"/>
        <v>74</v>
      </c>
      <c r="V98" s="1668">
        <f t="shared" si="59"/>
        <v>0</v>
      </c>
      <c r="W98" s="1666">
        <f t="shared" si="79"/>
        <v>0</v>
      </c>
      <c r="X98" s="1670">
        <f t="shared" si="64"/>
        <v>0</v>
      </c>
      <c r="Y98" s="1668">
        <f t="shared" si="72"/>
        <v>0</v>
      </c>
      <c r="Z98" s="772"/>
      <c r="AA98" s="1664">
        <f t="shared" si="73"/>
        <v>74</v>
      </c>
      <c r="AB98" s="1668">
        <f t="shared" si="60"/>
        <v>0</v>
      </c>
      <c r="AC98" s="1666">
        <f t="shared" si="80"/>
        <v>0</v>
      </c>
      <c r="AD98" s="1670">
        <f t="shared" si="65"/>
        <v>0</v>
      </c>
      <c r="AE98" s="1668">
        <f t="shared" si="74"/>
        <v>0</v>
      </c>
      <c r="AF98" s="772"/>
      <c r="AG98" s="1664">
        <f t="shared" si="75"/>
        <v>74</v>
      </c>
      <c r="AH98" s="1668">
        <f t="shared" si="61"/>
        <v>0</v>
      </c>
      <c r="AI98" s="1666">
        <f t="shared" si="81"/>
        <v>0</v>
      </c>
      <c r="AJ98" s="1670">
        <f t="shared" si="66"/>
        <v>0</v>
      </c>
      <c r="AK98" s="1668">
        <f t="shared" si="76"/>
        <v>0</v>
      </c>
    </row>
    <row r="99" spans="2:37" ht="20.100000000000001" customHeight="1" x14ac:dyDescent="0.3">
      <c r="B99" s="783"/>
      <c r="C99" s="784"/>
      <c r="D99" s="784"/>
      <c r="E99" s="784"/>
      <c r="F99" s="784"/>
      <c r="G99" s="784"/>
      <c r="H99" s="772"/>
      <c r="I99" s="1664">
        <f t="shared" si="67"/>
        <v>75</v>
      </c>
      <c r="J99" s="1668">
        <f t="shared" si="57"/>
        <v>0</v>
      </c>
      <c r="K99" s="1666">
        <f t="shared" si="77"/>
        <v>0</v>
      </c>
      <c r="L99" s="1670">
        <f t="shared" si="62"/>
        <v>0</v>
      </c>
      <c r="M99" s="1668">
        <f t="shared" si="68"/>
        <v>0</v>
      </c>
      <c r="N99" s="772"/>
      <c r="O99" s="1664">
        <f t="shared" si="69"/>
        <v>75</v>
      </c>
      <c r="P99" s="1668">
        <f t="shared" si="58"/>
        <v>0</v>
      </c>
      <c r="Q99" s="1666">
        <f t="shared" si="78"/>
        <v>0</v>
      </c>
      <c r="R99" s="1670">
        <f t="shared" si="63"/>
        <v>0</v>
      </c>
      <c r="S99" s="1668">
        <f t="shared" si="70"/>
        <v>0</v>
      </c>
      <c r="T99" s="772"/>
      <c r="U99" s="1664">
        <f t="shared" si="71"/>
        <v>75</v>
      </c>
      <c r="V99" s="1668">
        <f t="shared" si="59"/>
        <v>0</v>
      </c>
      <c r="W99" s="1666">
        <f t="shared" si="79"/>
        <v>0</v>
      </c>
      <c r="X99" s="1670">
        <f t="shared" si="64"/>
        <v>0</v>
      </c>
      <c r="Y99" s="1668">
        <f t="shared" si="72"/>
        <v>0</v>
      </c>
      <c r="Z99" s="772"/>
      <c r="AA99" s="1664">
        <f t="shared" si="73"/>
        <v>75</v>
      </c>
      <c r="AB99" s="1668">
        <f t="shared" si="60"/>
        <v>0</v>
      </c>
      <c r="AC99" s="1666">
        <f t="shared" si="80"/>
        <v>0</v>
      </c>
      <c r="AD99" s="1670">
        <f t="shared" si="65"/>
        <v>0</v>
      </c>
      <c r="AE99" s="1668">
        <f t="shared" si="74"/>
        <v>0</v>
      </c>
      <c r="AF99" s="772"/>
      <c r="AG99" s="1664">
        <f t="shared" si="75"/>
        <v>75</v>
      </c>
      <c r="AH99" s="1668">
        <f t="shared" si="61"/>
        <v>0</v>
      </c>
      <c r="AI99" s="1666">
        <f t="shared" si="81"/>
        <v>0</v>
      </c>
      <c r="AJ99" s="1670">
        <f t="shared" si="66"/>
        <v>0</v>
      </c>
      <c r="AK99" s="1668">
        <f t="shared" si="76"/>
        <v>0</v>
      </c>
    </row>
    <row r="100" spans="2:37" ht="20.100000000000001" customHeight="1" x14ac:dyDescent="0.3">
      <c r="B100" s="783"/>
      <c r="C100" s="784"/>
      <c r="D100" s="784"/>
      <c r="E100" s="784"/>
      <c r="F100" s="784"/>
      <c r="G100" s="784"/>
      <c r="H100" s="772"/>
      <c r="I100" s="1664">
        <f t="shared" si="67"/>
        <v>76</v>
      </c>
      <c r="J100" s="1668">
        <f t="shared" si="57"/>
        <v>0</v>
      </c>
      <c r="K100" s="1666">
        <f t="shared" si="77"/>
        <v>0</v>
      </c>
      <c r="L100" s="1670">
        <f t="shared" si="62"/>
        <v>0</v>
      </c>
      <c r="M100" s="1668">
        <f t="shared" si="68"/>
        <v>0</v>
      </c>
      <c r="N100" s="772"/>
      <c r="O100" s="1664">
        <f t="shared" si="69"/>
        <v>76</v>
      </c>
      <c r="P100" s="1668">
        <f t="shared" si="58"/>
        <v>0</v>
      </c>
      <c r="Q100" s="1666">
        <f t="shared" si="78"/>
        <v>0</v>
      </c>
      <c r="R100" s="1670">
        <f t="shared" si="63"/>
        <v>0</v>
      </c>
      <c r="S100" s="1668">
        <f t="shared" si="70"/>
        <v>0</v>
      </c>
      <c r="T100" s="772"/>
      <c r="U100" s="1664">
        <f t="shared" si="71"/>
        <v>76</v>
      </c>
      <c r="V100" s="1668">
        <f t="shared" si="59"/>
        <v>0</v>
      </c>
      <c r="W100" s="1666">
        <f t="shared" si="79"/>
        <v>0</v>
      </c>
      <c r="X100" s="1670">
        <f t="shared" si="64"/>
        <v>0</v>
      </c>
      <c r="Y100" s="1668">
        <f t="shared" si="72"/>
        <v>0</v>
      </c>
      <c r="Z100" s="772"/>
      <c r="AA100" s="1664">
        <f t="shared" si="73"/>
        <v>76</v>
      </c>
      <c r="AB100" s="1668">
        <f t="shared" si="60"/>
        <v>0</v>
      </c>
      <c r="AC100" s="1666">
        <f t="shared" si="80"/>
        <v>0</v>
      </c>
      <c r="AD100" s="1670">
        <f t="shared" si="65"/>
        <v>0</v>
      </c>
      <c r="AE100" s="1668">
        <f t="shared" si="74"/>
        <v>0</v>
      </c>
      <c r="AF100" s="772"/>
      <c r="AG100" s="1664">
        <f t="shared" si="75"/>
        <v>76</v>
      </c>
      <c r="AH100" s="1668">
        <f t="shared" si="61"/>
        <v>0</v>
      </c>
      <c r="AI100" s="1666">
        <f t="shared" si="81"/>
        <v>0</v>
      </c>
      <c r="AJ100" s="1670">
        <f t="shared" si="66"/>
        <v>0</v>
      </c>
      <c r="AK100" s="1668">
        <f t="shared" si="76"/>
        <v>0</v>
      </c>
    </row>
    <row r="101" spans="2:37" ht="20.100000000000001" customHeight="1" x14ac:dyDescent="0.3">
      <c r="B101" s="783"/>
      <c r="C101" s="784"/>
      <c r="D101" s="784"/>
      <c r="E101" s="784"/>
      <c r="F101" s="784"/>
      <c r="G101" s="784"/>
      <c r="H101" s="772"/>
      <c r="I101" s="1664">
        <f t="shared" si="67"/>
        <v>77</v>
      </c>
      <c r="J101" s="1668">
        <f t="shared" si="57"/>
        <v>0</v>
      </c>
      <c r="K101" s="1666">
        <f t="shared" si="77"/>
        <v>0</v>
      </c>
      <c r="L101" s="1670">
        <f t="shared" si="62"/>
        <v>0</v>
      </c>
      <c r="M101" s="1668">
        <f t="shared" si="68"/>
        <v>0</v>
      </c>
      <c r="N101" s="772"/>
      <c r="O101" s="1664">
        <f t="shared" si="69"/>
        <v>77</v>
      </c>
      <c r="P101" s="1668">
        <f t="shared" si="58"/>
        <v>0</v>
      </c>
      <c r="Q101" s="1666">
        <f t="shared" si="78"/>
        <v>0</v>
      </c>
      <c r="R101" s="1670">
        <f t="shared" si="63"/>
        <v>0</v>
      </c>
      <c r="S101" s="1668">
        <f t="shared" si="70"/>
        <v>0</v>
      </c>
      <c r="T101" s="772"/>
      <c r="U101" s="1664">
        <f t="shared" si="71"/>
        <v>77</v>
      </c>
      <c r="V101" s="1668">
        <f t="shared" si="59"/>
        <v>0</v>
      </c>
      <c r="W101" s="1666">
        <f t="shared" si="79"/>
        <v>0</v>
      </c>
      <c r="X101" s="1670">
        <f t="shared" si="64"/>
        <v>0</v>
      </c>
      <c r="Y101" s="1668">
        <f t="shared" si="72"/>
        <v>0</v>
      </c>
      <c r="Z101" s="772"/>
      <c r="AA101" s="1664">
        <f t="shared" si="73"/>
        <v>77</v>
      </c>
      <c r="AB101" s="1668">
        <f t="shared" si="60"/>
        <v>0</v>
      </c>
      <c r="AC101" s="1666">
        <f t="shared" si="80"/>
        <v>0</v>
      </c>
      <c r="AD101" s="1670">
        <f t="shared" si="65"/>
        <v>0</v>
      </c>
      <c r="AE101" s="1668">
        <f t="shared" si="74"/>
        <v>0</v>
      </c>
      <c r="AF101" s="772"/>
      <c r="AG101" s="1664">
        <f t="shared" si="75"/>
        <v>77</v>
      </c>
      <c r="AH101" s="1668">
        <f t="shared" si="61"/>
        <v>0</v>
      </c>
      <c r="AI101" s="1666">
        <f t="shared" si="81"/>
        <v>0</v>
      </c>
      <c r="AJ101" s="1670">
        <f t="shared" si="66"/>
        <v>0</v>
      </c>
      <c r="AK101" s="1668">
        <f t="shared" si="76"/>
        <v>0</v>
      </c>
    </row>
    <row r="102" spans="2:37" ht="20.100000000000001" customHeight="1" x14ac:dyDescent="0.3">
      <c r="B102" s="783"/>
      <c r="C102" s="784"/>
      <c r="D102" s="784"/>
      <c r="E102" s="784"/>
      <c r="F102" s="784"/>
      <c r="G102" s="784"/>
      <c r="H102" s="772"/>
      <c r="I102" s="1664">
        <f t="shared" si="67"/>
        <v>78</v>
      </c>
      <c r="J102" s="1668">
        <f t="shared" si="57"/>
        <v>0</v>
      </c>
      <c r="K102" s="1666">
        <f t="shared" si="77"/>
        <v>0</v>
      </c>
      <c r="L102" s="1670">
        <f t="shared" si="62"/>
        <v>0</v>
      </c>
      <c r="M102" s="1668">
        <f t="shared" si="68"/>
        <v>0</v>
      </c>
      <c r="N102" s="772"/>
      <c r="O102" s="1664">
        <f t="shared" si="69"/>
        <v>78</v>
      </c>
      <c r="P102" s="1668">
        <f t="shared" si="58"/>
        <v>0</v>
      </c>
      <c r="Q102" s="1666">
        <f t="shared" si="78"/>
        <v>0</v>
      </c>
      <c r="R102" s="1670">
        <f t="shared" si="63"/>
        <v>0</v>
      </c>
      <c r="S102" s="1668">
        <f t="shared" si="70"/>
        <v>0</v>
      </c>
      <c r="T102" s="772"/>
      <c r="U102" s="1664">
        <f t="shared" si="71"/>
        <v>78</v>
      </c>
      <c r="V102" s="1668">
        <f t="shared" si="59"/>
        <v>0</v>
      </c>
      <c r="W102" s="1666">
        <f t="shared" si="79"/>
        <v>0</v>
      </c>
      <c r="X102" s="1670">
        <f t="shared" si="64"/>
        <v>0</v>
      </c>
      <c r="Y102" s="1668">
        <f t="shared" si="72"/>
        <v>0</v>
      </c>
      <c r="Z102" s="772"/>
      <c r="AA102" s="1664">
        <f t="shared" si="73"/>
        <v>78</v>
      </c>
      <c r="AB102" s="1668">
        <f t="shared" si="60"/>
        <v>0</v>
      </c>
      <c r="AC102" s="1666">
        <f t="shared" si="80"/>
        <v>0</v>
      </c>
      <c r="AD102" s="1670">
        <f t="shared" si="65"/>
        <v>0</v>
      </c>
      <c r="AE102" s="1668">
        <f t="shared" si="74"/>
        <v>0</v>
      </c>
      <c r="AF102" s="772"/>
      <c r="AG102" s="1664">
        <f t="shared" si="75"/>
        <v>78</v>
      </c>
      <c r="AH102" s="1668">
        <f t="shared" si="61"/>
        <v>0</v>
      </c>
      <c r="AI102" s="1666">
        <f t="shared" si="81"/>
        <v>0</v>
      </c>
      <c r="AJ102" s="1670">
        <f t="shared" si="66"/>
        <v>0</v>
      </c>
      <c r="AK102" s="1668">
        <f t="shared" si="76"/>
        <v>0</v>
      </c>
    </row>
    <row r="103" spans="2:37" ht="20.100000000000001" customHeight="1" x14ac:dyDescent="0.3">
      <c r="B103" s="783"/>
      <c r="C103" s="784"/>
      <c r="D103" s="784"/>
      <c r="E103" s="784"/>
      <c r="F103" s="784"/>
      <c r="G103" s="784"/>
      <c r="H103" s="772"/>
      <c r="I103" s="1664">
        <f t="shared" si="67"/>
        <v>79</v>
      </c>
      <c r="J103" s="1668">
        <f t="shared" si="57"/>
        <v>0</v>
      </c>
      <c r="K103" s="1666">
        <f t="shared" si="77"/>
        <v>0</v>
      </c>
      <c r="L103" s="1670">
        <f t="shared" si="62"/>
        <v>0</v>
      </c>
      <c r="M103" s="1668">
        <f t="shared" si="68"/>
        <v>0</v>
      </c>
      <c r="N103" s="772"/>
      <c r="O103" s="1664">
        <f t="shared" si="69"/>
        <v>79</v>
      </c>
      <c r="P103" s="1668">
        <f t="shared" si="58"/>
        <v>0</v>
      </c>
      <c r="Q103" s="1666">
        <f t="shared" si="78"/>
        <v>0</v>
      </c>
      <c r="R103" s="1670">
        <f t="shared" si="63"/>
        <v>0</v>
      </c>
      <c r="S103" s="1668">
        <f t="shared" si="70"/>
        <v>0</v>
      </c>
      <c r="T103" s="772"/>
      <c r="U103" s="1664">
        <f t="shared" si="71"/>
        <v>79</v>
      </c>
      <c r="V103" s="1668">
        <f t="shared" si="59"/>
        <v>0</v>
      </c>
      <c r="W103" s="1666">
        <f t="shared" si="79"/>
        <v>0</v>
      </c>
      <c r="X103" s="1670">
        <f t="shared" si="64"/>
        <v>0</v>
      </c>
      <c r="Y103" s="1668">
        <f t="shared" si="72"/>
        <v>0</v>
      </c>
      <c r="Z103" s="772"/>
      <c r="AA103" s="1664">
        <f t="shared" si="73"/>
        <v>79</v>
      </c>
      <c r="AB103" s="1668">
        <f t="shared" si="60"/>
        <v>0</v>
      </c>
      <c r="AC103" s="1666">
        <f t="shared" si="80"/>
        <v>0</v>
      </c>
      <c r="AD103" s="1670">
        <f t="shared" si="65"/>
        <v>0</v>
      </c>
      <c r="AE103" s="1668">
        <f t="shared" si="74"/>
        <v>0</v>
      </c>
      <c r="AF103" s="772"/>
      <c r="AG103" s="1664">
        <f t="shared" si="75"/>
        <v>79</v>
      </c>
      <c r="AH103" s="1668">
        <f t="shared" si="61"/>
        <v>0</v>
      </c>
      <c r="AI103" s="1666">
        <f t="shared" si="81"/>
        <v>0</v>
      </c>
      <c r="AJ103" s="1670">
        <f t="shared" si="66"/>
        <v>0</v>
      </c>
      <c r="AK103" s="1668">
        <f t="shared" si="76"/>
        <v>0</v>
      </c>
    </row>
    <row r="104" spans="2:37" ht="20.100000000000001" customHeight="1" x14ac:dyDescent="0.3">
      <c r="B104" s="783"/>
      <c r="C104" s="784"/>
      <c r="D104" s="784"/>
      <c r="E104" s="784"/>
      <c r="F104" s="784"/>
      <c r="G104" s="784"/>
      <c r="H104" s="772"/>
      <c r="I104" s="1664">
        <f t="shared" si="67"/>
        <v>80</v>
      </c>
      <c r="J104" s="1668">
        <f t="shared" si="57"/>
        <v>0</v>
      </c>
      <c r="K104" s="1666">
        <f t="shared" si="77"/>
        <v>0</v>
      </c>
      <c r="L104" s="1670">
        <f t="shared" si="62"/>
        <v>0</v>
      </c>
      <c r="M104" s="1668">
        <f t="shared" si="68"/>
        <v>0</v>
      </c>
      <c r="N104" s="772"/>
      <c r="O104" s="1664">
        <f t="shared" si="69"/>
        <v>80</v>
      </c>
      <c r="P104" s="1668">
        <f t="shared" si="58"/>
        <v>0</v>
      </c>
      <c r="Q104" s="1666">
        <f t="shared" si="78"/>
        <v>0</v>
      </c>
      <c r="R104" s="1670">
        <f t="shared" si="63"/>
        <v>0</v>
      </c>
      <c r="S104" s="1668">
        <f t="shared" si="70"/>
        <v>0</v>
      </c>
      <c r="T104" s="772"/>
      <c r="U104" s="1664">
        <f t="shared" si="71"/>
        <v>80</v>
      </c>
      <c r="V104" s="1668">
        <f t="shared" si="59"/>
        <v>0</v>
      </c>
      <c r="W104" s="1666">
        <f t="shared" si="79"/>
        <v>0</v>
      </c>
      <c r="X104" s="1670">
        <f t="shared" si="64"/>
        <v>0</v>
      </c>
      <c r="Y104" s="1668">
        <f t="shared" si="72"/>
        <v>0</v>
      </c>
      <c r="Z104" s="772"/>
      <c r="AA104" s="1664">
        <f t="shared" si="73"/>
        <v>80</v>
      </c>
      <c r="AB104" s="1668">
        <f t="shared" si="60"/>
        <v>0</v>
      </c>
      <c r="AC104" s="1666">
        <f t="shared" si="80"/>
        <v>0</v>
      </c>
      <c r="AD104" s="1670">
        <f t="shared" si="65"/>
        <v>0</v>
      </c>
      <c r="AE104" s="1668">
        <f t="shared" si="74"/>
        <v>0</v>
      </c>
      <c r="AF104" s="772"/>
      <c r="AG104" s="1664">
        <f t="shared" si="75"/>
        <v>80</v>
      </c>
      <c r="AH104" s="1668">
        <f t="shared" si="61"/>
        <v>0</v>
      </c>
      <c r="AI104" s="1666">
        <f t="shared" si="81"/>
        <v>0</v>
      </c>
      <c r="AJ104" s="1670">
        <f t="shared" si="66"/>
        <v>0</v>
      </c>
      <c r="AK104" s="1668">
        <f t="shared" si="76"/>
        <v>0</v>
      </c>
    </row>
    <row r="105" spans="2:37" ht="20.100000000000001" customHeight="1" x14ac:dyDescent="0.3">
      <c r="B105" s="783"/>
      <c r="C105" s="784"/>
      <c r="D105" s="784"/>
      <c r="E105" s="784"/>
      <c r="F105" s="784"/>
      <c r="G105" s="784"/>
      <c r="H105" s="772"/>
      <c r="I105" s="1664">
        <f t="shared" si="67"/>
        <v>81</v>
      </c>
      <c r="J105" s="1668">
        <f t="shared" si="57"/>
        <v>0</v>
      </c>
      <c r="K105" s="1666">
        <f t="shared" si="77"/>
        <v>0</v>
      </c>
      <c r="L105" s="1670">
        <f t="shared" si="62"/>
        <v>0</v>
      </c>
      <c r="M105" s="1668">
        <f t="shared" si="68"/>
        <v>0</v>
      </c>
      <c r="N105" s="772"/>
      <c r="O105" s="1664">
        <f t="shared" si="69"/>
        <v>81</v>
      </c>
      <c r="P105" s="1668">
        <f t="shared" si="58"/>
        <v>0</v>
      </c>
      <c r="Q105" s="1666">
        <f t="shared" si="78"/>
        <v>0</v>
      </c>
      <c r="R105" s="1670">
        <f t="shared" si="63"/>
        <v>0</v>
      </c>
      <c r="S105" s="1668">
        <f t="shared" si="70"/>
        <v>0</v>
      </c>
      <c r="T105" s="772"/>
      <c r="U105" s="1664">
        <f t="shared" si="71"/>
        <v>81</v>
      </c>
      <c r="V105" s="1668">
        <f t="shared" si="59"/>
        <v>0</v>
      </c>
      <c r="W105" s="1666">
        <f t="shared" si="79"/>
        <v>0</v>
      </c>
      <c r="X105" s="1670">
        <f t="shared" si="64"/>
        <v>0</v>
      </c>
      <c r="Y105" s="1668">
        <f t="shared" si="72"/>
        <v>0</v>
      </c>
      <c r="Z105" s="772"/>
      <c r="AA105" s="1664">
        <f t="shared" si="73"/>
        <v>81</v>
      </c>
      <c r="AB105" s="1668">
        <f t="shared" si="60"/>
        <v>0</v>
      </c>
      <c r="AC105" s="1666">
        <f t="shared" si="80"/>
        <v>0</v>
      </c>
      <c r="AD105" s="1670">
        <f t="shared" si="65"/>
        <v>0</v>
      </c>
      <c r="AE105" s="1668">
        <f t="shared" si="74"/>
        <v>0</v>
      </c>
      <c r="AF105" s="772"/>
      <c r="AG105" s="1664">
        <f t="shared" si="75"/>
        <v>81</v>
      </c>
      <c r="AH105" s="1668">
        <f t="shared" si="61"/>
        <v>0</v>
      </c>
      <c r="AI105" s="1666">
        <f t="shared" si="81"/>
        <v>0</v>
      </c>
      <c r="AJ105" s="1670">
        <f t="shared" si="66"/>
        <v>0</v>
      </c>
      <c r="AK105" s="1668">
        <f t="shared" si="76"/>
        <v>0</v>
      </c>
    </row>
    <row r="106" spans="2:37" ht="20.100000000000001" customHeight="1" x14ac:dyDescent="0.3">
      <c r="B106" s="783"/>
      <c r="C106" s="784"/>
      <c r="D106" s="784"/>
      <c r="E106" s="784"/>
      <c r="F106" s="784"/>
      <c r="G106" s="784"/>
      <c r="H106" s="772"/>
      <c r="I106" s="1664">
        <f t="shared" si="67"/>
        <v>82</v>
      </c>
      <c r="J106" s="1668">
        <f t="shared" si="57"/>
        <v>0</v>
      </c>
      <c r="K106" s="1666">
        <f t="shared" si="77"/>
        <v>0</v>
      </c>
      <c r="L106" s="1670">
        <f t="shared" ref="L106:L107" si="82">ROUND(IF(J106=0,0,IF(I106=annuité_emprunt1,M105,IF(I106&gt;différé_emprunt1,-PPMT((taux_emprunt1/périodicité_emprunt1),I106-différé_emprunt1,(annuité_emprunt1-différé_emprunt1),emprunt1),0))),2)</f>
        <v>0</v>
      </c>
      <c r="M106" s="1668">
        <f t="shared" si="68"/>
        <v>0</v>
      </c>
      <c r="N106" s="772"/>
      <c r="O106" s="1664">
        <f t="shared" si="69"/>
        <v>82</v>
      </c>
      <c r="P106" s="1668">
        <f t="shared" si="58"/>
        <v>0</v>
      </c>
      <c r="Q106" s="1666">
        <f t="shared" si="78"/>
        <v>0</v>
      </c>
      <c r="R106" s="1670">
        <f t="shared" ref="R106:R107" si="83">ROUND(IF(P106=0,0,IF(O106=annuité_emprunt2,S105,IF(O106&gt;différé_emprunt2,-PPMT((taux_emprunt2/périodicité_emprunt2),O106-différé_emprunt2,(annuité_emprunt2-différé_emprunt2),emprunt2),0))),2)</f>
        <v>0</v>
      </c>
      <c r="S106" s="1668">
        <f t="shared" si="70"/>
        <v>0</v>
      </c>
      <c r="T106" s="772"/>
      <c r="U106" s="1664">
        <f t="shared" si="71"/>
        <v>82</v>
      </c>
      <c r="V106" s="1668">
        <f t="shared" si="59"/>
        <v>0</v>
      </c>
      <c r="W106" s="1666">
        <f t="shared" si="79"/>
        <v>0</v>
      </c>
      <c r="X106" s="1670">
        <f t="shared" si="64"/>
        <v>0</v>
      </c>
      <c r="Y106" s="1668">
        <f t="shared" si="72"/>
        <v>0</v>
      </c>
      <c r="Z106" s="772"/>
      <c r="AA106" s="1664">
        <f t="shared" si="73"/>
        <v>82</v>
      </c>
      <c r="AB106" s="1668">
        <f t="shared" si="60"/>
        <v>0</v>
      </c>
      <c r="AC106" s="1666">
        <f t="shared" si="80"/>
        <v>0</v>
      </c>
      <c r="AD106" s="1670">
        <f t="shared" si="65"/>
        <v>0</v>
      </c>
      <c r="AE106" s="1668">
        <f t="shared" si="74"/>
        <v>0</v>
      </c>
      <c r="AF106" s="772"/>
      <c r="AG106" s="1664">
        <f t="shared" si="75"/>
        <v>82</v>
      </c>
      <c r="AH106" s="1668">
        <f t="shared" si="61"/>
        <v>0</v>
      </c>
      <c r="AI106" s="1666">
        <f t="shared" si="81"/>
        <v>0</v>
      </c>
      <c r="AJ106" s="1670">
        <f t="shared" si="66"/>
        <v>0</v>
      </c>
      <c r="AK106" s="1668">
        <f t="shared" si="76"/>
        <v>0</v>
      </c>
    </row>
    <row r="107" spans="2:37" ht="20.100000000000001" customHeight="1" x14ac:dyDescent="0.3">
      <c r="B107" s="783"/>
      <c r="C107" s="784"/>
      <c r="D107" s="784"/>
      <c r="E107" s="784"/>
      <c r="F107" s="784"/>
      <c r="G107" s="784"/>
      <c r="H107" s="772"/>
      <c r="I107" s="1664">
        <f t="shared" si="67"/>
        <v>83</v>
      </c>
      <c r="J107" s="1668">
        <f t="shared" si="57"/>
        <v>0</v>
      </c>
      <c r="K107" s="1666">
        <f t="shared" si="77"/>
        <v>0</v>
      </c>
      <c r="L107" s="1670">
        <f t="shared" si="82"/>
        <v>0</v>
      </c>
      <c r="M107" s="1668">
        <f t="shared" si="68"/>
        <v>0</v>
      </c>
      <c r="N107" s="772"/>
      <c r="O107" s="1664">
        <f t="shared" si="69"/>
        <v>83</v>
      </c>
      <c r="P107" s="1668">
        <f t="shared" si="58"/>
        <v>0</v>
      </c>
      <c r="Q107" s="1666">
        <f t="shared" si="78"/>
        <v>0</v>
      </c>
      <c r="R107" s="1670">
        <f t="shared" si="83"/>
        <v>0</v>
      </c>
      <c r="S107" s="1668">
        <f t="shared" si="70"/>
        <v>0</v>
      </c>
      <c r="T107" s="772"/>
      <c r="U107" s="1664">
        <f t="shared" si="71"/>
        <v>83</v>
      </c>
      <c r="V107" s="1668">
        <f t="shared" si="59"/>
        <v>0</v>
      </c>
      <c r="W107" s="1666">
        <f t="shared" si="79"/>
        <v>0</v>
      </c>
      <c r="X107" s="1670">
        <f t="shared" si="64"/>
        <v>0</v>
      </c>
      <c r="Y107" s="1668">
        <f t="shared" si="72"/>
        <v>0</v>
      </c>
      <c r="Z107" s="772"/>
      <c r="AA107" s="1664">
        <f t="shared" si="73"/>
        <v>83</v>
      </c>
      <c r="AB107" s="1668">
        <f t="shared" si="60"/>
        <v>0</v>
      </c>
      <c r="AC107" s="1666">
        <f t="shared" si="80"/>
        <v>0</v>
      </c>
      <c r="AD107" s="1670">
        <f t="shared" si="65"/>
        <v>0</v>
      </c>
      <c r="AE107" s="1668">
        <f t="shared" si="74"/>
        <v>0</v>
      </c>
      <c r="AF107" s="772"/>
      <c r="AG107" s="1664">
        <f t="shared" si="75"/>
        <v>83</v>
      </c>
      <c r="AH107" s="1668">
        <f t="shared" si="61"/>
        <v>0</v>
      </c>
      <c r="AI107" s="1666">
        <f t="shared" si="81"/>
        <v>0</v>
      </c>
      <c r="AJ107" s="1670">
        <f t="shared" si="66"/>
        <v>0</v>
      </c>
      <c r="AK107" s="1668">
        <f t="shared" si="76"/>
        <v>0</v>
      </c>
    </row>
    <row r="108" spans="2:37" ht="20.100000000000001" customHeight="1" x14ac:dyDescent="0.3">
      <c r="B108" s="783"/>
      <c r="C108" s="784"/>
      <c r="D108" s="784"/>
      <c r="E108" s="784"/>
      <c r="F108" s="784"/>
      <c r="G108" s="784"/>
      <c r="H108" s="772"/>
      <c r="I108" s="1664">
        <f t="shared" si="67"/>
        <v>84</v>
      </c>
      <c r="J108" s="1668">
        <f t="shared" si="57"/>
        <v>0</v>
      </c>
      <c r="K108" s="1666">
        <f t="shared" si="77"/>
        <v>0</v>
      </c>
      <c r="L108" s="1670">
        <f t="shared" ref="L108:L171" si="84">ROUND(IF(J108=0,0,IF(I108=annuité_emprunt1,M107,IF(I108&gt;différé_emprunt1,-PPMT((taux_emprunt1/périodicité_emprunt1),I108-différé_emprunt1,(annuité_emprunt1-différé_emprunt1),emprunt1),0))),2)</f>
        <v>0</v>
      </c>
      <c r="M108" s="1668">
        <f t="shared" si="68"/>
        <v>0</v>
      </c>
      <c r="N108" s="772"/>
      <c r="O108" s="1664">
        <f t="shared" si="69"/>
        <v>84</v>
      </c>
      <c r="P108" s="1668">
        <f t="shared" si="58"/>
        <v>0</v>
      </c>
      <c r="Q108" s="1666">
        <f t="shared" si="78"/>
        <v>0</v>
      </c>
      <c r="R108" s="1670">
        <f t="shared" ref="R108:R171" si="85">ROUND(IF(P108=0,0,IF(O108=annuité_emprunt2,S107,IF(O108&gt;différé_emprunt2,-PPMT((taux_emprunt2/périodicité_emprunt2),O108-différé_emprunt2,(annuité_emprunt2-différé_emprunt2),emprunt2),0))),2)</f>
        <v>0</v>
      </c>
      <c r="S108" s="1668">
        <f t="shared" si="70"/>
        <v>0</v>
      </c>
      <c r="T108" s="772"/>
      <c r="U108" s="1664">
        <f t="shared" si="71"/>
        <v>84</v>
      </c>
      <c r="V108" s="1668">
        <f t="shared" si="59"/>
        <v>0</v>
      </c>
      <c r="W108" s="1666">
        <f t="shared" si="79"/>
        <v>0</v>
      </c>
      <c r="X108" s="1670">
        <f t="shared" si="64"/>
        <v>0</v>
      </c>
      <c r="Y108" s="1668">
        <f t="shared" si="72"/>
        <v>0</v>
      </c>
      <c r="Z108" s="772"/>
      <c r="AA108" s="1664">
        <f t="shared" si="73"/>
        <v>84</v>
      </c>
      <c r="AB108" s="1668">
        <f t="shared" si="60"/>
        <v>0</v>
      </c>
      <c r="AC108" s="1666">
        <f t="shared" si="80"/>
        <v>0</v>
      </c>
      <c r="AD108" s="1670">
        <f t="shared" si="65"/>
        <v>0</v>
      </c>
      <c r="AE108" s="1668">
        <f t="shared" si="74"/>
        <v>0</v>
      </c>
      <c r="AF108" s="772"/>
      <c r="AG108" s="1664">
        <f t="shared" si="75"/>
        <v>84</v>
      </c>
      <c r="AH108" s="1668">
        <f t="shared" si="61"/>
        <v>0</v>
      </c>
      <c r="AI108" s="1666">
        <f t="shared" si="81"/>
        <v>0</v>
      </c>
      <c r="AJ108" s="1670">
        <f t="shared" si="66"/>
        <v>0</v>
      </c>
      <c r="AK108" s="1668">
        <f t="shared" si="76"/>
        <v>0</v>
      </c>
    </row>
    <row r="109" spans="2:37" ht="20.100000000000001" customHeight="1" x14ac:dyDescent="0.3">
      <c r="B109" s="783"/>
      <c r="C109" s="784"/>
      <c r="D109" s="784"/>
      <c r="E109" s="784"/>
      <c r="F109" s="784"/>
      <c r="G109" s="784"/>
      <c r="H109" s="772"/>
      <c r="I109" s="1664">
        <f t="shared" si="67"/>
        <v>85</v>
      </c>
      <c r="J109" s="1668">
        <f t="shared" si="57"/>
        <v>0</v>
      </c>
      <c r="K109" s="1666">
        <f t="shared" si="77"/>
        <v>0</v>
      </c>
      <c r="L109" s="1670">
        <f t="shared" si="84"/>
        <v>0</v>
      </c>
      <c r="M109" s="1668">
        <f t="shared" si="68"/>
        <v>0</v>
      </c>
      <c r="N109" s="772"/>
      <c r="O109" s="1664">
        <f t="shared" si="69"/>
        <v>85</v>
      </c>
      <c r="P109" s="1668">
        <f t="shared" si="58"/>
        <v>0</v>
      </c>
      <c r="Q109" s="1666">
        <f t="shared" si="78"/>
        <v>0</v>
      </c>
      <c r="R109" s="1670">
        <f t="shared" si="85"/>
        <v>0</v>
      </c>
      <c r="S109" s="1668">
        <f t="shared" si="70"/>
        <v>0</v>
      </c>
      <c r="T109" s="772"/>
      <c r="U109" s="1664">
        <f t="shared" si="71"/>
        <v>85</v>
      </c>
      <c r="V109" s="1668">
        <f t="shared" si="59"/>
        <v>0</v>
      </c>
      <c r="W109" s="1666">
        <f t="shared" si="79"/>
        <v>0</v>
      </c>
      <c r="X109" s="1670">
        <f t="shared" si="64"/>
        <v>0</v>
      </c>
      <c r="Y109" s="1668">
        <f t="shared" si="72"/>
        <v>0</v>
      </c>
      <c r="Z109" s="772"/>
      <c r="AA109" s="1664">
        <f t="shared" si="73"/>
        <v>85</v>
      </c>
      <c r="AB109" s="1668">
        <f t="shared" si="60"/>
        <v>0</v>
      </c>
      <c r="AC109" s="1666">
        <f t="shared" si="80"/>
        <v>0</v>
      </c>
      <c r="AD109" s="1670">
        <f t="shared" si="65"/>
        <v>0</v>
      </c>
      <c r="AE109" s="1668">
        <f t="shared" si="74"/>
        <v>0</v>
      </c>
      <c r="AF109" s="772"/>
      <c r="AG109" s="1664">
        <f t="shared" si="75"/>
        <v>85</v>
      </c>
      <c r="AH109" s="1668">
        <f t="shared" si="61"/>
        <v>0</v>
      </c>
      <c r="AI109" s="1666">
        <f t="shared" si="81"/>
        <v>0</v>
      </c>
      <c r="AJ109" s="1670">
        <f t="shared" si="66"/>
        <v>0</v>
      </c>
      <c r="AK109" s="1668">
        <f t="shared" si="76"/>
        <v>0</v>
      </c>
    </row>
    <row r="110" spans="2:37" ht="20.100000000000001" customHeight="1" x14ac:dyDescent="0.3">
      <c r="B110" s="783"/>
      <c r="C110" s="784"/>
      <c r="D110" s="784"/>
      <c r="E110" s="784"/>
      <c r="F110" s="784"/>
      <c r="G110" s="784"/>
      <c r="H110" s="772"/>
      <c r="I110" s="1664">
        <f t="shared" si="67"/>
        <v>86</v>
      </c>
      <c r="J110" s="1668">
        <f t="shared" si="57"/>
        <v>0</v>
      </c>
      <c r="K110" s="1666">
        <f t="shared" si="77"/>
        <v>0</v>
      </c>
      <c r="L110" s="1670">
        <f t="shared" si="84"/>
        <v>0</v>
      </c>
      <c r="M110" s="1668">
        <f t="shared" si="68"/>
        <v>0</v>
      </c>
      <c r="N110" s="772"/>
      <c r="O110" s="1664">
        <f t="shared" si="69"/>
        <v>86</v>
      </c>
      <c r="P110" s="1668">
        <f t="shared" si="58"/>
        <v>0</v>
      </c>
      <c r="Q110" s="1666">
        <f t="shared" si="78"/>
        <v>0</v>
      </c>
      <c r="R110" s="1670">
        <f t="shared" si="85"/>
        <v>0</v>
      </c>
      <c r="S110" s="1668">
        <f t="shared" si="70"/>
        <v>0</v>
      </c>
      <c r="T110" s="772"/>
      <c r="U110" s="1664">
        <f t="shared" si="71"/>
        <v>86</v>
      </c>
      <c r="V110" s="1668">
        <f t="shared" si="59"/>
        <v>0</v>
      </c>
      <c r="W110" s="1666">
        <f t="shared" si="79"/>
        <v>0</v>
      </c>
      <c r="X110" s="1670">
        <f t="shared" si="64"/>
        <v>0</v>
      </c>
      <c r="Y110" s="1668">
        <f t="shared" si="72"/>
        <v>0</v>
      </c>
      <c r="Z110" s="772"/>
      <c r="AA110" s="1664">
        <f t="shared" si="73"/>
        <v>86</v>
      </c>
      <c r="AB110" s="1668">
        <f t="shared" si="60"/>
        <v>0</v>
      </c>
      <c r="AC110" s="1666">
        <f t="shared" si="80"/>
        <v>0</v>
      </c>
      <c r="AD110" s="1670">
        <f t="shared" si="65"/>
        <v>0</v>
      </c>
      <c r="AE110" s="1668">
        <f t="shared" si="74"/>
        <v>0</v>
      </c>
      <c r="AF110" s="772"/>
      <c r="AG110" s="1664">
        <f t="shared" si="75"/>
        <v>86</v>
      </c>
      <c r="AH110" s="1668">
        <f t="shared" si="61"/>
        <v>0</v>
      </c>
      <c r="AI110" s="1666">
        <f t="shared" si="81"/>
        <v>0</v>
      </c>
      <c r="AJ110" s="1670">
        <f t="shared" si="66"/>
        <v>0</v>
      </c>
      <c r="AK110" s="1668">
        <f t="shared" si="76"/>
        <v>0</v>
      </c>
    </row>
    <row r="111" spans="2:37" ht="20.100000000000001" customHeight="1" x14ac:dyDescent="0.3">
      <c r="B111" s="783"/>
      <c r="C111" s="784"/>
      <c r="D111" s="784"/>
      <c r="E111" s="784"/>
      <c r="F111" s="784"/>
      <c r="G111" s="784"/>
      <c r="H111" s="772"/>
      <c r="I111" s="1664">
        <f t="shared" si="67"/>
        <v>87</v>
      </c>
      <c r="J111" s="1668">
        <f t="shared" si="57"/>
        <v>0</v>
      </c>
      <c r="K111" s="1666">
        <f t="shared" si="77"/>
        <v>0</v>
      </c>
      <c r="L111" s="1670">
        <f t="shared" si="84"/>
        <v>0</v>
      </c>
      <c r="M111" s="1668">
        <f t="shared" si="68"/>
        <v>0</v>
      </c>
      <c r="N111" s="772"/>
      <c r="O111" s="1664">
        <f t="shared" si="69"/>
        <v>87</v>
      </c>
      <c r="P111" s="1668">
        <f t="shared" si="58"/>
        <v>0</v>
      </c>
      <c r="Q111" s="1666">
        <f t="shared" si="78"/>
        <v>0</v>
      </c>
      <c r="R111" s="1670">
        <f t="shared" si="85"/>
        <v>0</v>
      </c>
      <c r="S111" s="1668">
        <f t="shared" si="70"/>
        <v>0</v>
      </c>
      <c r="T111" s="772"/>
      <c r="U111" s="1664">
        <f t="shared" si="71"/>
        <v>87</v>
      </c>
      <c r="V111" s="1668">
        <f t="shared" si="59"/>
        <v>0</v>
      </c>
      <c r="W111" s="1666">
        <f t="shared" si="79"/>
        <v>0</v>
      </c>
      <c r="X111" s="1670">
        <f t="shared" si="64"/>
        <v>0</v>
      </c>
      <c r="Y111" s="1668">
        <f t="shared" si="72"/>
        <v>0</v>
      </c>
      <c r="Z111" s="772"/>
      <c r="AA111" s="1664">
        <f t="shared" si="73"/>
        <v>87</v>
      </c>
      <c r="AB111" s="1668">
        <f t="shared" si="60"/>
        <v>0</v>
      </c>
      <c r="AC111" s="1666">
        <f t="shared" si="80"/>
        <v>0</v>
      </c>
      <c r="AD111" s="1670">
        <f t="shared" si="65"/>
        <v>0</v>
      </c>
      <c r="AE111" s="1668">
        <f t="shared" si="74"/>
        <v>0</v>
      </c>
      <c r="AF111" s="772"/>
      <c r="AG111" s="1664">
        <f t="shared" si="75"/>
        <v>87</v>
      </c>
      <c r="AH111" s="1668">
        <f t="shared" si="61"/>
        <v>0</v>
      </c>
      <c r="AI111" s="1666">
        <f t="shared" si="81"/>
        <v>0</v>
      </c>
      <c r="AJ111" s="1670">
        <f t="shared" si="66"/>
        <v>0</v>
      </c>
      <c r="AK111" s="1668">
        <f t="shared" si="76"/>
        <v>0</v>
      </c>
    </row>
    <row r="112" spans="2:37" ht="20.100000000000001" customHeight="1" x14ac:dyDescent="0.3">
      <c r="B112" s="783"/>
      <c r="C112" s="784"/>
      <c r="D112" s="784"/>
      <c r="E112" s="784"/>
      <c r="F112" s="784"/>
      <c r="G112" s="784"/>
      <c r="H112" s="772"/>
      <c r="I112" s="1664">
        <f t="shared" si="67"/>
        <v>88</v>
      </c>
      <c r="J112" s="1668">
        <f t="shared" si="57"/>
        <v>0</v>
      </c>
      <c r="K112" s="1666">
        <f t="shared" si="77"/>
        <v>0</v>
      </c>
      <c r="L112" s="1670">
        <f t="shared" si="84"/>
        <v>0</v>
      </c>
      <c r="M112" s="1668">
        <f t="shared" si="68"/>
        <v>0</v>
      </c>
      <c r="N112" s="772"/>
      <c r="O112" s="1664">
        <f t="shared" si="69"/>
        <v>88</v>
      </c>
      <c r="P112" s="1668">
        <f t="shared" si="58"/>
        <v>0</v>
      </c>
      <c r="Q112" s="1666">
        <f t="shared" si="78"/>
        <v>0</v>
      </c>
      <c r="R112" s="1670">
        <f t="shared" si="85"/>
        <v>0</v>
      </c>
      <c r="S112" s="1668">
        <f t="shared" si="70"/>
        <v>0</v>
      </c>
      <c r="T112" s="772"/>
      <c r="U112" s="1664">
        <f t="shared" si="71"/>
        <v>88</v>
      </c>
      <c r="V112" s="1668">
        <f t="shared" si="59"/>
        <v>0</v>
      </c>
      <c r="W112" s="1666">
        <f t="shared" si="79"/>
        <v>0</v>
      </c>
      <c r="X112" s="1670">
        <f t="shared" si="64"/>
        <v>0</v>
      </c>
      <c r="Y112" s="1668">
        <f t="shared" si="72"/>
        <v>0</v>
      </c>
      <c r="Z112" s="772"/>
      <c r="AA112" s="1664">
        <f t="shared" si="73"/>
        <v>88</v>
      </c>
      <c r="AB112" s="1668">
        <f t="shared" si="60"/>
        <v>0</v>
      </c>
      <c r="AC112" s="1666">
        <f t="shared" si="80"/>
        <v>0</v>
      </c>
      <c r="AD112" s="1670">
        <f t="shared" si="65"/>
        <v>0</v>
      </c>
      <c r="AE112" s="1668">
        <f t="shared" si="74"/>
        <v>0</v>
      </c>
      <c r="AF112" s="772"/>
      <c r="AG112" s="1664">
        <f t="shared" si="75"/>
        <v>88</v>
      </c>
      <c r="AH112" s="1668">
        <f t="shared" si="61"/>
        <v>0</v>
      </c>
      <c r="AI112" s="1666">
        <f t="shared" si="81"/>
        <v>0</v>
      </c>
      <c r="AJ112" s="1670">
        <f t="shared" si="66"/>
        <v>0</v>
      </c>
      <c r="AK112" s="1668">
        <f t="shared" si="76"/>
        <v>0</v>
      </c>
    </row>
    <row r="113" spans="2:37" ht="20.100000000000001" customHeight="1" x14ac:dyDescent="0.3">
      <c r="B113" s="783"/>
      <c r="C113" s="784"/>
      <c r="D113" s="784"/>
      <c r="E113" s="784"/>
      <c r="F113" s="784"/>
      <c r="G113" s="784"/>
      <c r="H113" s="772"/>
      <c r="I113" s="1664">
        <f t="shared" si="67"/>
        <v>89</v>
      </c>
      <c r="J113" s="1668">
        <f t="shared" si="57"/>
        <v>0</v>
      </c>
      <c r="K113" s="1666">
        <f t="shared" si="77"/>
        <v>0</v>
      </c>
      <c r="L113" s="1670">
        <f t="shared" si="84"/>
        <v>0</v>
      </c>
      <c r="M113" s="1668">
        <f t="shared" si="68"/>
        <v>0</v>
      </c>
      <c r="N113" s="772"/>
      <c r="O113" s="1664">
        <f t="shared" si="69"/>
        <v>89</v>
      </c>
      <c r="P113" s="1668">
        <f t="shared" si="58"/>
        <v>0</v>
      </c>
      <c r="Q113" s="1666">
        <f t="shared" si="78"/>
        <v>0</v>
      </c>
      <c r="R113" s="1670">
        <f t="shared" si="85"/>
        <v>0</v>
      </c>
      <c r="S113" s="1668">
        <f t="shared" si="70"/>
        <v>0</v>
      </c>
      <c r="T113" s="772"/>
      <c r="U113" s="1664">
        <f t="shared" si="71"/>
        <v>89</v>
      </c>
      <c r="V113" s="1668">
        <f t="shared" si="59"/>
        <v>0</v>
      </c>
      <c r="W113" s="1666">
        <f t="shared" si="79"/>
        <v>0</v>
      </c>
      <c r="X113" s="1670">
        <f t="shared" si="64"/>
        <v>0</v>
      </c>
      <c r="Y113" s="1668">
        <f t="shared" si="72"/>
        <v>0</v>
      </c>
      <c r="Z113" s="772"/>
      <c r="AA113" s="1664">
        <f t="shared" si="73"/>
        <v>89</v>
      </c>
      <c r="AB113" s="1668">
        <f t="shared" si="60"/>
        <v>0</v>
      </c>
      <c r="AC113" s="1666">
        <f t="shared" si="80"/>
        <v>0</v>
      </c>
      <c r="AD113" s="1670">
        <f t="shared" si="65"/>
        <v>0</v>
      </c>
      <c r="AE113" s="1668">
        <f t="shared" si="74"/>
        <v>0</v>
      </c>
      <c r="AF113" s="772"/>
      <c r="AG113" s="1664">
        <f t="shared" si="75"/>
        <v>89</v>
      </c>
      <c r="AH113" s="1668">
        <f t="shared" si="61"/>
        <v>0</v>
      </c>
      <c r="AI113" s="1666">
        <f t="shared" si="81"/>
        <v>0</v>
      </c>
      <c r="AJ113" s="1670">
        <f t="shared" si="66"/>
        <v>0</v>
      </c>
      <c r="AK113" s="1668">
        <f t="shared" si="76"/>
        <v>0</v>
      </c>
    </row>
    <row r="114" spans="2:37" ht="20.100000000000001" customHeight="1" x14ac:dyDescent="0.3">
      <c r="B114" s="783"/>
      <c r="C114" s="784"/>
      <c r="D114" s="784"/>
      <c r="E114" s="784"/>
      <c r="F114" s="784"/>
      <c r="G114" s="784"/>
      <c r="H114" s="772"/>
      <c r="I114" s="1664">
        <f t="shared" si="67"/>
        <v>90</v>
      </c>
      <c r="J114" s="1668">
        <f t="shared" si="57"/>
        <v>0</v>
      </c>
      <c r="K114" s="1666">
        <f t="shared" si="77"/>
        <v>0</v>
      </c>
      <c r="L114" s="1670">
        <f t="shared" si="84"/>
        <v>0</v>
      </c>
      <c r="M114" s="1668">
        <f t="shared" si="68"/>
        <v>0</v>
      </c>
      <c r="N114" s="772"/>
      <c r="O114" s="1664">
        <f t="shared" si="69"/>
        <v>90</v>
      </c>
      <c r="P114" s="1668">
        <f t="shared" si="58"/>
        <v>0</v>
      </c>
      <c r="Q114" s="1666">
        <f t="shared" si="78"/>
        <v>0</v>
      </c>
      <c r="R114" s="1670">
        <f t="shared" si="85"/>
        <v>0</v>
      </c>
      <c r="S114" s="1668">
        <f t="shared" si="70"/>
        <v>0</v>
      </c>
      <c r="T114" s="772"/>
      <c r="U114" s="1664">
        <f t="shared" si="71"/>
        <v>90</v>
      </c>
      <c r="V114" s="1668">
        <f t="shared" si="59"/>
        <v>0</v>
      </c>
      <c r="W114" s="1666">
        <f t="shared" si="79"/>
        <v>0</v>
      </c>
      <c r="X114" s="1670">
        <f t="shared" si="64"/>
        <v>0</v>
      </c>
      <c r="Y114" s="1668">
        <f t="shared" si="72"/>
        <v>0</v>
      </c>
      <c r="Z114" s="772"/>
      <c r="AA114" s="1664">
        <f t="shared" si="73"/>
        <v>90</v>
      </c>
      <c r="AB114" s="1668">
        <f t="shared" si="60"/>
        <v>0</v>
      </c>
      <c r="AC114" s="1666">
        <f t="shared" si="80"/>
        <v>0</v>
      </c>
      <c r="AD114" s="1670">
        <f t="shared" si="65"/>
        <v>0</v>
      </c>
      <c r="AE114" s="1668">
        <f t="shared" si="74"/>
        <v>0</v>
      </c>
      <c r="AF114" s="772"/>
      <c r="AG114" s="1664">
        <f t="shared" si="75"/>
        <v>90</v>
      </c>
      <c r="AH114" s="1668">
        <f t="shared" si="61"/>
        <v>0</v>
      </c>
      <c r="AI114" s="1666">
        <f t="shared" si="81"/>
        <v>0</v>
      </c>
      <c r="AJ114" s="1670">
        <f t="shared" si="66"/>
        <v>0</v>
      </c>
      <c r="AK114" s="1668">
        <f t="shared" si="76"/>
        <v>0</v>
      </c>
    </row>
    <row r="115" spans="2:37" ht="20.100000000000001" customHeight="1" x14ac:dyDescent="0.3">
      <c r="B115" s="783"/>
      <c r="C115" s="784"/>
      <c r="D115" s="784"/>
      <c r="E115" s="784"/>
      <c r="F115" s="784"/>
      <c r="G115" s="784"/>
      <c r="H115" s="772"/>
      <c r="I115" s="1664">
        <f t="shared" si="67"/>
        <v>91</v>
      </c>
      <c r="J115" s="1668">
        <f t="shared" si="57"/>
        <v>0</v>
      </c>
      <c r="K115" s="1666">
        <f t="shared" si="77"/>
        <v>0</v>
      </c>
      <c r="L115" s="1670">
        <f t="shared" si="84"/>
        <v>0</v>
      </c>
      <c r="M115" s="1668">
        <f t="shared" si="68"/>
        <v>0</v>
      </c>
      <c r="N115" s="772"/>
      <c r="O115" s="1664">
        <f t="shared" si="69"/>
        <v>91</v>
      </c>
      <c r="P115" s="1668">
        <f t="shared" si="58"/>
        <v>0</v>
      </c>
      <c r="Q115" s="1666">
        <f t="shared" si="78"/>
        <v>0</v>
      </c>
      <c r="R115" s="1670">
        <f t="shared" si="85"/>
        <v>0</v>
      </c>
      <c r="S115" s="1668">
        <f t="shared" si="70"/>
        <v>0</v>
      </c>
      <c r="T115" s="772"/>
      <c r="U115" s="1664">
        <f t="shared" si="71"/>
        <v>91</v>
      </c>
      <c r="V115" s="1668">
        <f t="shared" si="59"/>
        <v>0</v>
      </c>
      <c r="W115" s="1666">
        <f t="shared" si="79"/>
        <v>0</v>
      </c>
      <c r="X115" s="1670">
        <f t="shared" si="64"/>
        <v>0</v>
      </c>
      <c r="Y115" s="1668">
        <f t="shared" si="72"/>
        <v>0</v>
      </c>
      <c r="Z115" s="772"/>
      <c r="AA115" s="1664">
        <f t="shared" si="73"/>
        <v>91</v>
      </c>
      <c r="AB115" s="1668">
        <f t="shared" si="60"/>
        <v>0</v>
      </c>
      <c r="AC115" s="1666">
        <f t="shared" si="80"/>
        <v>0</v>
      </c>
      <c r="AD115" s="1670">
        <f t="shared" si="65"/>
        <v>0</v>
      </c>
      <c r="AE115" s="1668">
        <f t="shared" si="74"/>
        <v>0</v>
      </c>
      <c r="AF115" s="772"/>
      <c r="AG115" s="1664">
        <f t="shared" si="75"/>
        <v>91</v>
      </c>
      <c r="AH115" s="1668">
        <f t="shared" si="61"/>
        <v>0</v>
      </c>
      <c r="AI115" s="1666">
        <f t="shared" si="81"/>
        <v>0</v>
      </c>
      <c r="AJ115" s="1670">
        <f t="shared" si="66"/>
        <v>0</v>
      </c>
      <c r="AK115" s="1668">
        <f t="shared" si="76"/>
        <v>0</v>
      </c>
    </row>
    <row r="116" spans="2:37" ht="20.100000000000001" customHeight="1" x14ac:dyDescent="0.3">
      <c r="B116" s="783"/>
      <c r="C116" s="784"/>
      <c r="D116" s="784"/>
      <c r="E116" s="784"/>
      <c r="F116" s="784"/>
      <c r="G116" s="784"/>
      <c r="H116" s="772"/>
      <c r="I116" s="1664">
        <f t="shared" si="67"/>
        <v>92</v>
      </c>
      <c r="J116" s="1668">
        <f t="shared" si="57"/>
        <v>0</v>
      </c>
      <c r="K116" s="1666">
        <f t="shared" si="77"/>
        <v>0</v>
      </c>
      <c r="L116" s="1670">
        <f t="shared" si="84"/>
        <v>0</v>
      </c>
      <c r="M116" s="1668">
        <f t="shared" si="68"/>
        <v>0</v>
      </c>
      <c r="N116" s="772"/>
      <c r="O116" s="1664">
        <f t="shared" si="69"/>
        <v>92</v>
      </c>
      <c r="P116" s="1668">
        <f t="shared" si="58"/>
        <v>0</v>
      </c>
      <c r="Q116" s="1666">
        <f t="shared" si="78"/>
        <v>0</v>
      </c>
      <c r="R116" s="1670">
        <f t="shared" si="85"/>
        <v>0</v>
      </c>
      <c r="S116" s="1668">
        <f t="shared" si="70"/>
        <v>0</v>
      </c>
      <c r="T116" s="772"/>
      <c r="U116" s="1664">
        <f t="shared" si="71"/>
        <v>92</v>
      </c>
      <c r="V116" s="1668">
        <f t="shared" si="59"/>
        <v>0</v>
      </c>
      <c r="W116" s="1666">
        <f t="shared" si="79"/>
        <v>0</v>
      </c>
      <c r="X116" s="1670">
        <f t="shared" si="64"/>
        <v>0</v>
      </c>
      <c r="Y116" s="1668">
        <f t="shared" si="72"/>
        <v>0</v>
      </c>
      <c r="Z116" s="772"/>
      <c r="AA116" s="1664">
        <f t="shared" si="73"/>
        <v>92</v>
      </c>
      <c r="AB116" s="1668">
        <f t="shared" si="60"/>
        <v>0</v>
      </c>
      <c r="AC116" s="1666">
        <f t="shared" si="80"/>
        <v>0</v>
      </c>
      <c r="AD116" s="1670">
        <f t="shared" si="65"/>
        <v>0</v>
      </c>
      <c r="AE116" s="1668">
        <f t="shared" si="74"/>
        <v>0</v>
      </c>
      <c r="AF116" s="772"/>
      <c r="AG116" s="1664">
        <f t="shared" si="75"/>
        <v>92</v>
      </c>
      <c r="AH116" s="1668">
        <f t="shared" si="61"/>
        <v>0</v>
      </c>
      <c r="AI116" s="1666">
        <f t="shared" si="81"/>
        <v>0</v>
      </c>
      <c r="AJ116" s="1670">
        <f t="shared" si="66"/>
        <v>0</v>
      </c>
      <c r="AK116" s="1668">
        <f t="shared" si="76"/>
        <v>0</v>
      </c>
    </row>
    <row r="117" spans="2:37" ht="20.100000000000001" customHeight="1" x14ac:dyDescent="0.3">
      <c r="B117" s="783"/>
      <c r="C117" s="784"/>
      <c r="D117" s="784"/>
      <c r="E117" s="784"/>
      <c r="F117" s="784"/>
      <c r="G117" s="784"/>
      <c r="H117" s="772"/>
      <c r="I117" s="1664">
        <f t="shared" si="67"/>
        <v>93</v>
      </c>
      <c r="J117" s="1668">
        <f t="shared" si="57"/>
        <v>0</v>
      </c>
      <c r="K117" s="1666">
        <f t="shared" si="77"/>
        <v>0</v>
      </c>
      <c r="L117" s="1670">
        <f t="shared" si="84"/>
        <v>0</v>
      </c>
      <c r="M117" s="1668">
        <f t="shared" si="68"/>
        <v>0</v>
      </c>
      <c r="N117" s="772"/>
      <c r="O117" s="1664">
        <f t="shared" si="69"/>
        <v>93</v>
      </c>
      <c r="P117" s="1668">
        <f t="shared" si="58"/>
        <v>0</v>
      </c>
      <c r="Q117" s="1666">
        <f t="shared" si="78"/>
        <v>0</v>
      </c>
      <c r="R117" s="1670">
        <f t="shared" si="85"/>
        <v>0</v>
      </c>
      <c r="S117" s="1668">
        <f t="shared" si="70"/>
        <v>0</v>
      </c>
      <c r="T117" s="772"/>
      <c r="U117" s="1664">
        <f t="shared" si="71"/>
        <v>93</v>
      </c>
      <c r="V117" s="1668">
        <f t="shared" si="59"/>
        <v>0</v>
      </c>
      <c r="W117" s="1666">
        <f t="shared" si="79"/>
        <v>0</v>
      </c>
      <c r="X117" s="1670">
        <f t="shared" si="64"/>
        <v>0</v>
      </c>
      <c r="Y117" s="1668">
        <f t="shared" si="72"/>
        <v>0</v>
      </c>
      <c r="Z117" s="772"/>
      <c r="AA117" s="1664">
        <f t="shared" si="73"/>
        <v>93</v>
      </c>
      <c r="AB117" s="1668">
        <f t="shared" si="60"/>
        <v>0</v>
      </c>
      <c r="AC117" s="1666">
        <f t="shared" si="80"/>
        <v>0</v>
      </c>
      <c r="AD117" s="1670">
        <f t="shared" si="65"/>
        <v>0</v>
      </c>
      <c r="AE117" s="1668">
        <f t="shared" si="74"/>
        <v>0</v>
      </c>
      <c r="AF117" s="772"/>
      <c r="AG117" s="1664">
        <f t="shared" si="75"/>
        <v>93</v>
      </c>
      <c r="AH117" s="1668">
        <f t="shared" si="61"/>
        <v>0</v>
      </c>
      <c r="AI117" s="1666">
        <f t="shared" si="81"/>
        <v>0</v>
      </c>
      <c r="AJ117" s="1670">
        <f t="shared" si="66"/>
        <v>0</v>
      </c>
      <c r="AK117" s="1668">
        <f t="shared" si="76"/>
        <v>0</v>
      </c>
    </row>
    <row r="118" spans="2:37" ht="20.100000000000001" customHeight="1" x14ac:dyDescent="0.3">
      <c r="B118" s="783"/>
      <c r="C118" s="784"/>
      <c r="D118" s="784"/>
      <c r="E118" s="784"/>
      <c r="F118" s="784"/>
      <c r="G118" s="784"/>
      <c r="H118" s="772"/>
      <c r="I118" s="1664">
        <f t="shared" si="67"/>
        <v>94</v>
      </c>
      <c r="J118" s="1668">
        <f t="shared" si="57"/>
        <v>0</v>
      </c>
      <c r="K118" s="1666">
        <f t="shared" si="77"/>
        <v>0</v>
      </c>
      <c r="L118" s="1670">
        <f t="shared" si="84"/>
        <v>0</v>
      </c>
      <c r="M118" s="1668">
        <f t="shared" si="68"/>
        <v>0</v>
      </c>
      <c r="N118" s="772"/>
      <c r="O118" s="1664">
        <f t="shared" si="69"/>
        <v>94</v>
      </c>
      <c r="P118" s="1668">
        <f t="shared" si="58"/>
        <v>0</v>
      </c>
      <c r="Q118" s="1666">
        <f t="shared" si="78"/>
        <v>0</v>
      </c>
      <c r="R118" s="1670">
        <f t="shared" si="85"/>
        <v>0</v>
      </c>
      <c r="S118" s="1668">
        <f t="shared" si="70"/>
        <v>0</v>
      </c>
      <c r="T118" s="772"/>
      <c r="U118" s="1664">
        <f t="shared" si="71"/>
        <v>94</v>
      </c>
      <c r="V118" s="1668">
        <f t="shared" si="59"/>
        <v>0</v>
      </c>
      <c r="W118" s="1666">
        <f t="shared" si="79"/>
        <v>0</v>
      </c>
      <c r="X118" s="1670">
        <f t="shared" si="64"/>
        <v>0</v>
      </c>
      <c r="Y118" s="1668">
        <f t="shared" si="72"/>
        <v>0</v>
      </c>
      <c r="Z118" s="772"/>
      <c r="AA118" s="1664">
        <f t="shared" si="73"/>
        <v>94</v>
      </c>
      <c r="AB118" s="1668">
        <f t="shared" si="60"/>
        <v>0</v>
      </c>
      <c r="AC118" s="1666">
        <f t="shared" si="80"/>
        <v>0</v>
      </c>
      <c r="AD118" s="1670">
        <f t="shared" si="65"/>
        <v>0</v>
      </c>
      <c r="AE118" s="1668">
        <f t="shared" si="74"/>
        <v>0</v>
      </c>
      <c r="AF118" s="772"/>
      <c r="AG118" s="1664">
        <f t="shared" si="75"/>
        <v>94</v>
      </c>
      <c r="AH118" s="1668">
        <f t="shared" si="61"/>
        <v>0</v>
      </c>
      <c r="AI118" s="1666">
        <f t="shared" si="81"/>
        <v>0</v>
      </c>
      <c r="AJ118" s="1670">
        <f t="shared" si="66"/>
        <v>0</v>
      </c>
      <c r="AK118" s="1668">
        <f t="shared" si="76"/>
        <v>0</v>
      </c>
    </row>
    <row r="119" spans="2:37" ht="20.100000000000001" customHeight="1" x14ac:dyDescent="0.3">
      <c r="B119" s="783"/>
      <c r="C119" s="784"/>
      <c r="D119" s="784"/>
      <c r="E119" s="784"/>
      <c r="F119" s="784"/>
      <c r="G119" s="784"/>
      <c r="H119" s="772"/>
      <c r="I119" s="1664">
        <f t="shared" si="67"/>
        <v>95</v>
      </c>
      <c r="J119" s="1668">
        <f t="shared" si="57"/>
        <v>0</v>
      </c>
      <c r="K119" s="1666">
        <f t="shared" si="77"/>
        <v>0</v>
      </c>
      <c r="L119" s="1670">
        <f t="shared" si="84"/>
        <v>0</v>
      </c>
      <c r="M119" s="1668">
        <f t="shared" si="68"/>
        <v>0</v>
      </c>
      <c r="N119" s="772"/>
      <c r="O119" s="1664">
        <f t="shared" si="69"/>
        <v>95</v>
      </c>
      <c r="P119" s="1668">
        <f t="shared" si="58"/>
        <v>0</v>
      </c>
      <c r="Q119" s="1666">
        <f t="shared" si="78"/>
        <v>0</v>
      </c>
      <c r="R119" s="1670">
        <f t="shared" si="85"/>
        <v>0</v>
      </c>
      <c r="S119" s="1668">
        <f t="shared" si="70"/>
        <v>0</v>
      </c>
      <c r="T119" s="772"/>
      <c r="U119" s="1664">
        <f t="shared" si="71"/>
        <v>95</v>
      </c>
      <c r="V119" s="1668">
        <f t="shared" si="59"/>
        <v>0</v>
      </c>
      <c r="W119" s="1666">
        <f t="shared" si="79"/>
        <v>0</v>
      </c>
      <c r="X119" s="1670">
        <f t="shared" si="64"/>
        <v>0</v>
      </c>
      <c r="Y119" s="1668">
        <f t="shared" si="72"/>
        <v>0</v>
      </c>
      <c r="Z119" s="772"/>
      <c r="AA119" s="1664">
        <f t="shared" si="73"/>
        <v>95</v>
      </c>
      <c r="AB119" s="1668">
        <f t="shared" si="60"/>
        <v>0</v>
      </c>
      <c r="AC119" s="1666">
        <f t="shared" si="80"/>
        <v>0</v>
      </c>
      <c r="AD119" s="1670">
        <f t="shared" si="65"/>
        <v>0</v>
      </c>
      <c r="AE119" s="1668">
        <f t="shared" si="74"/>
        <v>0</v>
      </c>
      <c r="AF119" s="772"/>
      <c r="AG119" s="1664">
        <f t="shared" si="75"/>
        <v>95</v>
      </c>
      <c r="AH119" s="1668">
        <f t="shared" si="61"/>
        <v>0</v>
      </c>
      <c r="AI119" s="1666">
        <f t="shared" si="81"/>
        <v>0</v>
      </c>
      <c r="AJ119" s="1670">
        <f t="shared" si="66"/>
        <v>0</v>
      </c>
      <c r="AK119" s="1668">
        <f t="shared" si="76"/>
        <v>0</v>
      </c>
    </row>
    <row r="120" spans="2:37" ht="20.100000000000001" customHeight="1" x14ac:dyDescent="0.3">
      <c r="B120" s="783"/>
      <c r="C120" s="784"/>
      <c r="D120" s="784"/>
      <c r="E120" s="784"/>
      <c r="F120" s="784"/>
      <c r="G120" s="784"/>
      <c r="H120" s="772"/>
      <c r="I120" s="1664">
        <f t="shared" si="67"/>
        <v>96</v>
      </c>
      <c r="J120" s="1668">
        <f t="shared" si="57"/>
        <v>0</v>
      </c>
      <c r="K120" s="1666">
        <f t="shared" si="77"/>
        <v>0</v>
      </c>
      <c r="L120" s="1670">
        <f t="shared" si="84"/>
        <v>0</v>
      </c>
      <c r="M120" s="1668">
        <f t="shared" si="68"/>
        <v>0</v>
      </c>
      <c r="N120" s="772"/>
      <c r="O120" s="1664">
        <f t="shared" si="69"/>
        <v>96</v>
      </c>
      <c r="P120" s="1668">
        <f t="shared" si="58"/>
        <v>0</v>
      </c>
      <c r="Q120" s="1666">
        <f t="shared" si="78"/>
        <v>0</v>
      </c>
      <c r="R120" s="1670">
        <f t="shared" si="85"/>
        <v>0</v>
      </c>
      <c r="S120" s="1668">
        <f t="shared" si="70"/>
        <v>0</v>
      </c>
      <c r="T120" s="772"/>
      <c r="U120" s="1664">
        <f t="shared" si="71"/>
        <v>96</v>
      </c>
      <c r="V120" s="1668">
        <f t="shared" si="59"/>
        <v>0</v>
      </c>
      <c r="W120" s="1666">
        <f t="shared" si="79"/>
        <v>0</v>
      </c>
      <c r="X120" s="1670">
        <f t="shared" si="64"/>
        <v>0</v>
      </c>
      <c r="Y120" s="1668">
        <f t="shared" si="72"/>
        <v>0</v>
      </c>
      <c r="Z120" s="772"/>
      <c r="AA120" s="1664">
        <f t="shared" si="73"/>
        <v>96</v>
      </c>
      <c r="AB120" s="1668">
        <f t="shared" si="60"/>
        <v>0</v>
      </c>
      <c r="AC120" s="1666">
        <f t="shared" si="80"/>
        <v>0</v>
      </c>
      <c r="AD120" s="1670">
        <f t="shared" si="65"/>
        <v>0</v>
      </c>
      <c r="AE120" s="1668">
        <f t="shared" si="74"/>
        <v>0</v>
      </c>
      <c r="AF120" s="772"/>
      <c r="AG120" s="1664">
        <f t="shared" si="75"/>
        <v>96</v>
      </c>
      <c r="AH120" s="1668">
        <f t="shared" si="61"/>
        <v>0</v>
      </c>
      <c r="AI120" s="1666">
        <f t="shared" si="81"/>
        <v>0</v>
      </c>
      <c r="AJ120" s="1670">
        <f t="shared" si="66"/>
        <v>0</v>
      </c>
      <c r="AK120" s="1668">
        <f t="shared" si="76"/>
        <v>0</v>
      </c>
    </row>
    <row r="121" spans="2:37" ht="20.100000000000001" customHeight="1" x14ac:dyDescent="0.3">
      <c r="B121" s="783"/>
      <c r="C121" s="784"/>
      <c r="D121" s="784"/>
      <c r="E121" s="784"/>
      <c r="F121" s="784"/>
      <c r="G121" s="784"/>
      <c r="H121" s="772"/>
      <c r="I121" s="1664">
        <f t="shared" si="67"/>
        <v>97</v>
      </c>
      <c r="J121" s="1668">
        <f t="shared" si="57"/>
        <v>0</v>
      </c>
      <c r="K121" s="1666">
        <f t="shared" si="77"/>
        <v>0</v>
      </c>
      <c r="L121" s="1670">
        <f t="shared" si="84"/>
        <v>0</v>
      </c>
      <c r="M121" s="1668">
        <f t="shared" si="68"/>
        <v>0</v>
      </c>
      <c r="N121" s="772"/>
      <c r="O121" s="1664">
        <f t="shared" si="69"/>
        <v>97</v>
      </c>
      <c r="P121" s="1668">
        <f t="shared" si="58"/>
        <v>0</v>
      </c>
      <c r="Q121" s="1666">
        <f t="shared" si="78"/>
        <v>0</v>
      </c>
      <c r="R121" s="1670">
        <f t="shared" si="85"/>
        <v>0</v>
      </c>
      <c r="S121" s="1668">
        <f t="shared" si="70"/>
        <v>0</v>
      </c>
      <c r="T121" s="772"/>
      <c r="U121" s="1664">
        <f t="shared" si="71"/>
        <v>97</v>
      </c>
      <c r="V121" s="1668">
        <f t="shared" ref="V121:V152" si="86">ROUND(IF(U121&gt;annuité_emprunt3,0,IF(U121&gt;différé_emprunt3,-PMT((taux_emprunt3/périodicité_emprunt3),(annuité_emprunt3-différé_emprunt3),emprunt3),emprunt3*taux_emprunt3/périodicité_emprunt3)),2)</f>
        <v>0</v>
      </c>
      <c r="W121" s="1666">
        <f t="shared" si="79"/>
        <v>0</v>
      </c>
      <c r="X121" s="1670">
        <f t="shared" si="64"/>
        <v>0</v>
      </c>
      <c r="Y121" s="1668">
        <f t="shared" si="72"/>
        <v>0</v>
      </c>
      <c r="Z121" s="772"/>
      <c r="AA121" s="1664">
        <f t="shared" si="73"/>
        <v>97</v>
      </c>
      <c r="AB121" s="1668">
        <f t="shared" ref="AB121:AB152" si="87">ROUND(IF(AA121&gt;annuité_emprunt4,0,IF(AA121&gt;différé_emprunt4,-PMT((taux_emprunt4/périodicité_emprunt4),(annuité_emprunt4-différé_emprunt4),emprunt4),emprunt4*taux_emprunt4/périodicité_emprunt4)),2)</f>
        <v>0</v>
      </c>
      <c r="AC121" s="1666">
        <f t="shared" si="80"/>
        <v>0</v>
      </c>
      <c r="AD121" s="1670">
        <f t="shared" si="65"/>
        <v>0</v>
      </c>
      <c r="AE121" s="1668">
        <f t="shared" si="74"/>
        <v>0</v>
      </c>
      <c r="AF121" s="772"/>
      <c r="AG121" s="1664">
        <f t="shared" si="75"/>
        <v>97</v>
      </c>
      <c r="AH121" s="1668">
        <f t="shared" ref="AH121:AH152" si="88">ROUND(IF(AG121&gt;annuité_emprunt5,0,IF(AG121&gt;différé_emprunt5,-PMT((taux_emprunt5/périodicité_emprunt5),(annuité_emprunt5-différé_emprunt5),emprunt5),emprunt5*taux_emprunt5/périodicité_emprunt5)),2)</f>
        <v>0</v>
      </c>
      <c r="AI121" s="1666">
        <f t="shared" si="81"/>
        <v>0</v>
      </c>
      <c r="AJ121" s="1670">
        <f t="shared" si="66"/>
        <v>0</v>
      </c>
      <c r="AK121" s="1668">
        <f t="shared" si="76"/>
        <v>0</v>
      </c>
    </row>
    <row r="122" spans="2:37" ht="20.100000000000001" customHeight="1" x14ac:dyDescent="0.3">
      <c r="B122" s="783"/>
      <c r="C122" s="784"/>
      <c r="D122" s="784"/>
      <c r="E122" s="784"/>
      <c r="F122" s="784"/>
      <c r="G122" s="784"/>
      <c r="H122" s="772"/>
      <c r="I122" s="1664">
        <f t="shared" si="67"/>
        <v>98</v>
      </c>
      <c r="J122" s="1668">
        <f t="shared" si="57"/>
        <v>0</v>
      </c>
      <c r="K122" s="1666">
        <f t="shared" si="77"/>
        <v>0</v>
      </c>
      <c r="L122" s="1670">
        <f t="shared" si="84"/>
        <v>0</v>
      </c>
      <c r="M122" s="1668">
        <f t="shared" si="68"/>
        <v>0</v>
      </c>
      <c r="N122" s="772"/>
      <c r="O122" s="1664">
        <f t="shared" si="69"/>
        <v>98</v>
      </c>
      <c r="P122" s="1668">
        <f t="shared" si="58"/>
        <v>0</v>
      </c>
      <c r="Q122" s="1666">
        <f t="shared" si="78"/>
        <v>0</v>
      </c>
      <c r="R122" s="1670">
        <f t="shared" si="85"/>
        <v>0</v>
      </c>
      <c r="S122" s="1668">
        <f t="shared" si="70"/>
        <v>0</v>
      </c>
      <c r="T122" s="772"/>
      <c r="U122" s="1664">
        <f t="shared" si="71"/>
        <v>98</v>
      </c>
      <c r="V122" s="1668">
        <f t="shared" si="86"/>
        <v>0</v>
      </c>
      <c r="W122" s="1666">
        <f t="shared" si="79"/>
        <v>0</v>
      </c>
      <c r="X122" s="1670">
        <f t="shared" ref="X122:X153" si="89">ROUND(IF(V122=0,0,IF(U122=annuité_emprunt3,Y121,IF(U122&gt;différé_emprunt3,-PPMT((taux_emprunt3/périodicité_emprunt3),U122-différé_emprunt3,(annuité_emprunt3-différé_emprunt3),emprunt3),0))),2)</f>
        <v>0</v>
      </c>
      <c r="Y122" s="1668">
        <f t="shared" si="72"/>
        <v>0</v>
      </c>
      <c r="Z122" s="772"/>
      <c r="AA122" s="1664">
        <f t="shared" si="73"/>
        <v>98</v>
      </c>
      <c r="AB122" s="1668">
        <f t="shared" si="87"/>
        <v>0</v>
      </c>
      <c r="AC122" s="1666">
        <f t="shared" si="80"/>
        <v>0</v>
      </c>
      <c r="AD122" s="1670">
        <f t="shared" ref="AD122:AD153" si="90">ROUND(IF(AB122=0,0,IF(AA122=annuité_emprunt4,AE121,IF(AA122&gt;différé_emprunt4,-PPMT((taux_emprunt4/périodicité_emprunt4),AA122-différé_emprunt4,(annuité_emprunt4-différé_emprunt4),emprunt4),0))),2)</f>
        <v>0</v>
      </c>
      <c r="AE122" s="1668">
        <f t="shared" si="74"/>
        <v>0</v>
      </c>
      <c r="AF122" s="772"/>
      <c r="AG122" s="1664">
        <f t="shared" si="75"/>
        <v>98</v>
      </c>
      <c r="AH122" s="1668">
        <f t="shared" si="88"/>
        <v>0</v>
      </c>
      <c r="AI122" s="1666">
        <f t="shared" si="81"/>
        <v>0</v>
      </c>
      <c r="AJ122" s="1670">
        <f t="shared" ref="AJ122:AJ153" si="91">ROUND(IF(AH122=0,0,IF(AG122=annuité_emprunt5,AK121,IF(AG122&gt;différé_emprunt5,-PPMT((taux_emprunt5/périodicité_emprunt5),AG122-différé_emprunt5,(annuité_emprunt5-différé_emprunt5),emprunt5),0))),2)</f>
        <v>0</v>
      </c>
      <c r="AK122" s="1668">
        <f t="shared" si="76"/>
        <v>0</v>
      </c>
    </row>
    <row r="123" spans="2:37" ht="20.100000000000001" customHeight="1" x14ac:dyDescent="0.3">
      <c r="B123" s="783"/>
      <c r="C123" s="784"/>
      <c r="D123" s="784"/>
      <c r="E123" s="784"/>
      <c r="F123" s="784"/>
      <c r="G123" s="784"/>
      <c r="H123" s="772"/>
      <c r="I123" s="1664">
        <f t="shared" si="67"/>
        <v>99</v>
      </c>
      <c r="J123" s="1668">
        <f t="shared" si="57"/>
        <v>0</v>
      </c>
      <c r="K123" s="1666">
        <f t="shared" si="77"/>
        <v>0</v>
      </c>
      <c r="L123" s="1670">
        <f t="shared" si="84"/>
        <v>0</v>
      </c>
      <c r="M123" s="1668">
        <f t="shared" si="68"/>
        <v>0</v>
      </c>
      <c r="N123" s="772"/>
      <c r="O123" s="1664">
        <f t="shared" si="69"/>
        <v>99</v>
      </c>
      <c r="P123" s="1668">
        <f t="shared" si="58"/>
        <v>0</v>
      </c>
      <c r="Q123" s="1666">
        <f t="shared" si="78"/>
        <v>0</v>
      </c>
      <c r="R123" s="1670">
        <f t="shared" si="85"/>
        <v>0</v>
      </c>
      <c r="S123" s="1668">
        <f t="shared" si="70"/>
        <v>0</v>
      </c>
      <c r="T123" s="772"/>
      <c r="U123" s="1664">
        <f t="shared" si="71"/>
        <v>99</v>
      </c>
      <c r="V123" s="1668">
        <f t="shared" si="86"/>
        <v>0</v>
      </c>
      <c r="W123" s="1666">
        <f t="shared" si="79"/>
        <v>0</v>
      </c>
      <c r="X123" s="1670">
        <f t="shared" si="89"/>
        <v>0</v>
      </c>
      <c r="Y123" s="1668">
        <f t="shared" si="72"/>
        <v>0</v>
      </c>
      <c r="Z123" s="772"/>
      <c r="AA123" s="1664">
        <f t="shared" si="73"/>
        <v>99</v>
      </c>
      <c r="AB123" s="1668">
        <f t="shared" si="87"/>
        <v>0</v>
      </c>
      <c r="AC123" s="1666">
        <f t="shared" si="80"/>
        <v>0</v>
      </c>
      <c r="AD123" s="1670">
        <f t="shared" si="90"/>
        <v>0</v>
      </c>
      <c r="AE123" s="1668">
        <f t="shared" si="74"/>
        <v>0</v>
      </c>
      <c r="AF123" s="772"/>
      <c r="AG123" s="1664">
        <f t="shared" si="75"/>
        <v>99</v>
      </c>
      <c r="AH123" s="1668">
        <f t="shared" si="88"/>
        <v>0</v>
      </c>
      <c r="AI123" s="1666">
        <f t="shared" si="81"/>
        <v>0</v>
      </c>
      <c r="AJ123" s="1670">
        <f t="shared" si="91"/>
        <v>0</v>
      </c>
      <c r="AK123" s="1668">
        <f t="shared" si="76"/>
        <v>0</v>
      </c>
    </row>
    <row r="124" spans="2:37" ht="20.100000000000001" customHeight="1" x14ac:dyDescent="0.3">
      <c r="B124" s="783"/>
      <c r="C124" s="784"/>
      <c r="D124" s="784"/>
      <c r="E124" s="784"/>
      <c r="F124" s="784"/>
      <c r="G124" s="784"/>
      <c r="H124" s="772"/>
      <c r="I124" s="1664">
        <f t="shared" si="67"/>
        <v>100</v>
      </c>
      <c r="J124" s="1668">
        <f t="shared" si="57"/>
        <v>0</v>
      </c>
      <c r="K124" s="1666">
        <f t="shared" si="77"/>
        <v>0</v>
      </c>
      <c r="L124" s="1670">
        <f t="shared" si="84"/>
        <v>0</v>
      </c>
      <c r="M124" s="1668">
        <f t="shared" si="68"/>
        <v>0</v>
      </c>
      <c r="N124" s="772"/>
      <c r="O124" s="1664">
        <f t="shared" si="69"/>
        <v>100</v>
      </c>
      <c r="P124" s="1668">
        <f t="shared" si="58"/>
        <v>0</v>
      </c>
      <c r="Q124" s="1666">
        <f t="shared" si="78"/>
        <v>0</v>
      </c>
      <c r="R124" s="1670">
        <f t="shared" si="85"/>
        <v>0</v>
      </c>
      <c r="S124" s="1668">
        <f t="shared" si="70"/>
        <v>0</v>
      </c>
      <c r="T124" s="772"/>
      <c r="U124" s="1664">
        <f t="shared" si="71"/>
        <v>100</v>
      </c>
      <c r="V124" s="1668">
        <f t="shared" si="86"/>
        <v>0</v>
      </c>
      <c r="W124" s="1666">
        <f t="shared" si="79"/>
        <v>0</v>
      </c>
      <c r="X124" s="1670">
        <f t="shared" si="89"/>
        <v>0</v>
      </c>
      <c r="Y124" s="1668">
        <f t="shared" si="72"/>
        <v>0</v>
      </c>
      <c r="Z124" s="772"/>
      <c r="AA124" s="1664">
        <f t="shared" si="73"/>
        <v>100</v>
      </c>
      <c r="AB124" s="1668">
        <f t="shared" si="87"/>
        <v>0</v>
      </c>
      <c r="AC124" s="1666">
        <f t="shared" si="80"/>
        <v>0</v>
      </c>
      <c r="AD124" s="1670">
        <f t="shared" si="90"/>
        <v>0</v>
      </c>
      <c r="AE124" s="1668">
        <f t="shared" si="74"/>
        <v>0</v>
      </c>
      <c r="AF124" s="772"/>
      <c r="AG124" s="1664">
        <f t="shared" si="75"/>
        <v>100</v>
      </c>
      <c r="AH124" s="1668">
        <f t="shared" si="88"/>
        <v>0</v>
      </c>
      <c r="AI124" s="1666">
        <f t="shared" si="81"/>
        <v>0</v>
      </c>
      <c r="AJ124" s="1670">
        <f t="shared" si="91"/>
        <v>0</v>
      </c>
      <c r="AK124" s="1668">
        <f t="shared" si="76"/>
        <v>0</v>
      </c>
    </row>
    <row r="125" spans="2:37" ht="20.100000000000001" customHeight="1" x14ac:dyDescent="0.3">
      <c r="B125" s="783"/>
      <c r="C125" s="784"/>
      <c r="D125" s="784"/>
      <c r="E125" s="784"/>
      <c r="F125" s="784"/>
      <c r="G125" s="784"/>
      <c r="H125" s="772"/>
      <c r="I125" s="1664">
        <f t="shared" si="67"/>
        <v>101</v>
      </c>
      <c r="J125" s="1668">
        <f t="shared" si="57"/>
        <v>0</v>
      </c>
      <c r="K125" s="1666">
        <f t="shared" si="77"/>
        <v>0</v>
      </c>
      <c r="L125" s="1670">
        <f t="shared" si="84"/>
        <v>0</v>
      </c>
      <c r="M125" s="1668">
        <f t="shared" si="68"/>
        <v>0</v>
      </c>
      <c r="N125" s="772"/>
      <c r="O125" s="1664">
        <f t="shared" si="69"/>
        <v>101</v>
      </c>
      <c r="P125" s="1668">
        <f t="shared" si="58"/>
        <v>0</v>
      </c>
      <c r="Q125" s="1666">
        <f t="shared" si="78"/>
        <v>0</v>
      </c>
      <c r="R125" s="1670">
        <f t="shared" si="85"/>
        <v>0</v>
      </c>
      <c r="S125" s="1668">
        <f t="shared" si="70"/>
        <v>0</v>
      </c>
      <c r="T125" s="772"/>
      <c r="U125" s="1664">
        <f t="shared" si="71"/>
        <v>101</v>
      </c>
      <c r="V125" s="1668">
        <f t="shared" si="86"/>
        <v>0</v>
      </c>
      <c r="W125" s="1666">
        <f t="shared" si="79"/>
        <v>0</v>
      </c>
      <c r="X125" s="1670">
        <f t="shared" si="89"/>
        <v>0</v>
      </c>
      <c r="Y125" s="1668">
        <f t="shared" si="72"/>
        <v>0</v>
      </c>
      <c r="Z125" s="772"/>
      <c r="AA125" s="1664">
        <f t="shared" si="73"/>
        <v>101</v>
      </c>
      <c r="AB125" s="1668">
        <f t="shared" si="87"/>
        <v>0</v>
      </c>
      <c r="AC125" s="1666">
        <f t="shared" si="80"/>
        <v>0</v>
      </c>
      <c r="AD125" s="1670">
        <f t="shared" si="90"/>
        <v>0</v>
      </c>
      <c r="AE125" s="1668">
        <f t="shared" si="74"/>
        <v>0</v>
      </c>
      <c r="AF125" s="772"/>
      <c r="AG125" s="1664">
        <f t="shared" si="75"/>
        <v>101</v>
      </c>
      <c r="AH125" s="1668">
        <f t="shared" si="88"/>
        <v>0</v>
      </c>
      <c r="AI125" s="1666">
        <f t="shared" si="81"/>
        <v>0</v>
      </c>
      <c r="AJ125" s="1670">
        <f t="shared" si="91"/>
        <v>0</v>
      </c>
      <c r="AK125" s="1668">
        <f t="shared" si="76"/>
        <v>0</v>
      </c>
    </row>
    <row r="126" spans="2:37" ht="20.100000000000001" customHeight="1" x14ac:dyDescent="0.3">
      <c r="B126" s="783"/>
      <c r="C126" s="784"/>
      <c r="D126" s="784"/>
      <c r="E126" s="784"/>
      <c r="F126" s="784"/>
      <c r="G126" s="784"/>
      <c r="H126" s="772"/>
      <c r="I126" s="1664">
        <f t="shared" si="67"/>
        <v>102</v>
      </c>
      <c r="J126" s="1668">
        <f t="shared" si="57"/>
        <v>0</v>
      </c>
      <c r="K126" s="1666">
        <f t="shared" si="77"/>
        <v>0</v>
      </c>
      <c r="L126" s="1670">
        <f t="shared" si="84"/>
        <v>0</v>
      </c>
      <c r="M126" s="1668">
        <f t="shared" si="68"/>
        <v>0</v>
      </c>
      <c r="N126" s="772"/>
      <c r="O126" s="1664">
        <f t="shared" si="69"/>
        <v>102</v>
      </c>
      <c r="P126" s="1668">
        <f t="shared" si="58"/>
        <v>0</v>
      </c>
      <c r="Q126" s="1666">
        <f t="shared" si="78"/>
        <v>0</v>
      </c>
      <c r="R126" s="1670">
        <f t="shared" si="85"/>
        <v>0</v>
      </c>
      <c r="S126" s="1668">
        <f t="shared" si="70"/>
        <v>0</v>
      </c>
      <c r="T126" s="772"/>
      <c r="U126" s="1664">
        <f t="shared" si="71"/>
        <v>102</v>
      </c>
      <c r="V126" s="1668">
        <f t="shared" si="86"/>
        <v>0</v>
      </c>
      <c r="W126" s="1666">
        <f t="shared" si="79"/>
        <v>0</v>
      </c>
      <c r="X126" s="1670">
        <f t="shared" si="89"/>
        <v>0</v>
      </c>
      <c r="Y126" s="1668">
        <f t="shared" si="72"/>
        <v>0</v>
      </c>
      <c r="Z126" s="772"/>
      <c r="AA126" s="1664">
        <f t="shared" si="73"/>
        <v>102</v>
      </c>
      <c r="AB126" s="1668">
        <f t="shared" si="87"/>
        <v>0</v>
      </c>
      <c r="AC126" s="1666">
        <f t="shared" si="80"/>
        <v>0</v>
      </c>
      <c r="AD126" s="1670">
        <f t="shared" si="90"/>
        <v>0</v>
      </c>
      <c r="AE126" s="1668">
        <f t="shared" si="74"/>
        <v>0</v>
      </c>
      <c r="AF126" s="772"/>
      <c r="AG126" s="1664">
        <f t="shared" si="75"/>
        <v>102</v>
      </c>
      <c r="AH126" s="1668">
        <f t="shared" si="88"/>
        <v>0</v>
      </c>
      <c r="AI126" s="1666">
        <f t="shared" si="81"/>
        <v>0</v>
      </c>
      <c r="AJ126" s="1670">
        <f t="shared" si="91"/>
        <v>0</v>
      </c>
      <c r="AK126" s="1668">
        <f t="shared" si="76"/>
        <v>0</v>
      </c>
    </row>
    <row r="127" spans="2:37" ht="20.100000000000001" customHeight="1" x14ac:dyDescent="0.3">
      <c r="B127" s="783"/>
      <c r="C127" s="784"/>
      <c r="D127" s="784"/>
      <c r="E127" s="784"/>
      <c r="F127" s="784"/>
      <c r="G127" s="784"/>
      <c r="H127" s="772"/>
      <c r="I127" s="1664">
        <f t="shared" si="67"/>
        <v>103</v>
      </c>
      <c r="J127" s="1668">
        <f t="shared" si="57"/>
        <v>0</v>
      </c>
      <c r="K127" s="1666">
        <f t="shared" si="77"/>
        <v>0</v>
      </c>
      <c r="L127" s="1670">
        <f t="shared" si="84"/>
        <v>0</v>
      </c>
      <c r="M127" s="1668">
        <f t="shared" si="68"/>
        <v>0</v>
      </c>
      <c r="N127" s="772"/>
      <c r="O127" s="1664">
        <f t="shared" si="69"/>
        <v>103</v>
      </c>
      <c r="P127" s="1668">
        <f t="shared" si="58"/>
        <v>0</v>
      </c>
      <c r="Q127" s="1666">
        <f t="shared" si="78"/>
        <v>0</v>
      </c>
      <c r="R127" s="1670">
        <f t="shared" si="85"/>
        <v>0</v>
      </c>
      <c r="S127" s="1668">
        <f t="shared" si="70"/>
        <v>0</v>
      </c>
      <c r="T127" s="772"/>
      <c r="U127" s="1664">
        <f t="shared" si="71"/>
        <v>103</v>
      </c>
      <c r="V127" s="1668">
        <f t="shared" si="86"/>
        <v>0</v>
      </c>
      <c r="W127" s="1666">
        <f t="shared" si="79"/>
        <v>0</v>
      </c>
      <c r="X127" s="1670">
        <f t="shared" si="89"/>
        <v>0</v>
      </c>
      <c r="Y127" s="1668">
        <f t="shared" si="72"/>
        <v>0</v>
      </c>
      <c r="Z127" s="772"/>
      <c r="AA127" s="1664">
        <f t="shared" si="73"/>
        <v>103</v>
      </c>
      <c r="AB127" s="1668">
        <f t="shared" si="87"/>
        <v>0</v>
      </c>
      <c r="AC127" s="1666">
        <f t="shared" si="80"/>
        <v>0</v>
      </c>
      <c r="AD127" s="1670">
        <f t="shared" si="90"/>
        <v>0</v>
      </c>
      <c r="AE127" s="1668">
        <f t="shared" si="74"/>
        <v>0</v>
      </c>
      <c r="AF127" s="772"/>
      <c r="AG127" s="1664">
        <f t="shared" si="75"/>
        <v>103</v>
      </c>
      <c r="AH127" s="1668">
        <f t="shared" si="88"/>
        <v>0</v>
      </c>
      <c r="AI127" s="1666">
        <f t="shared" si="81"/>
        <v>0</v>
      </c>
      <c r="AJ127" s="1670">
        <f t="shared" si="91"/>
        <v>0</v>
      </c>
      <c r="AK127" s="1668">
        <f t="shared" si="76"/>
        <v>0</v>
      </c>
    </row>
    <row r="128" spans="2:37" ht="20.100000000000001" customHeight="1" x14ac:dyDescent="0.3">
      <c r="B128" s="783"/>
      <c r="C128" s="784"/>
      <c r="D128" s="784"/>
      <c r="E128" s="784"/>
      <c r="F128" s="784"/>
      <c r="G128" s="784"/>
      <c r="H128" s="772"/>
      <c r="I128" s="1664">
        <f t="shared" si="67"/>
        <v>104</v>
      </c>
      <c r="J128" s="1668">
        <f t="shared" si="57"/>
        <v>0</v>
      </c>
      <c r="K128" s="1666">
        <f t="shared" si="77"/>
        <v>0</v>
      </c>
      <c r="L128" s="1670">
        <f t="shared" si="84"/>
        <v>0</v>
      </c>
      <c r="M128" s="1668">
        <f t="shared" si="68"/>
        <v>0</v>
      </c>
      <c r="N128" s="772"/>
      <c r="O128" s="1664">
        <f t="shared" si="69"/>
        <v>104</v>
      </c>
      <c r="P128" s="1668">
        <f t="shared" si="58"/>
        <v>0</v>
      </c>
      <c r="Q128" s="1666">
        <f t="shared" si="78"/>
        <v>0</v>
      </c>
      <c r="R128" s="1670">
        <f t="shared" si="85"/>
        <v>0</v>
      </c>
      <c r="S128" s="1668">
        <f t="shared" si="70"/>
        <v>0</v>
      </c>
      <c r="T128" s="772"/>
      <c r="U128" s="1664">
        <f t="shared" si="71"/>
        <v>104</v>
      </c>
      <c r="V128" s="1668">
        <f t="shared" si="86"/>
        <v>0</v>
      </c>
      <c r="W128" s="1666">
        <f t="shared" si="79"/>
        <v>0</v>
      </c>
      <c r="X128" s="1670">
        <f t="shared" si="89"/>
        <v>0</v>
      </c>
      <c r="Y128" s="1668">
        <f t="shared" si="72"/>
        <v>0</v>
      </c>
      <c r="Z128" s="772"/>
      <c r="AA128" s="1664">
        <f t="shared" si="73"/>
        <v>104</v>
      </c>
      <c r="AB128" s="1668">
        <f t="shared" si="87"/>
        <v>0</v>
      </c>
      <c r="AC128" s="1666">
        <f t="shared" si="80"/>
        <v>0</v>
      </c>
      <c r="AD128" s="1670">
        <f t="shared" si="90"/>
        <v>0</v>
      </c>
      <c r="AE128" s="1668">
        <f t="shared" si="74"/>
        <v>0</v>
      </c>
      <c r="AF128" s="772"/>
      <c r="AG128" s="1664">
        <f t="shared" si="75"/>
        <v>104</v>
      </c>
      <c r="AH128" s="1668">
        <f t="shared" si="88"/>
        <v>0</v>
      </c>
      <c r="AI128" s="1666">
        <f t="shared" si="81"/>
        <v>0</v>
      </c>
      <c r="AJ128" s="1670">
        <f t="shared" si="91"/>
        <v>0</v>
      </c>
      <c r="AK128" s="1668">
        <f t="shared" si="76"/>
        <v>0</v>
      </c>
    </row>
    <row r="129" spans="2:37" ht="20.100000000000001" customHeight="1" x14ac:dyDescent="0.3">
      <c r="B129" s="783"/>
      <c r="C129" s="784"/>
      <c r="D129" s="784"/>
      <c r="E129" s="784"/>
      <c r="F129" s="784"/>
      <c r="G129" s="784"/>
      <c r="H129" s="772"/>
      <c r="I129" s="1664">
        <f t="shared" si="67"/>
        <v>105</v>
      </c>
      <c r="J129" s="1668">
        <f t="shared" si="57"/>
        <v>0</v>
      </c>
      <c r="K129" s="1666">
        <f t="shared" si="77"/>
        <v>0</v>
      </c>
      <c r="L129" s="1670">
        <f t="shared" si="84"/>
        <v>0</v>
      </c>
      <c r="M129" s="1668">
        <f t="shared" si="68"/>
        <v>0</v>
      </c>
      <c r="N129" s="772"/>
      <c r="O129" s="1664">
        <f t="shared" si="69"/>
        <v>105</v>
      </c>
      <c r="P129" s="1668">
        <f t="shared" si="58"/>
        <v>0</v>
      </c>
      <c r="Q129" s="1666">
        <f t="shared" si="78"/>
        <v>0</v>
      </c>
      <c r="R129" s="1670">
        <f t="shared" si="85"/>
        <v>0</v>
      </c>
      <c r="S129" s="1668">
        <f t="shared" si="70"/>
        <v>0</v>
      </c>
      <c r="T129" s="772"/>
      <c r="U129" s="1664">
        <f t="shared" si="71"/>
        <v>105</v>
      </c>
      <c r="V129" s="1668">
        <f t="shared" si="86"/>
        <v>0</v>
      </c>
      <c r="W129" s="1666">
        <f t="shared" si="79"/>
        <v>0</v>
      </c>
      <c r="X129" s="1670">
        <f t="shared" si="89"/>
        <v>0</v>
      </c>
      <c r="Y129" s="1668">
        <f t="shared" si="72"/>
        <v>0</v>
      </c>
      <c r="Z129" s="772"/>
      <c r="AA129" s="1664">
        <f t="shared" si="73"/>
        <v>105</v>
      </c>
      <c r="AB129" s="1668">
        <f t="shared" si="87"/>
        <v>0</v>
      </c>
      <c r="AC129" s="1666">
        <f t="shared" si="80"/>
        <v>0</v>
      </c>
      <c r="AD129" s="1670">
        <f t="shared" si="90"/>
        <v>0</v>
      </c>
      <c r="AE129" s="1668">
        <f t="shared" si="74"/>
        <v>0</v>
      </c>
      <c r="AF129" s="772"/>
      <c r="AG129" s="1664">
        <f t="shared" si="75"/>
        <v>105</v>
      </c>
      <c r="AH129" s="1668">
        <f t="shared" si="88"/>
        <v>0</v>
      </c>
      <c r="AI129" s="1666">
        <f t="shared" si="81"/>
        <v>0</v>
      </c>
      <c r="AJ129" s="1670">
        <f t="shared" si="91"/>
        <v>0</v>
      </c>
      <c r="AK129" s="1668">
        <f t="shared" si="76"/>
        <v>0</v>
      </c>
    </row>
    <row r="130" spans="2:37" ht="20.100000000000001" customHeight="1" x14ac:dyDescent="0.3">
      <c r="B130" s="783"/>
      <c r="C130" s="784"/>
      <c r="D130" s="784"/>
      <c r="E130" s="784"/>
      <c r="F130" s="784"/>
      <c r="G130" s="784"/>
      <c r="H130" s="772"/>
      <c r="I130" s="1664">
        <f t="shared" si="67"/>
        <v>106</v>
      </c>
      <c r="J130" s="1668">
        <f t="shared" si="57"/>
        <v>0</v>
      </c>
      <c r="K130" s="1666">
        <f t="shared" si="77"/>
        <v>0</v>
      </c>
      <c r="L130" s="1670">
        <f t="shared" si="84"/>
        <v>0</v>
      </c>
      <c r="M130" s="1668">
        <f t="shared" si="68"/>
        <v>0</v>
      </c>
      <c r="N130" s="772"/>
      <c r="O130" s="1664">
        <f t="shared" si="69"/>
        <v>106</v>
      </c>
      <c r="P130" s="1668">
        <f t="shared" si="58"/>
        <v>0</v>
      </c>
      <c r="Q130" s="1666">
        <f t="shared" si="78"/>
        <v>0</v>
      </c>
      <c r="R130" s="1670">
        <f t="shared" si="85"/>
        <v>0</v>
      </c>
      <c r="S130" s="1668">
        <f t="shared" si="70"/>
        <v>0</v>
      </c>
      <c r="T130" s="772"/>
      <c r="U130" s="1664">
        <f t="shared" si="71"/>
        <v>106</v>
      </c>
      <c r="V130" s="1668">
        <f t="shared" si="86"/>
        <v>0</v>
      </c>
      <c r="W130" s="1666">
        <f t="shared" si="79"/>
        <v>0</v>
      </c>
      <c r="X130" s="1670">
        <f t="shared" si="89"/>
        <v>0</v>
      </c>
      <c r="Y130" s="1668">
        <f t="shared" si="72"/>
        <v>0</v>
      </c>
      <c r="Z130" s="772"/>
      <c r="AA130" s="1664">
        <f t="shared" si="73"/>
        <v>106</v>
      </c>
      <c r="AB130" s="1668">
        <f t="shared" si="87"/>
        <v>0</v>
      </c>
      <c r="AC130" s="1666">
        <f t="shared" si="80"/>
        <v>0</v>
      </c>
      <c r="AD130" s="1670">
        <f t="shared" si="90"/>
        <v>0</v>
      </c>
      <c r="AE130" s="1668">
        <f t="shared" si="74"/>
        <v>0</v>
      </c>
      <c r="AF130" s="772"/>
      <c r="AG130" s="1664">
        <f t="shared" si="75"/>
        <v>106</v>
      </c>
      <c r="AH130" s="1668">
        <f t="shared" si="88"/>
        <v>0</v>
      </c>
      <c r="AI130" s="1666">
        <f t="shared" si="81"/>
        <v>0</v>
      </c>
      <c r="AJ130" s="1670">
        <f t="shared" si="91"/>
        <v>0</v>
      </c>
      <c r="AK130" s="1668">
        <f t="shared" si="76"/>
        <v>0</v>
      </c>
    </row>
    <row r="131" spans="2:37" ht="20.100000000000001" customHeight="1" x14ac:dyDescent="0.3">
      <c r="B131" s="783"/>
      <c r="C131" s="784"/>
      <c r="D131" s="784"/>
      <c r="E131" s="784"/>
      <c r="F131" s="784"/>
      <c r="G131" s="784"/>
      <c r="H131" s="772"/>
      <c r="I131" s="1664">
        <f t="shared" si="67"/>
        <v>107</v>
      </c>
      <c r="J131" s="1668">
        <f t="shared" si="57"/>
        <v>0</v>
      </c>
      <c r="K131" s="1666">
        <f t="shared" si="77"/>
        <v>0</v>
      </c>
      <c r="L131" s="1670">
        <f t="shared" si="84"/>
        <v>0</v>
      </c>
      <c r="M131" s="1668">
        <f t="shared" si="68"/>
        <v>0</v>
      </c>
      <c r="N131" s="772"/>
      <c r="O131" s="1664">
        <f t="shared" si="69"/>
        <v>107</v>
      </c>
      <c r="P131" s="1668">
        <f t="shared" si="58"/>
        <v>0</v>
      </c>
      <c r="Q131" s="1666">
        <f t="shared" si="78"/>
        <v>0</v>
      </c>
      <c r="R131" s="1670">
        <f t="shared" si="85"/>
        <v>0</v>
      </c>
      <c r="S131" s="1668">
        <f t="shared" si="70"/>
        <v>0</v>
      </c>
      <c r="T131" s="772"/>
      <c r="U131" s="1664">
        <f t="shared" si="71"/>
        <v>107</v>
      </c>
      <c r="V131" s="1668">
        <f t="shared" si="86"/>
        <v>0</v>
      </c>
      <c r="W131" s="1666">
        <f t="shared" si="79"/>
        <v>0</v>
      </c>
      <c r="X131" s="1670">
        <f t="shared" si="89"/>
        <v>0</v>
      </c>
      <c r="Y131" s="1668">
        <f t="shared" si="72"/>
        <v>0</v>
      </c>
      <c r="Z131" s="772"/>
      <c r="AA131" s="1664">
        <f t="shared" si="73"/>
        <v>107</v>
      </c>
      <c r="AB131" s="1668">
        <f t="shared" si="87"/>
        <v>0</v>
      </c>
      <c r="AC131" s="1666">
        <f t="shared" si="80"/>
        <v>0</v>
      </c>
      <c r="AD131" s="1670">
        <f t="shared" si="90"/>
        <v>0</v>
      </c>
      <c r="AE131" s="1668">
        <f t="shared" si="74"/>
        <v>0</v>
      </c>
      <c r="AF131" s="772"/>
      <c r="AG131" s="1664">
        <f t="shared" si="75"/>
        <v>107</v>
      </c>
      <c r="AH131" s="1668">
        <f t="shared" si="88"/>
        <v>0</v>
      </c>
      <c r="AI131" s="1666">
        <f t="shared" si="81"/>
        <v>0</v>
      </c>
      <c r="AJ131" s="1670">
        <f t="shared" si="91"/>
        <v>0</v>
      </c>
      <c r="AK131" s="1668">
        <f t="shared" si="76"/>
        <v>0</v>
      </c>
    </row>
    <row r="132" spans="2:37" ht="20.100000000000001" customHeight="1" x14ac:dyDescent="0.3">
      <c r="B132" s="783"/>
      <c r="C132" s="784"/>
      <c r="D132" s="784"/>
      <c r="E132" s="784"/>
      <c r="F132" s="784"/>
      <c r="G132" s="784"/>
      <c r="H132" s="772"/>
      <c r="I132" s="1664">
        <f t="shared" si="67"/>
        <v>108</v>
      </c>
      <c r="J132" s="1668">
        <f t="shared" si="57"/>
        <v>0</v>
      </c>
      <c r="K132" s="1666">
        <f t="shared" si="77"/>
        <v>0</v>
      </c>
      <c r="L132" s="1670">
        <f t="shared" si="84"/>
        <v>0</v>
      </c>
      <c r="M132" s="1668">
        <f t="shared" si="68"/>
        <v>0</v>
      </c>
      <c r="N132" s="772"/>
      <c r="O132" s="1664">
        <f t="shared" si="69"/>
        <v>108</v>
      </c>
      <c r="P132" s="1668">
        <f t="shared" si="58"/>
        <v>0</v>
      </c>
      <c r="Q132" s="1666">
        <f t="shared" si="78"/>
        <v>0</v>
      </c>
      <c r="R132" s="1670">
        <f t="shared" si="85"/>
        <v>0</v>
      </c>
      <c r="S132" s="1668">
        <f t="shared" si="70"/>
        <v>0</v>
      </c>
      <c r="T132" s="772"/>
      <c r="U132" s="1664">
        <f t="shared" si="71"/>
        <v>108</v>
      </c>
      <c r="V132" s="1668">
        <f t="shared" si="86"/>
        <v>0</v>
      </c>
      <c r="W132" s="1666">
        <f t="shared" si="79"/>
        <v>0</v>
      </c>
      <c r="X132" s="1670">
        <f t="shared" si="89"/>
        <v>0</v>
      </c>
      <c r="Y132" s="1668">
        <f t="shared" si="72"/>
        <v>0</v>
      </c>
      <c r="Z132" s="772"/>
      <c r="AA132" s="1664">
        <f t="shared" si="73"/>
        <v>108</v>
      </c>
      <c r="AB132" s="1668">
        <f t="shared" si="87"/>
        <v>0</v>
      </c>
      <c r="AC132" s="1666">
        <f t="shared" si="80"/>
        <v>0</v>
      </c>
      <c r="AD132" s="1670">
        <f t="shared" si="90"/>
        <v>0</v>
      </c>
      <c r="AE132" s="1668">
        <f t="shared" si="74"/>
        <v>0</v>
      </c>
      <c r="AF132" s="772"/>
      <c r="AG132" s="1664">
        <f t="shared" si="75"/>
        <v>108</v>
      </c>
      <c r="AH132" s="1668">
        <f t="shared" si="88"/>
        <v>0</v>
      </c>
      <c r="AI132" s="1666">
        <f t="shared" si="81"/>
        <v>0</v>
      </c>
      <c r="AJ132" s="1670">
        <f t="shared" si="91"/>
        <v>0</v>
      </c>
      <c r="AK132" s="1668">
        <f t="shared" si="76"/>
        <v>0</v>
      </c>
    </row>
    <row r="133" spans="2:37" ht="20.100000000000001" customHeight="1" x14ac:dyDescent="0.3">
      <c r="B133" s="783"/>
      <c r="C133" s="784"/>
      <c r="D133" s="784"/>
      <c r="E133" s="784"/>
      <c r="F133" s="784"/>
      <c r="G133" s="784"/>
      <c r="H133" s="772"/>
      <c r="I133" s="1664">
        <f t="shared" si="67"/>
        <v>109</v>
      </c>
      <c r="J133" s="1668">
        <f t="shared" si="57"/>
        <v>0</v>
      </c>
      <c r="K133" s="1666">
        <f t="shared" si="77"/>
        <v>0</v>
      </c>
      <c r="L133" s="1670">
        <f t="shared" si="84"/>
        <v>0</v>
      </c>
      <c r="M133" s="1668">
        <f t="shared" si="68"/>
        <v>0</v>
      </c>
      <c r="N133" s="772"/>
      <c r="O133" s="1664">
        <f t="shared" si="69"/>
        <v>109</v>
      </c>
      <c r="P133" s="1668">
        <f t="shared" si="58"/>
        <v>0</v>
      </c>
      <c r="Q133" s="1666">
        <f t="shared" si="78"/>
        <v>0</v>
      </c>
      <c r="R133" s="1670">
        <f t="shared" si="85"/>
        <v>0</v>
      </c>
      <c r="S133" s="1668">
        <f t="shared" si="70"/>
        <v>0</v>
      </c>
      <c r="T133" s="772"/>
      <c r="U133" s="1664">
        <f t="shared" si="71"/>
        <v>109</v>
      </c>
      <c r="V133" s="1668">
        <f t="shared" si="86"/>
        <v>0</v>
      </c>
      <c r="W133" s="1666">
        <f t="shared" si="79"/>
        <v>0</v>
      </c>
      <c r="X133" s="1670">
        <f t="shared" si="89"/>
        <v>0</v>
      </c>
      <c r="Y133" s="1668">
        <f t="shared" si="72"/>
        <v>0</v>
      </c>
      <c r="Z133" s="772"/>
      <c r="AA133" s="1664">
        <f t="shared" si="73"/>
        <v>109</v>
      </c>
      <c r="AB133" s="1668">
        <f t="shared" si="87"/>
        <v>0</v>
      </c>
      <c r="AC133" s="1666">
        <f t="shared" si="80"/>
        <v>0</v>
      </c>
      <c r="AD133" s="1670">
        <f t="shared" si="90"/>
        <v>0</v>
      </c>
      <c r="AE133" s="1668">
        <f t="shared" si="74"/>
        <v>0</v>
      </c>
      <c r="AF133" s="772"/>
      <c r="AG133" s="1664">
        <f t="shared" si="75"/>
        <v>109</v>
      </c>
      <c r="AH133" s="1668">
        <f t="shared" si="88"/>
        <v>0</v>
      </c>
      <c r="AI133" s="1666">
        <f t="shared" si="81"/>
        <v>0</v>
      </c>
      <c r="AJ133" s="1670">
        <f t="shared" si="91"/>
        <v>0</v>
      </c>
      <c r="AK133" s="1668">
        <f t="shared" si="76"/>
        <v>0</v>
      </c>
    </row>
    <row r="134" spans="2:37" ht="20.100000000000001" customHeight="1" x14ac:dyDescent="0.3">
      <c r="B134" s="783"/>
      <c r="C134" s="784"/>
      <c r="D134" s="784"/>
      <c r="E134" s="784"/>
      <c r="F134" s="784"/>
      <c r="G134" s="784"/>
      <c r="H134" s="772"/>
      <c r="I134" s="1664">
        <f t="shared" si="67"/>
        <v>110</v>
      </c>
      <c r="J134" s="1668">
        <f t="shared" si="57"/>
        <v>0</v>
      </c>
      <c r="K134" s="1666">
        <f t="shared" si="77"/>
        <v>0</v>
      </c>
      <c r="L134" s="1670">
        <f t="shared" si="84"/>
        <v>0</v>
      </c>
      <c r="M134" s="1668">
        <f t="shared" si="68"/>
        <v>0</v>
      </c>
      <c r="N134" s="772"/>
      <c r="O134" s="1664">
        <f t="shared" si="69"/>
        <v>110</v>
      </c>
      <c r="P134" s="1668">
        <f t="shared" si="58"/>
        <v>0</v>
      </c>
      <c r="Q134" s="1666">
        <f t="shared" si="78"/>
        <v>0</v>
      </c>
      <c r="R134" s="1670">
        <f t="shared" si="85"/>
        <v>0</v>
      </c>
      <c r="S134" s="1668">
        <f t="shared" si="70"/>
        <v>0</v>
      </c>
      <c r="T134" s="772"/>
      <c r="U134" s="1664">
        <f t="shared" si="71"/>
        <v>110</v>
      </c>
      <c r="V134" s="1668">
        <f t="shared" si="86"/>
        <v>0</v>
      </c>
      <c r="W134" s="1666">
        <f t="shared" si="79"/>
        <v>0</v>
      </c>
      <c r="X134" s="1670">
        <f t="shared" si="89"/>
        <v>0</v>
      </c>
      <c r="Y134" s="1668">
        <f t="shared" si="72"/>
        <v>0</v>
      </c>
      <c r="Z134" s="772"/>
      <c r="AA134" s="1664">
        <f t="shared" si="73"/>
        <v>110</v>
      </c>
      <c r="AB134" s="1668">
        <f t="shared" si="87"/>
        <v>0</v>
      </c>
      <c r="AC134" s="1666">
        <f t="shared" si="80"/>
        <v>0</v>
      </c>
      <c r="AD134" s="1670">
        <f t="shared" si="90"/>
        <v>0</v>
      </c>
      <c r="AE134" s="1668">
        <f t="shared" si="74"/>
        <v>0</v>
      </c>
      <c r="AF134" s="772"/>
      <c r="AG134" s="1664">
        <f t="shared" si="75"/>
        <v>110</v>
      </c>
      <c r="AH134" s="1668">
        <f t="shared" si="88"/>
        <v>0</v>
      </c>
      <c r="AI134" s="1666">
        <f t="shared" si="81"/>
        <v>0</v>
      </c>
      <c r="AJ134" s="1670">
        <f t="shared" si="91"/>
        <v>0</v>
      </c>
      <c r="AK134" s="1668">
        <f t="shared" si="76"/>
        <v>0</v>
      </c>
    </row>
    <row r="135" spans="2:37" ht="20.100000000000001" customHeight="1" x14ac:dyDescent="0.3">
      <c r="B135" s="783"/>
      <c r="C135" s="784"/>
      <c r="D135" s="784"/>
      <c r="E135" s="784"/>
      <c r="F135" s="784"/>
      <c r="G135" s="784"/>
      <c r="H135" s="772"/>
      <c r="I135" s="1664">
        <f t="shared" si="67"/>
        <v>111</v>
      </c>
      <c r="J135" s="1668">
        <f t="shared" si="57"/>
        <v>0</v>
      </c>
      <c r="K135" s="1666">
        <f t="shared" si="77"/>
        <v>0</v>
      </c>
      <c r="L135" s="1670">
        <f t="shared" si="84"/>
        <v>0</v>
      </c>
      <c r="M135" s="1668">
        <f t="shared" si="68"/>
        <v>0</v>
      </c>
      <c r="N135" s="772"/>
      <c r="O135" s="1664">
        <f t="shared" si="69"/>
        <v>111</v>
      </c>
      <c r="P135" s="1668">
        <f t="shared" si="58"/>
        <v>0</v>
      </c>
      <c r="Q135" s="1666">
        <f t="shared" si="78"/>
        <v>0</v>
      </c>
      <c r="R135" s="1670">
        <f t="shared" si="85"/>
        <v>0</v>
      </c>
      <c r="S135" s="1668">
        <f t="shared" si="70"/>
        <v>0</v>
      </c>
      <c r="T135" s="772"/>
      <c r="U135" s="1664">
        <f t="shared" si="71"/>
        <v>111</v>
      </c>
      <c r="V135" s="1668">
        <f t="shared" si="86"/>
        <v>0</v>
      </c>
      <c r="W135" s="1666">
        <f t="shared" si="79"/>
        <v>0</v>
      </c>
      <c r="X135" s="1670">
        <f t="shared" si="89"/>
        <v>0</v>
      </c>
      <c r="Y135" s="1668">
        <f t="shared" si="72"/>
        <v>0</v>
      </c>
      <c r="Z135" s="772"/>
      <c r="AA135" s="1664">
        <f t="shared" si="73"/>
        <v>111</v>
      </c>
      <c r="AB135" s="1668">
        <f t="shared" si="87"/>
        <v>0</v>
      </c>
      <c r="AC135" s="1666">
        <f t="shared" si="80"/>
        <v>0</v>
      </c>
      <c r="AD135" s="1670">
        <f t="shared" si="90"/>
        <v>0</v>
      </c>
      <c r="AE135" s="1668">
        <f t="shared" si="74"/>
        <v>0</v>
      </c>
      <c r="AF135" s="772"/>
      <c r="AG135" s="1664">
        <f t="shared" si="75"/>
        <v>111</v>
      </c>
      <c r="AH135" s="1668">
        <f t="shared" si="88"/>
        <v>0</v>
      </c>
      <c r="AI135" s="1666">
        <f t="shared" si="81"/>
        <v>0</v>
      </c>
      <c r="AJ135" s="1670">
        <f t="shared" si="91"/>
        <v>0</v>
      </c>
      <c r="AK135" s="1668">
        <f t="shared" si="76"/>
        <v>0</v>
      </c>
    </row>
    <row r="136" spans="2:37" ht="20.100000000000001" customHeight="1" x14ac:dyDescent="0.3">
      <c r="B136" s="783"/>
      <c r="C136" s="784"/>
      <c r="D136" s="784"/>
      <c r="E136" s="784"/>
      <c r="F136" s="784"/>
      <c r="G136" s="784"/>
      <c r="H136" s="772"/>
      <c r="I136" s="1664">
        <f t="shared" si="67"/>
        <v>112</v>
      </c>
      <c r="J136" s="1668">
        <f t="shared" si="57"/>
        <v>0</v>
      </c>
      <c r="K136" s="1666">
        <f t="shared" si="77"/>
        <v>0</v>
      </c>
      <c r="L136" s="1670">
        <f t="shared" si="84"/>
        <v>0</v>
      </c>
      <c r="M136" s="1668">
        <f t="shared" si="68"/>
        <v>0</v>
      </c>
      <c r="N136" s="772"/>
      <c r="O136" s="1664">
        <f t="shared" si="69"/>
        <v>112</v>
      </c>
      <c r="P136" s="1668">
        <f t="shared" si="58"/>
        <v>0</v>
      </c>
      <c r="Q136" s="1666">
        <f t="shared" si="78"/>
        <v>0</v>
      </c>
      <c r="R136" s="1670">
        <f t="shared" si="85"/>
        <v>0</v>
      </c>
      <c r="S136" s="1668">
        <f t="shared" si="70"/>
        <v>0</v>
      </c>
      <c r="T136" s="772"/>
      <c r="U136" s="1664">
        <f t="shared" si="71"/>
        <v>112</v>
      </c>
      <c r="V136" s="1668">
        <f t="shared" si="86"/>
        <v>0</v>
      </c>
      <c r="W136" s="1666">
        <f t="shared" si="79"/>
        <v>0</v>
      </c>
      <c r="X136" s="1670">
        <f t="shared" si="89"/>
        <v>0</v>
      </c>
      <c r="Y136" s="1668">
        <f t="shared" si="72"/>
        <v>0</v>
      </c>
      <c r="Z136" s="772"/>
      <c r="AA136" s="1664">
        <f t="shared" si="73"/>
        <v>112</v>
      </c>
      <c r="AB136" s="1668">
        <f t="shared" si="87"/>
        <v>0</v>
      </c>
      <c r="AC136" s="1666">
        <f t="shared" si="80"/>
        <v>0</v>
      </c>
      <c r="AD136" s="1670">
        <f t="shared" si="90"/>
        <v>0</v>
      </c>
      <c r="AE136" s="1668">
        <f t="shared" si="74"/>
        <v>0</v>
      </c>
      <c r="AF136" s="772"/>
      <c r="AG136" s="1664">
        <f t="shared" si="75"/>
        <v>112</v>
      </c>
      <c r="AH136" s="1668">
        <f t="shared" si="88"/>
        <v>0</v>
      </c>
      <c r="AI136" s="1666">
        <f t="shared" si="81"/>
        <v>0</v>
      </c>
      <c r="AJ136" s="1670">
        <f t="shared" si="91"/>
        <v>0</v>
      </c>
      <c r="AK136" s="1668">
        <f t="shared" si="76"/>
        <v>0</v>
      </c>
    </row>
    <row r="137" spans="2:37" ht="20.100000000000001" customHeight="1" x14ac:dyDescent="0.3">
      <c r="B137" s="783"/>
      <c r="C137" s="784"/>
      <c r="D137" s="784"/>
      <c r="E137" s="784"/>
      <c r="F137" s="784"/>
      <c r="G137" s="784"/>
      <c r="H137" s="772"/>
      <c r="I137" s="1664">
        <f t="shared" si="67"/>
        <v>113</v>
      </c>
      <c r="J137" s="1668">
        <f t="shared" si="57"/>
        <v>0</v>
      </c>
      <c r="K137" s="1666">
        <f t="shared" si="77"/>
        <v>0</v>
      </c>
      <c r="L137" s="1670">
        <f t="shared" si="84"/>
        <v>0</v>
      </c>
      <c r="M137" s="1668">
        <f t="shared" si="68"/>
        <v>0</v>
      </c>
      <c r="N137" s="772"/>
      <c r="O137" s="1664">
        <f t="shared" si="69"/>
        <v>113</v>
      </c>
      <c r="P137" s="1668">
        <f t="shared" si="58"/>
        <v>0</v>
      </c>
      <c r="Q137" s="1666">
        <f t="shared" si="78"/>
        <v>0</v>
      </c>
      <c r="R137" s="1670">
        <f t="shared" si="85"/>
        <v>0</v>
      </c>
      <c r="S137" s="1668">
        <f t="shared" si="70"/>
        <v>0</v>
      </c>
      <c r="T137" s="772"/>
      <c r="U137" s="1664">
        <f t="shared" si="71"/>
        <v>113</v>
      </c>
      <c r="V137" s="1668">
        <f t="shared" si="86"/>
        <v>0</v>
      </c>
      <c r="W137" s="1666">
        <f t="shared" si="79"/>
        <v>0</v>
      </c>
      <c r="X137" s="1670">
        <f t="shared" si="89"/>
        <v>0</v>
      </c>
      <c r="Y137" s="1668">
        <f t="shared" si="72"/>
        <v>0</v>
      </c>
      <c r="Z137" s="772"/>
      <c r="AA137" s="1664">
        <f t="shared" si="73"/>
        <v>113</v>
      </c>
      <c r="AB137" s="1668">
        <f t="shared" si="87"/>
        <v>0</v>
      </c>
      <c r="AC137" s="1666">
        <f t="shared" si="80"/>
        <v>0</v>
      </c>
      <c r="AD137" s="1670">
        <f t="shared" si="90"/>
        <v>0</v>
      </c>
      <c r="AE137" s="1668">
        <f t="shared" si="74"/>
        <v>0</v>
      </c>
      <c r="AF137" s="772"/>
      <c r="AG137" s="1664">
        <f t="shared" si="75"/>
        <v>113</v>
      </c>
      <c r="AH137" s="1668">
        <f t="shared" si="88"/>
        <v>0</v>
      </c>
      <c r="AI137" s="1666">
        <f t="shared" si="81"/>
        <v>0</v>
      </c>
      <c r="AJ137" s="1670">
        <f t="shared" si="91"/>
        <v>0</v>
      </c>
      <c r="AK137" s="1668">
        <f t="shared" si="76"/>
        <v>0</v>
      </c>
    </row>
    <row r="138" spans="2:37" ht="20.100000000000001" customHeight="1" x14ac:dyDescent="0.3">
      <c r="B138" s="783"/>
      <c r="C138" s="784"/>
      <c r="D138" s="784"/>
      <c r="E138" s="784"/>
      <c r="F138" s="784"/>
      <c r="G138" s="784"/>
      <c r="H138" s="772"/>
      <c r="I138" s="1664">
        <f t="shared" si="67"/>
        <v>114</v>
      </c>
      <c r="J138" s="1668">
        <f t="shared" si="57"/>
        <v>0</v>
      </c>
      <c r="K138" s="1666">
        <f t="shared" si="77"/>
        <v>0</v>
      </c>
      <c r="L138" s="1670">
        <f t="shared" si="84"/>
        <v>0</v>
      </c>
      <c r="M138" s="1668">
        <f t="shared" si="68"/>
        <v>0</v>
      </c>
      <c r="N138" s="772"/>
      <c r="O138" s="1664">
        <f t="shared" si="69"/>
        <v>114</v>
      </c>
      <c r="P138" s="1668">
        <f t="shared" si="58"/>
        <v>0</v>
      </c>
      <c r="Q138" s="1666">
        <f t="shared" si="78"/>
        <v>0</v>
      </c>
      <c r="R138" s="1670">
        <f t="shared" si="85"/>
        <v>0</v>
      </c>
      <c r="S138" s="1668">
        <f t="shared" si="70"/>
        <v>0</v>
      </c>
      <c r="T138" s="772"/>
      <c r="U138" s="1664">
        <f t="shared" si="71"/>
        <v>114</v>
      </c>
      <c r="V138" s="1668">
        <f t="shared" si="86"/>
        <v>0</v>
      </c>
      <c r="W138" s="1666">
        <f t="shared" si="79"/>
        <v>0</v>
      </c>
      <c r="X138" s="1670">
        <f t="shared" si="89"/>
        <v>0</v>
      </c>
      <c r="Y138" s="1668">
        <f t="shared" si="72"/>
        <v>0</v>
      </c>
      <c r="Z138" s="772"/>
      <c r="AA138" s="1664">
        <f t="shared" si="73"/>
        <v>114</v>
      </c>
      <c r="AB138" s="1668">
        <f t="shared" si="87"/>
        <v>0</v>
      </c>
      <c r="AC138" s="1666">
        <f t="shared" si="80"/>
        <v>0</v>
      </c>
      <c r="AD138" s="1670">
        <f t="shared" si="90"/>
        <v>0</v>
      </c>
      <c r="AE138" s="1668">
        <f t="shared" si="74"/>
        <v>0</v>
      </c>
      <c r="AF138" s="772"/>
      <c r="AG138" s="1664">
        <f t="shared" si="75"/>
        <v>114</v>
      </c>
      <c r="AH138" s="1668">
        <f t="shared" si="88"/>
        <v>0</v>
      </c>
      <c r="AI138" s="1666">
        <f t="shared" si="81"/>
        <v>0</v>
      </c>
      <c r="AJ138" s="1670">
        <f t="shared" si="91"/>
        <v>0</v>
      </c>
      <c r="AK138" s="1668">
        <f t="shared" si="76"/>
        <v>0</v>
      </c>
    </row>
    <row r="139" spans="2:37" ht="20.100000000000001" customHeight="1" x14ac:dyDescent="0.3">
      <c r="B139" s="783"/>
      <c r="C139" s="784"/>
      <c r="D139" s="784"/>
      <c r="E139" s="784"/>
      <c r="F139" s="784"/>
      <c r="G139" s="784"/>
      <c r="H139" s="772"/>
      <c r="I139" s="1664">
        <f t="shared" si="67"/>
        <v>115</v>
      </c>
      <c r="J139" s="1668">
        <f t="shared" si="57"/>
        <v>0</v>
      </c>
      <c r="K139" s="1666">
        <f t="shared" si="77"/>
        <v>0</v>
      </c>
      <c r="L139" s="1670">
        <f t="shared" si="84"/>
        <v>0</v>
      </c>
      <c r="M139" s="1668">
        <f t="shared" si="68"/>
        <v>0</v>
      </c>
      <c r="N139" s="772"/>
      <c r="O139" s="1664">
        <f t="shared" si="69"/>
        <v>115</v>
      </c>
      <c r="P139" s="1668">
        <f t="shared" si="58"/>
        <v>0</v>
      </c>
      <c r="Q139" s="1666">
        <f t="shared" si="78"/>
        <v>0</v>
      </c>
      <c r="R139" s="1670">
        <f t="shared" si="85"/>
        <v>0</v>
      </c>
      <c r="S139" s="1668">
        <f t="shared" si="70"/>
        <v>0</v>
      </c>
      <c r="T139" s="772"/>
      <c r="U139" s="1664">
        <f t="shared" si="71"/>
        <v>115</v>
      </c>
      <c r="V139" s="1668">
        <f t="shared" si="86"/>
        <v>0</v>
      </c>
      <c r="W139" s="1666">
        <f t="shared" si="79"/>
        <v>0</v>
      </c>
      <c r="X139" s="1670">
        <f t="shared" si="89"/>
        <v>0</v>
      </c>
      <c r="Y139" s="1668">
        <f t="shared" si="72"/>
        <v>0</v>
      </c>
      <c r="Z139" s="772"/>
      <c r="AA139" s="1664">
        <f t="shared" si="73"/>
        <v>115</v>
      </c>
      <c r="AB139" s="1668">
        <f t="shared" si="87"/>
        <v>0</v>
      </c>
      <c r="AC139" s="1666">
        <f t="shared" si="80"/>
        <v>0</v>
      </c>
      <c r="AD139" s="1670">
        <f t="shared" si="90"/>
        <v>0</v>
      </c>
      <c r="AE139" s="1668">
        <f t="shared" si="74"/>
        <v>0</v>
      </c>
      <c r="AF139" s="772"/>
      <c r="AG139" s="1664">
        <f t="shared" si="75"/>
        <v>115</v>
      </c>
      <c r="AH139" s="1668">
        <f t="shared" si="88"/>
        <v>0</v>
      </c>
      <c r="AI139" s="1666">
        <f t="shared" si="81"/>
        <v>0</v>
      </c>
      <c r="AJ139" s="1670">
        <f t="shared" si="91"/>
        <v>0</v>
      </c>
      <c r="AK139" s="1668">
        <f t="shared" si="76"/>
        <v>0</v>
      </c>
    </row>
    <row r="140" spans="2:37" ht="20.100000000000001" customHeight="1" x14ac:dyDescent="0.3">
      <c r="B140" s="783"/>
      <c r="C140" s="784"/>
      <c r="D140" s="784"/>
      <c r="E140" s="784"/>
      <c r="F140" s="784"/>
      <c r="G140" s="784"/>
      <c r="H140" s="772"/>
      <c r="I140" s="1664">
        <f t="shared" si="67"/>
        <v>116</v>
      </c>
      <c r="J140" s="1668">
        <f t="shared" si="57"/>
        <v>0</v>
      </c>
      <c r="K140" s="1666">
        <f t="shared" si="77"/>
        <v>0</v>
      </c>
      <c r="L140" s="1670">
        <f t="shared" si="84"/>
        <v>0</v>
      </c>
      <c r="M140" s="1668">
        <f t="shared" si="68"/>
        <v>0</v>
      </c>
      <c r="N140" s="772"/>
      <c r="O140" s="1664">
        <f t="shared" si="69"/>
        <v>116</v>
      </c>
      <c r="P140" s="1668">
        <f t="shared" si="58"/>
        <v>0</v>
      </c>
      <c r="Q140" s="1666">
        <f t="shared" si="78"/>
        <v>0</v>
      </c>
      <c r="R140" s="1670">
        <f t="shared" si="85"/>
        <v>0</v>
      </c>
      <c r="S140" s="1668">
        <f t="shared" si="70"/>
        <v>0</v>
      </c>
      <c r="T140" s="772"/>
      <c r="U140" s="1664">
        <f t="shared" si="71"/>
        <v>116</v>
      </c>
      <c r="V140" s="1668">
        <f t="shared" si="86"/>
        <v>0</v>
      </c>
      <c r="W140" s="1666">
        <f t="shared" si="79"/>
        <v>0</v>
      </c>
      <c r="X140" s="1670">
        <f t="shared" si="89"/>
        <v>0</v>
      </c>
      <c r="Y140" s="1668">
        <f t="shared" si="72"/>
        <v>0</v>
      </c>
      <c r="Z140" s="772"/>
      <c r="AA140" s="1664">
        <f t="shared" si="73"/>
        <v>116</v>
      </c>
      <c r="AB140" s="1668">
        <f t="shared" si="87"/>
        <v>0</v>
      </c>
      <c r="AC140" s="1666">
        <f t="shared" si="80"/>
        <v>0</v>
      </c>
      <c r="AD140" s="1670">
        <f t="shared" si="90"/>
        <v>0</v>
      </c>
      <c r="AE140" s="1668">
        <f t="shared" si="74"/>
        <v>0</v>
      </c>
      <c r="AF140" s="772"/>
      <c r="AG140" s="1664">
        <f t="shared" si="75"/>
        <v>116</v>
      </c>
      <c r="AH140" s="1668">
        <f t="shared" si="88"/>
        <v>0</v>
      </c>
      <c r="AI140" s="1666">
        <f t="shared" si="81"/>
        <v>0</v>
      </c>
      <c r="AJ140" s="1670">
        <f t="shared" si="91"/>
        <v>0</v>
      </c>
      <c r="AK140" s="1668">
        <f t="shared" si="76"/>
        <v>0</v>
      </c>
    </row>
    <row r="141" spans="2:37" ht="20.100000000000001" customHeight="1" x14ac:dyDescent="0.3">
      <c r="B141" s="783"/>
      <c r="C141" s="784"/>
      <c r="D141" s="784"/>
      <c r="E141" s="784"/>
      <c r="F141" s="784"/>
      <c r="G141" s="784"/>
      <c r="H141" s="772"/>
      <c r="I141" s="1664">
        <f t="shared" si="67"/>
        <v>117</v>
      </c>
      <c r="J141" s="1668">
        <f t="shared" si="57"/>
        <v>0</v>
      </c>
      <c r="K141" s="1666">
        <f t="shared" si="77"/>
        <v>0</v>
      </c>
      <c r="L141" s="1670">
        <f t="shared" si="84"/>
        <v>0</v>
      </c>
      <c r="M141" s="1668">
        <f t="shared" si="68"/>
        <v>0</v>
      </c>
      <c r="N141" s="772"/>
      <c r="O141" s="1664">
        <f t="shared" si="69"/>
        <v>117</v>
      </c>
      <c r="P141" s="1668">
        <f t="shared" si="58"/>
        <v>0</v>
      </c>
      <c r="Q141" s="1666">
        <f t="shared" si="78"/>
        <v>0</v>
      </c>
      <c r="R141" s="1670">
        <f t="shared" si="85"/>
        <v>0</v>
      </c>
      <c r="S141" s="1668">
        <f t="shared" si="70"/>
        <v>0</v>
      </c>
      <c r="T141" s="772"/>
      <c r="U141" s="1664">
        <f t="shared" si="71"/>
        <v>117</v>
      </c>
      <c r="V141" s="1668">
        <f t="shared" si="86"/>
        <v>0</v>
      </c>
      <c r="W141" s="1666">
        <f t="shared" si="79"/>
        <v>0</v>
      </c>
      <c r="X141" s="1670">
        <f t="shared" si="89"/>
        <v>0</v>
      </c>
      <c r="Y141" s="1668">
        <f t="shared" si="72"/>
        <v>0</v>
      </c>
      <c r="Z141" s="772"/>
      <c r="AA141" s="1664">
        <f t="shared" si="73"/>
        <v>117</v>
      </c>
      <c r="AB141" s="1668">
        <f t="shared" si="87"/>
        <v>0</v>
      </c>
      <c r="AC141" s="1666">
        <f t="shared" si="80"/>
        <v>0</v>
      </c>
      <c r="AD141" s="1670">
        <f t="shared" si="90"/>
        <v>0</v>
      </c>
      <c r="AE141" s="1668">
        <f t="shared" si="74"/>
        <v>0</v>
      </c>
      <c r="AF141" s="772"/>
      <c r="AG141" s="1664">
        <f t="shared" si="75"/>
        <v>117</v>
      </c>
      <c r="AH141" s="1668">
        <f t="shared" si="88"/>
        <v>0</v>
      </c>
      <c r="AI141" s="1666">
        <f t="shared" si="81"/>
        <v>0</v>
      </c>
      <c r="AJ141" s="1670">
        <f t="shared" si="91"/>
        <v>0</v>
      </c>
      <c r="AK141" s="1668">
        <f t="shared" si="76"/>
        <v>0</v>
      </c>
    </row>
    <row r="142" spans="2:37" ht="20.100000000000001" customHeight="1" x14ac:dyDescent="0.3">
      <c r="B142" s="783"/>
      <c r="C142" s="784"/>
      <c r="D142" s="784"/>
      <c r="E142" s="784"/>
      <c r="F142" s="784"/>
      <c r="G142" s="784"/>
      <c r="H142" s="772"/>
      <c r="I142" s="1664">
        <f t="shared" si="67"/>
        <v>118</v>
      </c>
      <c r="J142" s="1668">
        <f t="shared" si="57"/>
        <v>0</v>
      </c>
      <c r="K142" s="1666">
        <f t="shared" si="77"/>
        <v>0</v>
      </c>
      <c r="L142" s="1670">
        <f t="shared" si="84"/>
        <v>0</v>
      </c>
      <c r="M142" s="1668">
        <f t="shared" si="68"/>
        <v>0</v>
      </c>
      <c r="N142" s="772"/>
      <c r="O142" s="1664">
        <f t="shared" si="69"/>
        <v>118</v>
      </c>
      <c r="P142" s="1668">
        <f t="shared" si="58"/>
        <v>0</v>
      </c>
      <c r="Q142" s="1666">
        <f t="shared" si="78"/>
        <v>0</v>
      </c>
      <c r="R142" s="1670">
        <f t="shared" si="85"/>
        <v>0</v>
      </c>
      <c r="S142" s="1668">
        <f t="shared" si="70"/>
        <v>0</v>
      </c>
      <c r="T142" s="772"/>
      <c r="U142" s="1664">
        <f t="shared" si="71"/>
        <v>118</v>
      </c>
      <c r="V142" s="1668">
        <f t="shared" si="86"/>
        <v>0</v>
      </c>
      <c r="W142" s="1666">
        <f t="shared" si="79"/>
        <v>0</v>
      </c>
      <c r="X142" s="1670">
        <f t="shared" si="89"/>
        <v>0</v>
      </c>
      <c r="Y142" s="1668">
        <f t="shared" si="72"/>
        <v>0</v>
      </c>
      <c r="Z142" s="772"/>
      <c r="AA142" s="1664">
        <f t="shared" si="73"/>
        <v>118</v>
      </c>
      <c r="AB142" s="1668">
        <f t="shared" si="87"/>
        <v>0</v>
      </c>
      <c r="AC142" s="1666">
        <f t="shared" si="80"/>
        <v>0</v>
      </c>
      <c r="AD142" s="1670">
        <f t="shared" si="90"/>
        <v>0</v>
      </c>
      <c r="AE142" s="1668">
        <f t="shared" si="74"/>
        <v>0</v>
      </c>
      <c r="AF142" s="772"/>
      <c r="AG142" s="1664">
        <f t="shared" si="75"/>
        <v>118</v>
      </c>
      <c r="AH142" s="1668">
        <f t="shared" si="88"/>
        <v>0</v>
      </c>
      <c r="AI142" s="1666">
        <f t="shared" si="81"/>
        <v>0</v>
      </c>
      <c r="AJ142" s="1670">
        <f t="shared" si="91"/>
        <v>0</v>
      </c>
      <c r="AK142" s="1668">
        <f t="shared" si="76"/>
        <v>0</v>
      </c>
    </row>
    <row r="143" spans="2:37" ht="20.100000000000001" customHeight="1" x14ac:dyDescent="0.3">
      <c r="B143" s="783"/>
      <c r="C143" s="784"/>
      <c r="D143" s="784"/>
      <c r="E143" s="784"/>
      <c r="F143" s="784"/>
      <c r="G143" s="784"/>
      <c r="H143" s="772"/>
      <c r="I143" s="1664">
        <f t="shared" si="67"/>
        <v>119</v>
      </c>
      <c r="J143" s="1668">
        <f t="shared" si="57"/>
        <v>0</v>
      </c>
      <c r="K143" s="1666">
        <f t="shared" si="77"/>
        <v>0</v>
      </c>
      <c r="L143" s="1670">
        <f t="shared" si="84"/>
        <v>0</v>
      </c>
      <c r="M143" s="1668">
        <f t="shared" si="68"/>
        <v>0</v>
      </c>
      <c r="N143" s="772"/>
      <c r="O143" s="1664">
        <f t="shared" si="69"/>
        <v>119</v>
      </c>
      <c r="P143" s="1668">
        <f t="shared" si="58"/>
        <v>0</v>
      </c>
      <c r="Q143" s="1666">
        <f t="shared" si="78"/>
        <v>0</v>
      </c>
      <c r="R143" s="1670">
        <f t="shared" si="85"/>
        <v>0</v>
      </c>
      <c r="S143" s="1668">
        <f t="shared" si="70"/>
        <v>0</v>
      </c>
      <c r="T143" s="772"/>
      <c r="U143" s="1664">
        <f t="shared" si="71"/>
        <v>119</v>
      </c>
      <c r="V143" s="1668">
        <f t="shared" si="86"/>
        <v>0</v>
      </c>
      <c r="W143" s="1666">
        <f t="shared" si="79"/>
        <v>0</v>
      </c>
      <c r="X143" s="1670">
        <f t="shared" si="89"/>
        <v>0</v>
      </c>
      <c r="Y143" s="1668">
        <f t="shared" si="72"/>
        <v>0</v>
      </c>
      <c r="Z143" s="772"/>
      <c r="AA143" s="1664">
        <f t="shared" si="73"/>
        <v>119</v>
      </c>
      <c r="AB143" s="1668">
        <f t="shared" si="87"/>
        <v>0</v>
      </c>
      <c r="AC143" s="1666">
        <f t="shared" si="80"/>
        <v>0</v>
      </c>
      <c r="AD143" s="1670">
        <f t="shared" si="90"/>
        <v>0</v>
      </c>
      <c r="AE143" s="1668">
        <f t="shared" si="74"/>
        <v>0</v>
      </c>
      <c r="AF143" s="772"/>
      <c r="AG143" s="1664">
        <f t="shared" si="75"/>
        <v>119</v>
      </c>
      <c r="AH143" s="1668">
        <f t="shared" si="88"/>
        <v>0</v>
      </c>
      <c r="AI143" s="1666">
        <f t="shared" si="81"/>
        <v>0</v>
      </c>
      <c r="AJ143" s="1670">
        <f t="shared" si="91"/>
        <v>0</v>
      </c>
      <c r="AK143" s="1668">
        <f t="shared" si="76"/>
        <v>0</v>
      </c>
    </row>
    <row r="144" spans="2:37" ht="20.100000000000001" customHeight="1" x14ac:dyDescent="0.3">
      <c r="B144" s="783"/>
      <c r="C144" s="784"/>
      <c r="D144" s="784"/>
      <c r="E144" s="784"/>
      <c r="F144" s="784"/>
      <c r="G144" s="784"/>
      <c r="H144" s="772"/>
      <c r="I144" s="1664">
        <f t="shared" si="67"/>
        <v>120</v>
      </c>
      <c r="J144" s="1668">
        <f t="shared" si="57"/>
        <v>0</v>
      </c>
      <c r="K144" s="1666">
        <f t="shared" si="77"/>
        <v>0</v>
      </c>
      <c r="L144" s="1670">
        <f t="shared" si="84"/>
        <v>0</v>
      </c>
      <c r="M144" s="1668">
        <f t="shared" si="68"/>
        <v>0</v>
      </c>
      <c r="N144" s="772"/>
      <c r="O144" s="1664">
        <f t="shared" si="69"/>
        <v>120</v>
      </c>
      <c r="P144" s="1668">
        <f t="shared" si="58"/>
        <v>0</v>
      </c>
      <c r="Q144" s="1666">
        <f t="shared" si="78"/>
        <v>0</v>
      </c>
      <c r="R144" s="1670">
        <f t="shared" si="85"/>
        <v>0</v>
      </c>
      <c r="S144" s="1668">
        <f t="shared" si="70"/>
        <v>0</v>
      </c>
      <c r="T144" s="772"/>
      <c r="U144" s="1664">
        <f t="shared" si="71"/>
        <v>120</v>
      </c>
      <c r="V144" s="1668">
        <f t="shared" si="86"/>
        <v>0</v>
      </c>
      <c r="W144" s="1666">
        <f t="shared" si="79"/>
        <v>0</v>
      </c>
      <c r="X144" s="1670">
        <f t="shared" si="89"/>
        <v>0</v>
      </c>
      <c r="Y144" s="1668">
        <f t="shared" si="72"/>
        <v>0</v>
      </c>
      <c r="Z144" s="772"/>
      <c r="AA144" s="1664">
        <f t="shared" si="73"/>
        <v>120</v>
      </c>
      <c r="AB144" s="1668">
        <f t="shared" si="87"/>
        <v>0</v>
      </c>
      <c r="AC144" s="1666">
        <f t="shared" si="80"/>
        <v>0</v>
      </c>
      <c r="AD144" s="1670">
        <f t="shared" si="90"/>
        <v>0</v>
      </c>
      <c r="AE144" s="1668">
        <f t="shared" si="74"/>
        <v>0</v>
      </c>
      <c r="AF144" s="772"/>
      <c r="AG144" s="1664">
        <f t="shared" si="75"/>
        <v>120</v>
      </c>
      <c r="AH144" s="1668">
        <f t="shared" si="88"/>
        <v>0</v>
      </c>
      <c r="AI144" s="1666">
        <f t="shared" si="81"/>
        <v>0</v>
      </c>
      <c r="AJ144" s="1670">
        <f t="shared" si="91"/>
        <v>0</v>
      </c>
      <c r="AK144" s="1668">
        <f t="shared" si="76"/>
        <v>0</v>
      </c>
    </row>
    <row r="145" spans="2:37" ht="20.100000000000001" customHeight="1" x14ac:dyDescent="0.3">
      <c r="B145" s="783"/>
      <c r="C145" s="784"/>
      <c r="D145" s="784"/>
      <c r="E145" s="784"/>
      <c r="F145" s="784"/>
      <c r="G145" s="784"/>
      <c r="H145" s="772"/>
      <c r="I145" s="1664">
        <f t="shared" si="67"/>
        <v>121</v>
      </c>
      <c r="J145" s="1668">
        <f t="shared" si="57"/>
        <v>0</v>
      </c>
      <c r="K145" s="1666">
        <f t="shared" si="77"/>
        <v>0</v>
      </c>
      <c r="L145" s="1670">
        <f t="shared" si="84"/>
        <v>0</v>
      </c>
      <c r="M145" s="1668">
        <f t="shared" si="68"/>
        <v>0</v>
      </c>
      <c r="N145" s="772"/>
      <c r="O145" s="1664">
        <f t="shared" si="69"/>
        <v>121</v>
      </c>
      <c r="P145" s="1668">
        <f t="shared" si="58"/>
        <v>0</v>
      </c>
      <c r="Q145" s="1666">
        <f t="shared" si="78"/>
        <v>0</v>
      </c>
      <c r="R145" s="1670">
        <f t="shared" si="85"/>
        <v>0</v>
      </c>
      <c r="S145" s="1668">
        <f t="shared" si="70"/>
        <v>0</v>
      </c>
      <c r="T145" s="772"/>
      <c r="U145" s="1664">
        <f t="shared" si="71"/>
        <v>121</v>
      </c>
      <c r="V145" s="1668">
        <f t="shared" si="86"/>
        <v>0</v>
      </c>
      <c r="W145" s="1666">
        <f t="shared" si="79"/>
        <v>0</v>
      </c>
      <c r="X145" s="1670">
        <f t="shared" si="89"/>
        <v>0</v>
      </c>
      <c r="Y145" s="1668">
        <f t="shared" si="72"/>
        <v>0</v>
      </c>
      <c r="Z145" s="772"/>
      <c r="AA145" s="1664">
        <f t="shared" si="73"/>
        <v>121</v>
      </c>
      <c r="AB145" s="1668">
        <f t="shared" si="87"/>
        <v>0</v>
      </c>
      <c r="AC145" s="1666">
        <f t="shared" si="80"/>
        <v>0</v>
      </c>
      <c r="AD145" s="1670">
        <f t="shared" si="90"/>
        <v>0</v>
      </c>
      <c r="AE145" s="1668">
        <f t="shared" si="74"/>
        <v>0</v>
      </c>
      <c r="AF145" s="772"/>
      <c r="AG145" s="1664">
        <f t="shared" si="75"/>
        <v>121</v>
      </c>
      <c r="AH145" s="1668">
        <f t="shared" si="88"/>
        <v>0</v>
      </c>
      <c r="AI145" s="1666">
        <f t="shared" si="81"/>
        <v>0</v>
      </c>
      <c r="AJ145" s="1670">
        <f t="shared" si="91"/>
        <v>0</v>
      </c>
      <c r="AK145" s="1668">
        <f t="shared" si="76"/>
        <v>0</v>
      </c>
    </row>
    <row r="146" spans="2:37" ht="20.100000000000001" customHeight="1" x14ac:dyDescent="0.3">
      <c r="B146" s="783"/>
      <c r="C146" s="784"/>
      <c r="D146" s="784"/>
      <c r="E146" s="784"/>
      <c r="F146" s="784"/>
      <c r="G146" s="784"/>
      <c r="H146" s="772"/>
      <c r="I146" s="1664">
        <f t="shared" si="67"/>
        <v>122</v>
      </c>
      <c r="J146" s="1668">
        <f t="shared" si="57"/>
        <v>0</v>
      </c>
      <c r="K146" s="1666">
        <f t="shared" si="77"/>
        <v>0</v>
      </c>
      <c r="L146" s="1670">
        <f t="shared" si="84"/>
        <v>0</v>
      </c>
      <c r="M146" s="1668">
        <f t="shared" si="68"/>
        <v>0</v>
      </c>
      <c r="N146" s="772"/>
      <c r="O146" s="1664">
        <f t="shared" si="69"/>
        <v>122</v>
      </c>
      <c r="P146" s="1668">
        <f t="shared" si="58"/>
        <v>0</v>
      </c>
      <c r="Q146" s="1666">
        <f t="shared" si="78"/>
        <v>0</v>
      </c>
      <c r="R146" s="1670">
        <f t="shared" si="85"/>
        <v>0</v>
      </c>
      <c r="S146" s="1668">
        <f t="shared" si="70"/>
        <v>0</v>
      </c>
      <c r="T146" s="772"/>
      <c r="U146" s="1664">
        <f t="shared" si="71"/>
        <v>122</v>
      </c>
      <c r="V146" s="1668">
        <f t="shared" si="86"/>
        <v>0</v>
      </c>
      <c r="W146" s="1666">
        <f t="shared" si="79"/>
        <v>0</v>
      </c>
      <c r="X146" s="1670">
        <f t="shared" si="89"/>
        <v>0</v>
      </c>
      <c r="Y146" s="1668">
        <f t="shared" si="72"/>
        <v>0</v>
      </c>
      <c r="Z146" s="772"/>
      <c r="AA146" s="1664">
        <f t="shared" si="73"/>
        <v>122</v>
      </c>
      <c r="AB146" s="1668">
        <f t="shared" si="87"/>
        <v>0</v>
      </c>
      <c r="AC146" s="1666">
        <f t="shared" si="80"/>
        <v>0</v>
      </c>
      <c r="AD146" s="1670">
        <f t="shared" si="90"/>
        <v>0</v>
      </c>
      <c r="AE146" s="1668">
        <f t="shared" si="74"/>
        <v>0</v>
      </c>
      <c r="AF146" s="772"/>
      <c r="AG146" s="1664">
        <f t="shared" si="75"/>
        <v>122</v>
      </c>
      <c r="AH146" s="1668">
        <f t="shared" si="88"/>
        <v>0</v>
      </c>
      <c r="AI146" s="1666">
        <f t="shared" si="81"/>
        <v>0</v>
      </c>
      <c r="AJ146" s="1670">
        <f t="shared" si="91"/>
        <v>0</v>
      </c>
      <c r="AK146" s="1668">
        <f t="shared" si="76"/>
        <v>0</v>
      </c>
    </row>
    <row r="147" spans="2:37" ht="20.100000000000001" customHeight="1" x14ac:dyDescent="0.3">
      <c r="B147" s="783"/>
      <c r="C147" s="784"/>
      <c r="D147" s="784"/>
      <c r="E147" s="784"/>
      <c r="F147" s="784"/>
      <c r="G147" s="784"/>
      <c r="H147" s="772"/>
      <c r="I147" s="1664">
        <f t="shared" si="67"/>
        <v>123</v>
      </c>
      <c r="J147" s="1668">
        <f t="shared" si="57"/>
        <v>0</v>
      </c>
      <c r="K147" s="1666">
        <f t="shared" si="77"/>
        <v>0</v>
      </c>
      <c r="L147" s="1670">
        <f t="shared" si="84"/>
        <v>0</v>
      </c>
      <c r="M147" s="1668">
        <f t="shared" si="68"/>
        <v>0</v>
      </c>
      <c r="N147" s="772"/>
      <c r="O147" s="1664">
        <f t="shared" si="69"/>
        <v>123</v>
      </c>
      <c r="P147" s="1668">
        <f t="shared" si="58"/>
        <v>0</v>
      </c>
      <c r="Q147" s="1666">
        <f t="shared" si="78"/>
        <v>0</v>
      </c>
      <c r="R147" s="1670">
        <f t="shared" si="85"/>
        <v>0</v>
      </c>
      <c r="S147" s="1668">
        <f t="shared" si="70"/>
        <v>0</v>
      </c>
      <c r="T147" s="772"/>
      <c r="U147" s="1664">
        <f t="shared" si="71"/>
        <v>123</v>
      </c>
      <c r="V147" s="1668">
        <f t="shared" si="86"/>
        <v>0</v>
      </c>
      <c r="W147" s="1666">
        <f t="shared" si="79"/>
        <v>0</v>
      </c>
      <c r="X147" s="1670">
        <f t="shared" si="89"/>
        <v>0</v>
      </c>
      <c r="Y147" s="1668">
        <f t="shared" si="72"/>
        <v>0</v>
      </c>
      <c r="Z147" s="772"/>
      <c r="AA147" s="1664">
        <f t="shared" si="73"/>
        <v>123</v>
      </c>
      <c r="AB147" s="1668">
        <f t="shared" si="87"/>
        <v>0</v>
      </c>
      <c r="AC147" s="1666">
        <f t="shared" si="80"/>
        <v>0</v>
      </c>
      <c r="AD147" s="1670">
        <f t="shared" si="90"/>
        <v>0</v>
      </c>
      <c r="AE147" s="1668">
        <f t="shared" si="74"/>
        <v>0</v>
      </c>
      <c r="AF147" s="772"/>
      <c r="AG147" s="1664">
        <f t="shared" si="75"/>
        <v>123</v>
      </c>
      <c r="AH147" s="1668">
        <f t="shared" si="88"/>
        <v>0</v>
      </c>
      <c r="AI147" s="1666">
        <f t="shared" si="81"/>
        <v>0</v>
      </c>
      <c r="AJ147" s="1670">
        <f t="shared" si="91"/>
        <v>0</v>
      </c>
      <c r="AK147" s="1668">
        <f t="shared" si="76"/>
        <v>0</v>
      </c>
    </row>
    <row r="148" spans="2:37" ht="20.100000000000001" customHeight="1" x14ac:dyDescent="0.3">
      <c r="B148" s="783"/>
      <c r="C148" s="784"/>
      <c r="D148" s="784"/>
      <c r="E148" s="784"/>
      <c r="F148" s="784"/>
      <c r="G148" s="784"/>
      <c r="H148" s="772"/>
      <c r="I148" s="1664">
        <f t="shared" si="67"/>
        <v>124</v>
      </c>
      <c r="J148" s="1668">
        <f t="shared" si="57"/>
        <v>0</v>
      </c>
      <c r="K148" s="1666">
        <f t="shared" si="77"/>
        <v>0</v>
      </c>
      <c r="L148" s="1670">
        <f t="shared" si="84"/>
        <v>0</v>
      </c>
      <c r="M148" s="1668">
        <f t="shared" si="68"/>
        <v>0</v>
      </c>
      <c r="N148" s="772"/>
      <c r="O148" s="1664">
        <f t="shared" si="69"/>
        <v>124</v>
      </c>
      <c r="P148" s="1668">
        <f t="shared" si="58"/>
        <v>0</v>
      </c>
      <c r="Q148" s="1666">
        <f t="shared" si="78"/>
        <v>0</v>
      </c>
      <c r="R148" s="1670">
        <f t="shared" si="85"/>
        <v>0</v>
      </c>
      <c r="S148" s="1668">
        <f t="shared" si="70"/>
        <v>0</v>
      </c>
      <c r="T148" s="772"/>
      <c r="U148" s="1664">
        <f t="shared" si="71"/>
        <v>124</v>
      </c>
      <c r="V148" s="1668">
        <f t="shared" si="86"/>
        <v>0</v>
      </c>
      <c r="W148" s="1666">
        <f t="shared" si="79"/>
        <v>0</v>
      </c>
      <c r="X148" s="1670">
        <f t="shared" si="89"/>
        <v>0</v>
      </c>
      <c r="Y148" s="1668">
        <f t="shared" si="72"/>
        <v>0</v>
      </c>
      <c r="Z148" s="772"/>
      <c r="AA148" s="1664">
        <f t="shared" si="73"/>
        <v>124</v>
      </c>
      <c r="AB148" s="1668">
        <f t="shared" si="87"/>
        <v>0</v>
      </c>
      <c r="AC148" s="1666">
        <f t="shared" si="80"/>
        <v>0</v>
      </c>
      <c r="AD148" s="1670">
        <f t="shared" si="90"/>
        <v>0</v>
      </c>
      <c r="AE148" s="1668">
        <f t="shared" si="74"/>
        <v>0</v>
      </c>
      <c r="AF148" s="772"/>
      <c r="AG148" s="1664">
        <f t="shared" si="75"/>
        <v>124</v>
      </c>
      <c r="AH148" s="1668">
        <f t="shared" si="88"/>
        <v>0</v>
      </c>
      <c r="AI148" s="1666">
        <f t="shared" si="81"/>
        <v>0</v>
      </c>
      <c r="AJ148" s="1670">
        <f t="shared" si="91"/>
        <v>0</v>
      </c>
      <c r="AK148" s="1668">
        <f t="shared" si="76"/>
        <v>0</v>
      </c>
    </row>
    <row r="149" spans="2:37" ht="20.100000000000001" customHeight="1" x14ac:dyDescent="0.3">
      <c r="B149" s="783"/>
      <c r="C149" s="784"/>
      <c r="D149" s="784"/>
      <c r="E149" s="784"/>
      <c r="F149" s="784"/>
      <c r="G149" s="784"/>
      <c r="H149" s="772"/>
      <c r="I149" s="1664">
        <f t="shared" si="67"/>
        <v>125</v>
      </c>
      <c r="J149" s="1668">
        <f t="shared" si="57"/>
        <v>0</v>
      </c>
      <c r="K149" s="1666">
        <f t="shared" si="77"/>
        <v>0</v>
      </c>
      <c r="L149" s="1670">
        <f t="shared" si="84"/>
        <v>0</v>
      </c>
      <c r="M149" s="1668">
        <f t="shared" si="68"/>
        <v>0</v>
      </c>
      <c r="N149" s="772"/>
      <c r="O149" s="1664">
        <f t="shared" si="69"/>
        <v>125</v>
      </c>
      <c r="P149" s="1668">
        <f t="shared" si="58"/>
        <v>0</v>
      </c>
      <c r="Q149" s="1666">
        <f t="shared" si="78"/>
        <v>0</v>
      </c>
      <c r="R149" s="1670">
        <f t="shared" si="85"/>
        <v>0</v>
      </c>
      <c r="S149" s="1668">
        <f t="shared" si="70"/>
        <v>0</v>
      </c>
      <c r="T149" s="772"/>
      <c r="U149" s="1664">
        <f t="shared" si="71"/>
        <v>125</v>
      </c>
      <c r="V149" s="1668">
        <f t="shared" si="86"/>
        <v>0</v>
      </c>
      <c r="W149" s="1666">
        <f t="shared" si="79"/>
        <v>0</v>
      </c>
      <c r="X149" s="1670">
        <f t="shared" si="89"/>
        <v>0</v>
      </c>
      <c r="Y149" s="1668">
        <f t="shared" si="72"/>
        <v>0</v>
      </c>
      <c r="Z149" s="772"/>
      <c r="AA149" s="1664">
        <f t="shared" si="73"/>
        <v>125</v>
      </c>
      <c r="AB149" s="1668">
        <f t="shared" si="87"/>
        <v>0</v>
      </c>
      <c r="AC149" s="1666">
        <f t="shared" si="80"/>
        <v>0</v>
      </c>
      <c r="AD149" s="1670">
        <f t="shared" si="90"/>
        <v>0</v>
      </c>
      <c r="AE149" s="1668">
        <f t="shared" si="74"/>
        <v>0</v>
      </c>
      <c r="AF149" s="772"/>
      <c r="AG149" s="1664">
        <f t="shared" si="75"/>
        <v>125</v>
      </c>
      <c r="AH149" s="1668">
        <f t="shared" si="88"/>
        <v>0</v>
      </c>
      <c r="AI149" s="1666">
        <f t="shared" si="81"/>
        <v>0</v>
      </c>
      <c r="AJ149" s="1670">
        <f t="shared" si="91"/>
        <v>0</v>
      </c>
      <c r="AK149" s="1668">
        <f t="shared" si="76"/>
        <v>0</v>
      </c>
    </row>
    <row r="150" spans="2:37" ht="20.100000000000001" customHeight="1" x14ac:dyDescent="0.3">
      <c r="B150" s="783"/>
      <c r="C150" s="784"/>
      <c r="D150" s="784"/>
      <c r="E150" s="784"/>
      <c r="F150" s="784"/>
      <c r="G150" s="784"/>
      <c r="H150" s="772"/>
      <c r="I150" s="1664">
        <f t="shared" si="67"/>
        <v>126</v>
      </c>
      <c r="J150" s="1668">
        <f t="shared" si="57"/>
        <v>0</v>
      </c>
      <c r="K150" s="1666">
        <f t="shared" si="77"/>
        <v>0</v>
      </c>
      <c r="L150" s="1670">
        <f t="shared" si="84"/>
        <v>0</v>
      </c>
      <c r="M150" s="1668">
        <f t="shared" si="68"/>
        <v>0</v>
      </c>
      <c r="N150" s="772"/>
      <c r="O150" s="1664">
        <f t="shared" si="69"/>
        <v>126</v>
      </c>
      <c r="P150" s="1668">
        <f t="shared" si="58"/>
        <v>0</v>
      </c>
      <c r="Q150" s="1666">
        <f t="shared" si="78"/>
        <v>0</v>
      </c>
      <c r="R150" s="1670">
        <f t="shared" si="85"/>
        <v>0</v>
      </c>
      <c r="S150" s="1668">
        <f t="shared" si="70"/>
        <v>0</v>
      </c>
      <c r="T150" s="772"/>
      <c r="U150" s="1664">
        <f t="shared" si="71"/>
        <v>126</v>
      </c>
      <c r="V150" s="1668">
        <f t="shared" si="86"/>
        <v>0</v>
      </c>
      <c r="W150" s="1666">
        <f t="shared" si="79"/>
        <v>0</v>
      </c>
      <c r="X150" s="1670">
        <f t="shared" si="89"/>
        <v>0</v>
      </c>
      <c r="Y150" s="1668">
        <f t="shared" si="72"/>
        <v>0</v>
      </c>
      <c r="Z150" s="772"/>
      <c r="AA150" s="1664">
        <f t="shared" si="73"/>
        <v>126</v>
      </c>
      <c r="AB150" s="1668">
        <f t="shared" si="87"/>
        <v>0</v>
      </c>
      <c r="AC150" s="1666">
        <f t="shared" si="80"/>
        <v>0</v>
      </c>
      <c r="AD150" s="1670">
        <f t="shared" si="90"/>
        <v>0</v>
      </c>
      <c r="AE150" s="1668">
        <f t="shared" si="74"/>
        <v>0</v>
      </c>
      <c r="AF150" s="772"/>
      <c r="AG150" s="1664">
        <f t="shared" si="75"/>
        <v>126</v>
      </c>
      <c r="AH150" s="1668">
        <f t="shared" si="88"/>
        <v>0</v>
      </c>
      <c r="AI150" s="1666">
        <f t="shared" si="81"/>
        <v>0</v>
      </c>
      <c r="AJ150" s="1670">
        <f t="shared" si="91"/>
        <v>0</v>
      </c>
      <c r="AK150" s="1668">
        <f t="shared" si="76"/>
        <v>0</v>
      </c>
    </row>
    <row r="151" spans="2:37" ht="20.100000000000001" customHeight="1" x14ac:dyDescent="0.3">
      <c r="B151" s="783"/>
      <c r="C151" s="784"/>
      <c r="D151" s="784"/>
      <c r="E151" s="784"/>
      <c r="F151" s="784"/>
      <c r="G151" s="784"/>
      <c r="H151" s="772"/>
      <c r="I151" s="1664">
        <f t="shared" si="67"/>
        <v>127</v>
      </c>
      <c r="J151" s="1668">
        <f t="shared" si="57"/>
        <v>0</v>
      </c>
      <c r="K151" s="1666">
        <f t="shared" si="77"/>
        <v>0</v>
      </c>
      <c r="L151" s="1670">
        <f t="shared" si="84"/>
        <v>0</v>
      </c>
      <c r="M151" s="1668">
        <f t="shared" si="68"/>
        <v>0</v>
      </c>
      <c r="N151" s="772"/>
      <c r="O151" s="1664">
        <f t="shared" si="69"/>
        <v>127</v>
      </c>
      <c r="P151" s="1668">
        <f t="shared" si="58"/>
        <v>0</v>
      </c>
      <c r="Q151" s="1666">
        <f t="shared" si="78"/>
        <v>0</v>
      </c>
      <c r="R151" s="1670">
        <f t="shared" si="85"/>
        <v>0</v>
      </c>
      <c r="S151" s="1668">
        <f t="shared" si="70"/>
        <v>0</v>
      </c>
      <c r="T151" s="772"/>
      <c r="U151" s="1664">
        <f t="shared" si="71"/>
        <v>127</v>
      </c>
      <c r="V151" s="1668">
        <f t="shared" si="86"/>
        <v>0</v>
      </c>
      <c r="W151" s="1666">
        <f t="shared" si="79"/>
        <v>0</v>
      </c>
      <c r="X151" s="1670">
        <f t="shared" si="89"/>
        <v>0</v>
      </c>
      <c r="Y151" s="1668">
        <f t="shared" si="72"/>
        <v>0</v>
      </c>
      <c r="Z151" s="772"/>
      <c r="AA151" s="1664">
        <f t="shared" si="73"/>
        <v>127</v>
      </c>
      <c r="AB151" s="1668">
        <f t="shared" si="87"/>
        <v>0</v>
      </c>
      <c r="AC151" s="1666">
        <f t="shared" si="80"/>
        <v>0</v>
      </c>
      <c r="AD151" s="1670">
        <f t="shared" si="90"/>
        <v>0</v>
      </c>
      <c r="AE151" s="1668">
        <f t="shared" si="74"/>
        <v>0</v>
      </c>
      <c r="AF151" s="772"/>
      <c r="AG151" s="1664">
        <f t="shared" si="75"/>
        <v>127</v>
      </c>
      <c r="AH151" s="1668">
        <f t="shared" si="88"/>
        <v>0</v>
      </c>
      <c r="AI151" s="1666">
        <f t="shared" si="81"/>
        <v>0</v>
      </c>
      <c r="AJ151" s="1670">
        <f t="shared" si="91"/>
        <v>0</v>
      </c>
      <c r="AK151" s="1668">
        <f t="shared" si="76"/>
        <v>0</v>
      </c>
    </row>
    <row r="152" spans="2:37" ht="20.100000000000001" customHeight="1" x14ac:dyDescent="0.3">
      <c r="B152" s="783"/>
      <c r="C152" s="784"/>
      <c r="D152" s="784"/>
      <c r="E152" s="784"/>
      <c r="F152" s="784"/>
      <c r="G152" s="784"/>
      <c r="H152" s="772"/>
      <c r="I152" s="1664">
        <f t="shared" si="67"/>
        <v>128</v>
      </c>
      <c r="J152" s="1668">
        <f t="shared" si="57"/>
        <v>0</v>
      </c>
      <c r="K152" s="1666">
        <f t="shared" si="77"/>
        <v>0</v>
      </c>
      <c r="L152" s="1670">
        <f t="shared" si="84"/>
        <v>0</v>
      </c>
      <c r="M152" s="1668">
        <f t="shared" si="68"/>
        <v>0</v>
      </c>
      <c r="N152" s="772"/>
      <c r="O152" s="1664">
        <f t="shared" si="69"/>
        <v>128</v>
      </c>
      <c r="P152" s="1668">
        <f t="shared" si="58"/>
        <v>0</v>
      </c>
      <c r="Q152" s="1666">
        <f t="shared" si="78"/>
        <v>0</v>
      </c>
      <c r="R152" s="1670">
        <f t="shared" si="85"/>
        <v>0</v>
      </c>
      <c r="S152" s="1668">
        <f t="shared" si="70"/>
        <v>0</v>
      </c>
      <c r="T152" s="772"/>
      <c r="U152" s="1664">
        <f t="shared" si="71"/>
        <v>128</v>
      </c>
      <c r="V152" s="1668">
        <f t="shared" si="86"/>
        <v>0</v>
      </c>
      <c r="W152" s="1666">
        <f t="shared" si="79"/>
        <v>0</v>
      </c>
      <c r="X152" s="1670">
        <f t="shared" si="89"/>
        <v>0</v>
      </c>
      <c r="Y152" s="1668">
        <f t="shared" si="72"/>
        <v>0</v>
      </c>
      <c r="Z152" s="772"/>
      <c r="AA152" s="1664">
        <f t="shared" si="73"/>
        <v>128</v>
      </c>
      <c r="AB152" s="1668">
        <f t="shared" si="87"/>
        <v>0</v>
      </c>
      <c r="AC152" s="1666">
        <f t="shared" si="80"/>
        <v>0</v>
      </c>
      <c r="AD152" s="1670">
        <f t="shared" si="90"/>
        <v>0</v>
      </c>
      <c r="AE152" s="1668">
        <f t="shared" si="74"/>
        <v>0</v>
      </c>
      <c r="AF152" s="772"/>
      <c r="AG152" s="1664">
        <f t="shared" si="75"/>
        <v>128</v>
      </c>
      <c r="AH152" s="1668">
        <f t="shared" si="88"/>
        <v>0</v>
      </c>
      <c r="AI152" s="1666">
        <f t="shared" si="81"/>
        <v>0</v>
      </c>
      <c r="AJ152" s="1670">
        <f t="shared" si="91"/>
        <v>0</v>
      </c>
      <c r="AK152" s="1668">
        <f t="shared" si="76"/>
        <v>0</v>
      </c>
    </row>
    <row r="153" spans="2:37" ht="20.100000000000001" customHeight="1" x14ac:dyDescent="0.3">
      <c r="B153" s="783"/>
      <c r="C153" s="784"/>
      <c r="D153" s="784"/>
      <c r="E153" s="784"/>
      <c r="F153" s="784"/>
      <c r="G153" s="784"/>
      <c r="H153" s="772"/>
      <c r="I153" s="1664">
        <f t="shared" si="67"/>
        <v>129</v>
      </c>
      <c r="J153" s="1668">
        <f t="shared" si="57"/>
        <v>0</v>
      </c>
      <c r="K153" s="1666">
        <f t="shared" si="77"/>
        <v>0</v>
      </c>
      <c r="L153" s="1670">
        <f t="shared" si="84"/>
        <v>0</v>
      </c>
      <c r="M153" s="1668">
        <f t="shared" si="68"/>
        <v>0</v>
      </c>
      <c r="N153" s="772"/>
      <c r="O153" s="1664">
        <f t="shared" si="69"/>
        <v>129</v>
      </c>
      <c r="P153" s="1668">
        <f t="shared" si="58"/>
        <v>0</v>
      </c>
      <c r="Q153" s="1666">
        <f t="shared" si="78"/>
        <v>0</v>
      </c>
      <c r="R153" s="1670">
        <f t="shared" si="85"/>
        <v>0</v>
      </c>
      <c r="S153" s="1668">
        <f t="shared" si="70"/>
        <v>0</v>
      </c>
      <c r="T153" s="772"/>
      <c r="U153" s="1664">
        <f t="shared" si="71"/>
        <v>129</v>
      </c>
      <c r="V153" s="1668">
        <f t="shared" ref="V153:V184" si="92">ROUND(IF(U153&gt;annuité_emprunt3,0,IF(U153&gt;différé_emprunt3,-PMT((taux_emprunt3/périodicité_emprunt3),(annuité_emprunt3-différé_emprunt3),emprunt3),emprunt3*taux_emprunt3/périodicité_emprunt3)),2)</f>
        <v>0</v>
      </c>
      <c r="W153" s="1666">
        <f t="shared" si="79"/>
        <v>0</v>
      </c>
      <c r="X153" s="1670">
        <f t="shared" si="89"/>
        <v>0</v>
      </c>
      <c r="Y153" s="1668">
        <f t="shared" si="72"/>
        <v>0</v>
      </c>
      <c r="Z153" s="772"/>
      <c r="AA153" s="1664">
        <f t="shared" si="73"/>
        <v>129</v>
      </c>
      <c r="AB153" s="1668">
        <f t="shared" ref="AB153:AB184" si="93">ROUND(IF(AA153&gt;annuité_emprunt4,0,IF(AA153&gt;différé_emprunt4,-PMT((taux_emprunt4/périodicité_emprunt4),(annuité_emprunt4-différé_emprunt4),emprunt4),emprunt4*taux_emprunt4/périodicité_emprunt4)),2)</f>
        <v>0</v>
      </c>
      <c r="AC153" s="1666">
        <f t="shared" si="80"/>
        <v>0</v>
      </c>
      <c r="AD153" s="1670">
        <f t="shared" si="90"/>
        <v>0</v>
      </c>
      <c r="AE153" s="1668">
        <f t="shared" si="74"/>
        <v>0</v>
      </c>
      <c r="AF153" s="772"/>
      <c r="AG153" s="1664">
        <f t="shared" si="75"/>
        <v>129</v>
      </c>
      <c r="AH153" s="1668">
        <f t="shared" ref="AH153:AH184" si="94">ROUND(IF(AG153&gt;annuité_emprunt5,0,IF(AG153&gt;différé_emprunt5,-PMT((taux_emprunt5/périodicité_emprunt5),(annuité_emprunt5-différé_emprunt5),emprunt5),emprunt5*taux_emprunt5/périodicité_emprunt5)),2)</f>
        <v>0</v>
      </c>
      <c r="AI153" s="1666">
        <f t="shared" si="81"/>
        <v>0</v>
      </c>
      <c r="AJ153" s="1670">
        <f t="shared" si="91"/>
        <v>0</v>
      </c>
      <c r="AK153" s="1668">
        <f t="shared" si="76"/>
        <v>0</v>
      </c>
    </row>
    <row r="154" spans="2:37" ht="20.100000000000001" customHeight="1" x14ac:dyDescent="0.3">
      <c r="B154" s="783"/>
      <c r="C154" s="784"/>
      <c r="D154" s="784"/>
      <c r="E154" s="784"/>
      <c r="F154" s="784"/>
      <c r="G154" s="784"/>
      <c r="H154" s="772"/>
      <c r="I154" s="1664">
        <f t="shared" si="67"/>
        <v>130</v>
      </c>
      <c r="J154" s="1668">
        <f t="shared" si="57"/>
        <v>0</v>
      </c>
      <c r="K154" s="1666">
        <f t="shared" si="77"/>
        <v>0</v>
      </c>
      <c r="L154" s="1670">
        <f t="shared" si="84"/>
        <v>0</v>
      </c>
      <c r="M154" s="1668">
        <f t="shared" si="68"/>
        <v>0</v>
      </c>
      <c r="N154" s="772"/>
      <c r="O154" s="1664">
        <f t="shared" si="69"/>
        <v>130</v>
      </c>
      <c r="P154" s="1668">
        <f t="shared" si="58"/>
        <v>0</v>
      </c>
      <c r="Q154" s="1666">
        <f t="shared" si="78"/>
        <v>0</v>
      </c>
      <c r="R154" s="1670">
        <f t="shared" si="85"/>
        <v>0</v>
      </c>
      <c r="S154" s="1668">
        <f t="shared" si="70"/>
        <v>0</v>
      </c>
      <c r="T154" s="772"/>
      <c r="U154" s="1664">
        <f t="shared" si="71"/>
        <v>130</v>
      </c>
      <c r="V154" s="1668">
        <f t="shared" si="92"/>
        <v>0</v>
      </c>
      <c r="W154" s="1666">
        <f t="shared" si="79"/>
        <v>0</v>
      </c>
      <c r="X154" s="1670">
        <f t="shared" ref="X154:X185" si="95">ROUND(IF(V154=0,0,IF(U154=annuité_emprunt3,Y153,IF(U154&gt;différé_emprunt3,-PPMT((taux_emprunt3/périodicité_emprunt3),U154-différé_emprunt3,(annuité_emprunt3-différé_emprunt3),emprunt3),0))),2)</f>
        <v>0</v>
      </c>
      <c r="Y154" s="1668">
        <f t="shared" si="72"/>
        <v>0</v>
      </c>
      <c r="Z154" s="772"/>
      <c r="AA154" s="1664">
        <f t="shared" si="73"/>
        <v>130</v>
      </c>
      <c r="AB154" s="1668">
        <f t="shared" si="93"/>
        <v>0</v>
      </c>
      <c r="AC154" s="1666">
        <f t="shared" si="80"/>
        <v>0</v>
      </c>
      <c r="AD154" s="1670">
        <f t="shared" ref="AD154:AD185" si="96">ROUND(IF(AB154=0,0,IF(AA154=annuité_emprunt4,AE153,IF(AA154&gt;différé_emprunt4,-PPMT((taux_emprunt4/périodicité_emprunt4),AA154-différé_emprunt4,(annuité_emprunt4-différé_emprunt4),emprunt4),0))),2)</f>
        <v>0</v>
      </c>
      <c r="AE154" s="1668">
        <f t="shared" si="74"/>
        <v>0</v>
      </c>
      <c r="AF154" s="772"/>
      <c r="AG154" s="1664">
        <f t="shared" si="75"/>
        <v>130</v>
      </c>
      <c r="AH154" s="1668">
        <f t="shared" si="94"/>
        <v>0</v>
      </c>
      <c r="AI154" s="1666">
        <f t="shared" si="81"/>
        <v>0</v>
      </c>
      <c r="AJ154" s="1670">
        <f t="shared" ref="AJ154:AJ185" si="97">ROUND(IF(AH154=0,0,IF(AG154=annuité_emprunt5,AK153,IF(AG154&gt;différé_emprunt5,-PPMT((taux_emprunt5/périodicité_emprunt5),AG154-différé_emprunt5,(annuité_emprunt5-différé_emprunt5),emprunt5),0))),2)</f>
        <v>0</v>
      </c>
      <c r="AK154" s="1668">
        <f t="shared" si="76"/>
        <v>0</v>
      </c>
    </row>
    <row r="155" spans="2:37" ht="20.100000000000001" customHeight="1" x14ac:dyDescent="0.3">
      <c r="B155" s="783"/>
      <c r="C155" s="784"/>
      <c r="D155" s="784"/>
      <c r="E155" s="784"/>
      <c r="F155" s="784"/>
      <c r="G155" s="784"/>
      <c r="H155" s="772"/>
      <c r="I155" s="1664">
        <f t="shared" ref="I155:I204" si="98">1+I154</f>
        <v>131</v>
      </c>
      <c r="J155" s="1668">
        <f t="shared" si="57"/>
        <v>0</v>
      </c>
      <c r="K155" s="1666">
        <f t="shared" si="77"/>
        <v>0</v>
      </c>
      <c r="L155" s="1670">
        <f t="shared" si="84"/>
        <v>0</v>
      </c>
      <c r="M155" s="1668">
        <f t="shared" ref="M155:M204" si="99">M154-L155</f>
        <v>0</v>
      </c>
      <c r="N155" s="772"/>
      <c r="O155" s="1664">
        <f t="shared" ref="O155:O204" si="100">1+O154</f>
        <v>131</v>
      </c>
      <c r="P155" s="1668">
        <f t="shared" si="58"/>
        <v>0</v>
      </c>
      <c r="Q155" s="1666">
        <f t="shared" si="78"/>
        <v>0</v>
      </c>
      <c r="R155" s="1670">
        <f t="shared" si="85"/>
        <v>0</v>
      </c>
      <c r="S155" s="1668">
        <f t="shared" ref="S155:S204" si="101">S154-R155</f>
        <v>0</v>
      </c>
      <c r="T155" s="772"/>
      <c r="U155" s="1664">
        <f t="shared" ref="U155:U204" si="102">1+U154</f>
        <v>131</v>
      </c>
      <c r="V155" s="1668">
        <f t="shared" si="92"/>
        <v>0</v>
      </c>
      <c r="W155" s="1666">
        <f t="shared" si="79"/>
        <v>0</v>
      </c>
      <c r="X155" s="1670">
        <f t="shared" si="95"/>
        <v>0</v>
      </c>
      <c r="Y155" s="1668">
        <f t="shared" ref="Y155:Y204" si="103">Y154-X155</f>
        <v>0</v>
      </c>
      <c r="Z155" s="772"/>
      <c r="AA155" s="1664">
        <f t="shared" ref="AA155:AA204" si="104">1+AA154</f>
        <v>131</v>
      </c>
      <c r="AB155" s="1668">
        <f t="shared" si="93"/>
        <v>0</v>
      </c>
      <c r="AC155" s="1666">
        <f t="shared" si="80"/>
        <v>0</v>
      </c>
      <c r="AD155" s="1670">
        <f t="shared" si="96"/>
        <v>0</v>
      </c>
      <c r="AE155" s="1668">
        <f t="shared" ref="AE155:AE204" si="105">AE154-AD155</f>
        <v>0</v>
      </c>
      <c r="AF155" s="772"/>
      <c r="AG155" s="1664">
        <f t="shared" ref="AG155:AG204" si="106">1+AG154</f>
        <v>131</v>
      </c>
      <c r="AH155" s="1668">
        <f t="shared" si="94"/>
        <v>0</v>
      </c>
      <c r="AI155" s="1666">
        <f t="shared" si="81"/>
        <v>0</v>
      </c>
      <c r="AJ155" s="1670">
        <f t="shared" si="97"/>
        <v>0</v>
      </c>
      <c r="AK155" s="1668">
        <f t="shared" ref="AK155:AK204" si="107">AK154-AJ155</f>
        <v>0</v>
      </c>
    </row>
    <row r="156" spans="2:37" ht="20.100000000000001" customHeight="1" x14ac:dyDescent="0.3">
      <c r="B156" s="783"/>
      <c r="C156" s="784"/>
      <c r="D156" s="784"/>
      <c r="E156" s="784"/>
      <c r="F156" s="784"/>
      <c r="G156" s="784"/>
      <c r="H156" s="772"/>
      <c r="I156" s="1664">
        <f t="shared" si="98"/>
        <v>132</v>
      </c>
      <c r="J156" s="1668">
        <f t="shared" si="57"/>
        <v>0</v>
      </c>
      <c r="K156" s="1666">
        <f t="shared" ref="K156:K204" si="108">IF(J156=0,0,J156-L156)</f>
        <v>0</v>
      </c>
      <c r="L156" s="1670">
        <f t="shared" si="84"/>
        <v>0</v>
      </c>
      <c r="M156" s="1668">
        <f t="shared" si="99"/>
        <v>0</v>
      </c>
      <c r="N156" s="772"/>
      <c r="O156" s="1664">
        <f t="shared" si="100"/>
        <v>132</v>
      </c>
      <c r="P156" s="1668">
        <f t="shared" si="58"/>
        <v>0</v>
      </c>
      <c r="Q156" s="1666">
        <f t="shared" ref="Q156:Q204" si="109">IF(P156=0,0,P156-R156)</f>
        <v>0</v>
      </c>
      <c r="R156" s="1670">
        <f t="shared" si="85"/>
        <v>0</v>
      </c>
      <c r="S156" s="1668">
        <f t="shared" si="101"/>
        <v>0</v>
      </c>
      <c r="T156" s="772"/>
      <c r="U156" s="1664">
        <f t="shared" si="102"/>
        <v>132</v>
      </c>
      <c r="V156" s="1668">
        <f t="shared" si="92"/>
        <v>0</v>
      </c>
      <c r="W156" s="1666">
        <f t="shared" ref="W156:W204" si="110">IF(V156=0,0,V156-X156)</f>
        <v>0</v>
      </c>
      <c r="X156" s="1670">
        <f t="shared" si="95"/>
        <v>0</v>
      </c>
      <c r="Y156" s="1668">
        <f t="shared" si="103"/>
        <v>0</v>
      </c>
      <c r="Z156" s="772"/>
      <c r="AA156" s="1664">
        <f t="shared" si="104"/>
        <v>132</v>
      </c>
      <c r="AB156" s="1668">
        <f t="shared" si="93"/>
        <v>0</v>
      </c>
      <c r="AC156" s="1666">
        <f t="shared" ref="AC156:AC204" si="111">IF(AB156=0,0,AB156-AD156)</f>
        <v>0</v>
      </c>
      <c r="AD156" s="1670">
        <f t="shared" si="96"/>
        <v>0</v>
      </c>
      <c r="AE156" s="1668">
        <f t="shared" si="105"/>
        <v>0</v>
      </c>
      <c r="AF156" s="772"/>
      <c r="AG156" s="1664">
        <f t="shared" si="106"/>
        <v>132</v>
      </c>
      <c r="AH156" s="1668">
        <f t="shared" si="94"/>
        <v>0</v>
      </c>
      <c r="AI156" s="1666">
        <f t="shared" ref="AI156:AI204" si="112">IF(AH156=0,0,AH156-AJ156)</f>
        <v>0</v>
      </c>
      <c r="AJ156" s="1670">
        <f t="shared" si="97"/>
        <v>0</v>
      </c>
      <c r="AK156" s="1668">
        <f t="shared" si="107"/>
        <v>0</v>
      </c>
    </row>
    <row r="157" spans="2:37" ht="20.100000000000001" customHeight="1" x14ac:dyDescent="0.3">
      <c r="B157" s="783"/>
      <c r="C157" s="784"/>
      <c r="D157" s="784"/>
      <c r="E157" s="784"/>
      <c r="F157" s="784"/>
      <c r="G157" s="784"/>
      <c r="H157" s="772"/>
      <c r="I157" s="1664">
        <f t="shared" si="98"/>
        <v>133</v>
      </c>
      <c r="J157" s="1668">
        <f t="shared" ref="J157:J204" si="113">ROUND(IF(I157&gt;annuité_emprunt1,0,IF(I157&gt;différé_emprunt1,-PMT((taux_emprunt1/périodicité_emprunt1),(annuité_emprunt1-différé_emprunt1),emprunt1),emprunt1*taux_emprunt1/périodicité_emprunt1)),2)</f>
        <v>0</v>
      </c>
      <c r="K157" s="1666">
        <f t="shared" si="108"/>
        <v>0</v>
      </c>
      <c r="L157" s="1670">
        <f t="shared" si="84"/>
        <v>0</v>
      </c>
      <c r="M157" s="1668">
        <f t="shared" si="99"/>
        <v>0</v>
      </c>
      <c r="N157" s="772"/>
      <c r="O157" s="1664">
        <f t="shared" si="100"/>
        <v>133</v>
      </c>
      <c r="P157" s="1668">
        <f t="shared" ref="P157:P204" si="114">ROUND(IF(O157&gt;annuité_emprunt2,0,IF(O157&gt;différé_emprunt2,-PMT((taux_emprunt2/périodicité_emprunt2),(annuité_emprunt2-différé_emprunt2),emprunt2),emprunt2*taux_emprunt2/périodicité_emprunt2)),2)</f>
        <v>0</v>
      </c>
      <c r="Q157" s="1666">
        <f t="shared" si="109"/>
        <v>0</v>
      </c>
      <c r="R157" s="1670">
        <f t="shared" si="85"/>
        <v>0</v>
      </c>
      <c r="S157" s="1668">
        <f t="shared" si="101"/>
        <v>0</v>
      </c>
      <c r="T157" s="772"/>
      <c r="U157" s="1664">
        <f t="shared" si="102"/>
        <v>133</v>
      </c>
      <c r="V157" s="1668">
        <f t="shared" si="92"/>
        <v>0</v>
      </c>
      <c r="W157" s="1666">
        <f t="shared" si="110"/>
        <v>0</v>
      </c>
      <c r="X157" s="1670">
        <f t="shared" si="95"/>
        <v>0</v>
      </c>
      <c r="Y157" s="1668">
        <f t="shared" si="103"/>
        <v>0</v>
      </c>
      <c r="Z157" s="772"/>
      <c r="AA157" s="1664">
        <f t="shared" si="104"/>
        <v>133</v>
      </c>
      <c r="AB157" s="1668">
        <f t="shared" si="93"/>
        <v>0</v>
      </c>
      <c r="AC157" s="1666">
        <f t="shared" si="111"/>
        <v>0</v>
      </c>
      <c r="AD157" s="1670">
        <f t="shared" si="96"/>
        <v>0</v>
      </c>
      <c r="AE157" s="1668">
        <f t="shared" si="105"/>
        <v>0</v>
      </c>
      <c r="AF157" s="772"/>
      <c r="AG157" s="1664">
        <f t="shared" si="106"/>
        <v>133</v>
      </c>
      <c r="AH157" s="1668">
        <f t="shared" si="94"/>
        <v>0</v>
      </c>
      <c r="AI157" s="1666">
        <f t="shared" si="112"/>
        <v>0</v>
      </c>
      <c r="AJ157" s="1670">
        <f t="shared" si="97"/>
        <v>0</v>
      </c>
      <c r="AK157" s="1668">
        <f t="shared" si="107"/>
        <v>0</v>
      </c>
    </row>
    <row r="158" spans="2:37" ht="20.100000000000001" customHeight="1" x14ac:dyDescent="0.3">
      <c r="B158" s="783"/>
      <c r="C158" s="784"/>
      <c r="D158" s="784"/>
      <c r="E158" s="784"/>
      <c r="F158" s="784"/>
      <c r="G158" s="784"/>
      <c r="H158" s="772"/>
      <c r="I158" s="1664">
        <f t="shared" si="98"/>
        <v>134</v>
      </c>
      <c r="J158" s="1668">
        <f t="shared" si="113"/>
        <v>0</v>
      </c>
      <c r="K158" s="1666">
        <f t="shared" si="108"/>
        <v>0</v>
      </c>
      <c r="L158" s="1670">
        <f t="shared" si="84"/>
        <v>0</v>
      </c>
      <c r="M158" s="1668">
        <f t="shared" si="99"/>
        <v>0</v>
      </c>
      <c r="N158" s="772"/>
      <c r="O158" s="1664">
        <f t="shared" si="100"/>
        <v>134</v>
      </c>
      <c r="P158" s="1668">
        <f t="shared" si="114"/>
        <v>0</v>
      </c>
      <c r="Q158" s="1666">
        <f t="shared" si="109"/>
        <v>0</v>
      </c>
      <c r="R158" s="1670">
        <f t="shared" si="85"/>
        <v>0</v>
      </c>
      <c r="S158" s="1668">
        <f t="shared" si="101"/>
        <v>0</v>
      </c>
      <c r="T158" s="772"/>
      <c r="U158" s="1664">
        <f t="shared" si="102"/>
        <v>134</v>
      </c>
      <c r="V158" s="1668">
        <f t="shared" si="92"/>
        <v>0</v>
      </c>
      <c r="W158" s="1666">
        <f t="shared" si="110"/>
        <v>0</v>
      </c>
      <c r="X158" s="1670">
        <f t="shared" si="95"/>
        <v>0</v>
      </c>
      <c r="Y158" s="1668">
        <f t="shared" si="103"/>
        <v>0</v>
      </c>
      <c r="Z158" s="772"/>
      <c r="AA158" s="1664">
        <f t="shared" si="104"/>
        <v>134</v>
      </c>
      <c r="AB158" s="1668">
        <f t="shared" si="93"/>
        <v>0</v>
      </c>
      <c r="AC158" s="1666">
        <f t="shared" si="111"/>
        <v>0</v>
      </c>
      <c r="AD158" s="1670">
        <f t="shared" si="96"/>
        <v>0</v>
      </c>
      <c r="AE158" s="1668">
        <f t="shared" si="105"/>
        <v>0</v>
      </c>
      <c r="AF158" s="772"/>
      <c r="AG158" s="1664">
        <f t="shared" si="106"/>
        <v>134</v>
      </c>
      <c r="AH158" s="1668">
        <f t="shared" si="94"/>
        <v>0</v>
      </c>
      <c r="AI158" s="1666">
        <f t="shared" si="112"/>
        <v>0</v>
      </c>
      <c r="AJ158" s="1670">
        <f t="shared" si="97"/>
        <v>0</v>
      </c>
      <c r="AK158" s="1668">
        <f t="shared" si="107"/>
        <v>0</v>
      </c>
    </row>
    <row r="159" spans="2:37" ht="20.100000000000001" customHeight="1" x14ac:dyDescent="0.3">
      <c r="B159" s="783"/>
      <c r="C159" s="784"/>
      <c r="D159" s="784"/>
      <c r="E159" s="784"/>
      <c r="F159" s="784"/>
      <c r="G159" s="784"/>
      <c r="H159" s="772"/>
      <c r="I159" s="1664">
        <f t="shared" si="98"/>
        <v>135</v>
      </c>
      <c r="J159" s="1668">
        <f t="shared" si="113"/>
        <v>0</v>
      </c>
      <c r="K159" s="1666">
        <f t="shared" si="108"/>
        <v>0</v>
      </c>
      <c r="L159" s="1670">
        <f t="shared" si="84"/>
        <v>0</v>
      </c>
      <c r="M159" s="1668">
        <f t="shared" si="99"/>
        <v>0</v>
      </c>
      <c r="N159" s="772"/>
      <c r="O159" s="1664">
        <f t="shared" si="100"/>
        <v>135</v>
      </c>
      <c r="P159" s="1668">
        <f t="shared" si="114"/>
        <v>0</v>
      </c>
      <c r="Q159" s="1666">
        <f t="shared" si="109"/>
        <v>0</v>
      </c>
      <c r="R159" s="1670">
        <f t="shared" si="85"/>
        <v>0</v>
      </c>
      <c r="S159" s="1668">
        <f t="shared" si="101"/>
        <v>0</v>
      </c>
      <c r="T159" s="772"/>
      <c r="U159" s="1664">
        <f t="shared" si="102"/>
        <v>135</v>
      </c>
      <c r="V159" s="1668">
        <f t="shared" si="92"/>
        <v>0</v>
      </c>
      <c r="W159" s="1666">
        <f t="shared" si="110"/>
        <v>0</v>
      </c>
      <c r="X159" s="1670">
        <f t="shared" si="95"/>
        <v>0</v>
      </c>
      <c r="Y159" s="1668">
        <f t="shared" si="103"/>
        <v>0</v>
      </c>
      <c r="Z159" s="772"/>
      <c r="AA159" s="1664">
        <f t="shared" si="104"/>
        <v>135</v>
      </c>
      <c r="AB159" s="1668">
        <f t="shared" si="93"/>
        <v>0</v>
      </c>
      <c r="AC159" s="1666">
        <f t="shared" si="111"/>
        <v>0</v>
      </c>
      <c r="AD159" s="1670">
        <f t="shared" si="96"/>
        <v>0</v>
      </c>
      <c r="AE159" s="1668">
        <f t="shared" si="105"/>
        <v>0</v>
      </c>
      <c r="AF159" s="772"/>
      <c r="AG159" s="1664">
        <f t="shared" si="106"/>
        <v>135</v>
      </c>
      <c r="AH159" s="1668">
        <f t="shared" si="94"/>
        <v>0</v>
      </c>
      <c r="AI159" s="1666">
        <f t="shared" si="112"/>
        <v>0</v>
      </c>
      <c r="AJ159" s="1670">
        <f t="shared" si="97"/>
        <v>0</v>
      </c>
      <c r="AK159" s="1668">
        <f t="shared" si="107"/>
        <v>0</v>
      </c>
    </row>
    <row r="160" spans="2:37" ht="20.100000000000001" customHeight="1" x14ac:dyDescent="0.3">
      <c r="B160" s="783"/>
      <c r="C160" s="784"/>
      <c r="D160" s="784"/>
      <c r="E160" s="784"/>
      <c r="F160" s="784"/>
      <c r="G160" s="784"/>
      <c r="H160" s="772"/>
      <c r="I160" s="1664">
        <f t="shared" si="98"/>
        <v>136</v>
      </c>
      <c r="J160" s="1668">
        <f t="shared" si="113"/>
        <v>0</v>
      </c>
      <c r="K160" s="1666">
        <f t="shared" si="108"/>
        <v>0</v>
      </c>
      <c r="L160" s="1670">
        <f t="shared" si="84"/>
        <v>0</v>
      </c>
      <c r="M160" s="1668">
        <f t="shared" si="99"/>
        <v>0</v>
      </c>
      <c r="N160" s="772"/>
      <c r="O160" s="1664">
        <f t="shared" si="100"/>
        <v>136</v>
      </c>
      <c r="P160" s="1668">
        <f t="shared" si="114"/>
        <v>0</v>
      </c>
      <c r="Q160" s="1666">
        <f t="shared" si="109"/>
        <v>0</v>
      </c>
      <c r="R160" s="1670">
        <f t="shared" si="85"/>
        <v>0</v>
      </c>
      <c r="S160" s="1668">
        <f t="shared" si="101"/>
        <v>0</v>
      </c>
      <c r="T160" s="772"/>
      <c r="U160" s="1664">
        <f t="shared" si="102"/>
        <v>136</v>
      </c>
      <c r="V160" s="1668">
        <f t="shared" si="92"/>
        <v>0</v>
      </c>
      <c r="W160" s="1666">
        <f t="shared" si="110"/>
        <v>0</v>
      </c>
      <c r="X160" s="1670">
        <f t="shared" si="95"/>
        <v>0</v>
      </c>
      <c r="Y160" s="1668">
        <f t="shared" si="103"/>
        <v>0</v>
      </c>
      <c r="Z160" s="772"/>
      <c r="AA160" s="1664">
        <f t="shared" si="104"/>
        <v>136</v>
      </c>
      <c r="AB160" s="1668">
        <f t="shared" si="93"/>
        <v>0</v>
      </c>
      <c r="AC160" s="1666">
        <f t="shared" si="111"/>
        <v>0</v>
      </c>
      <c r="AD160" s="1670">
        <f t="shared" si="96"/>
        <v>0</v>
      </c>
      <c r="AE160" s="1668">
        <f t="shared" si="105"/>
        <v>0</v>
      </c>
      <c r="AF160" s="772"/>
      <c r="AG160" s="1664">
        <f t="shared" si="106"/>
        <v>136</v>
      </c>
      <c r="AH160" s="1668">
        <f t="shared" si="94"/>
        <v>0</v>
      </c>
      <c r="AI160" s="1666">
        <f t="shared" si="112"/>
        <v>0</v>
      </c>
      <c r="AJ160" s="1670">
        <f t="shared" si="97"/>
        <v>0</v>
      </c>
      <c r="AK160" s="1668">
        <f t="shared" si="107"/>
        <v>0</v>
      </c>
    </row>
    <row r="161" spans="2:37" ht="20.100000000000001" customHeight="1" x14ac:dyDescent="0.3">
      <c r="B161" s="783"/>
      <c r="C161" s="784"/>
      <c r="D161" s="784"/>
      <c r="E161" s="784"/>
      <c r="F161" s="784"/>
      <c r="G161" s="784"/>
      <c r="H161" s="772"/>
      <c r="I161" s="1664">
        <f t="shared" si="98"/>
        <v>137</v>
      </c>
      <c r="J161" s="1668">
        <f t="shared" si="113"/>
        <v>0</v>
      </c>
      <c r="K161" s="1666">
        <f t="shared" si="108"/>
        <v>0</v>
      </c>
      <c r="L161" s="1670">
        <f t="shared" si="84"/>
        <v>0</v>
      </c>
      <c r="M161" s="1668">
        <f t="shared" si="99"/>
        <v>0</v>
      </c>
      <c r="N161" s="772"/>
      <c r="O161" s="1664">
        <f t="shared" si="100"/>
        <v>137</v>
      </c>
      <c r="P161" s="1668">
        <f t="shared" si="114"/>
        <v>0</v>
      </c>
      <c r="Q161" s="1666">
        <f t="shared" si="109"/>
        <v>0</v>
      </c>
      <c r="R161" s="1670">
        <f t="shared" si="85"/>
        <v>0</v>
      </c>
      <c r="S161" s="1668">
        <f t="shared" si="101"/>
        <v>0</v>
      </c>
      <c r="T161" s="772"/>
      <c r="U161" s="1664">
        <f t="shared" si="102"/>
        <v>137</v>
      </c>
      <c r="V161" s="1668">
        <f t="shared" si="92"/>
        <v>0</v>
      </c>
      <c r="W161" s="1666">
        <f t="shared" si="110"/>
        <v>0</v>
      </c>
      <c r="X161" s="1670">
        <f t="shared" si="95"/>
        <v>0</v>
      </c>
      <c r="Y161" s="1668">
        <f t="shared" si="103"/>
        <v>0</v>
      </c>
      <c r="Z161" s="772"/>
      <c r="AA161" s="1664">
        <f t="shared" si="104"/>
        <v>137</v>
      </c>
      <c r="AB161" s="1668">
        <f t="shared" si="93"/>
        <v>0</v>
      </c>
      <c r="AC161" s="1666">
        <f t="shared" si="111"/>
        <v>0</v>
      </c>
      <c r="AD161" s="1670">
        <f t="shared" si="96"/>
        <v>0</v>
      </c>
      <c r="AE161" s="1668">
        <f t="shared" si="105"/>
        <v>0</v>
      </c>
      <c r="AF161" s="772"/>
      <c r="AG161" s="1664">
        <f t="shared" si="106"/>
        <v>137</v>
      </c>
      <c r="AH161" s="1668">
        <f t="shared" si="94"/>
        <v>0</v>
      </c>
      <c r="AI161" s="1666">
        <f t="shared" si="112"/>
        <v>0</v>
      </c>
      <c r="AJ161" s="1670">
        <f t="shared" si="97"/>
        <v>0</v>
      </c>
      <c r="AK161" s="1668">
        <f t="shared" si="107"/>
        <v>0</v>
      </c>
    </row>
    <row r="162" spans="2:37" ht="20.100000000000001" customHeight="1" x14ac:dyDescent="0.3">
      <c r="B162" s="783"/>
      <c r="C162" s="784"/>
      <c r="D162" s="784"/>
      <c r="E162" s="784"/>
      <c r="F162" s="784"/>
      <c r="G162" s="784"/>
      <c r="H162" s="772"/>
      <c r="I162" s="1664">
        <f t="shared" si="98"/>
        <v>138</v>
      </c>
      <c r="J162" s="1668">
        <f t="shared" si="113"/>
        <v>0</v>
      </c>
      <c r="K162" s="1666">
        <f t="shared" si="108"/>
        <v>0</v>
      </c>
      <c r="L162" s="1670">
        <f t="shared" si="84"/>
        <v>0</v>
      </c>
      <c r="M162" s="1668">
        <f t="shared" si="99"/>
        <v>0</v>
      </c>
      <c r="N162" s="772"/>
      <c r="O162" s="1664">
        <f t="shared" si="100"/>
        <v>138</v>
      </c>
      <c r="P162" s="1668">
        <f t="shared" si="114"/>
        <v>0</v>
      </c>
      <c r="Q162" s="1666">
        <f t="shared" si="109"/>
        <v>0</v>
      </c>
      <c r="R162" s="1670">
        <f t="shared" si="85"/>
        <v>0</v>
      </c>
      <c r="S162" s="1668">
        <f t="shared" si="101"/>
        <v>0</v>
      </c>
      <c r="T162" s="772"/>
      <c r="U162" s="1664">
        <f t="shared" si="102"/>
        <v>138</v>
      </c>
      <c r="V162" s="1668">
        <f t="shared" si="92"/>
        <v>0</v>
      </c>
      <c r="W162" s="1666">
        <f t="shared" si="110"/>
        <v>0</v>
      </c>
      <c r="X162" s="1670">
        <f t="shared" si="95"/>
        <v>0</v>
      </c>
      <c r="Y162" s="1668">
        <f t="shared" si="103"/>
        <v>0</v>
      </c>
      <c r="Z162" s="772"/>
      <c r="AA162" s="1664">
        <f t="shared" si="104"/>
        <v>138</v>
      </c>
      <c r="AB162" s="1668">
        <f t="shared" si="93"/>
        <v>0</v>
      </c>
      <c r="AC162" s="1666">
        <f t="shared" si="111"/>
        <v>0</v>
      </c>
      <c r="AD162" s="1670">
        <f t="shared" si="96"/>
        <v>0</v>
      </c>
      <c r="AE162" s="1668">
        <f t="shared" si="105"/>
        <v>0</v>
      </c>
      <c r="AF162" s="772"/>
      <c r="AG162" s="1664">
        <f t="shared" si="106"/>
        <v>138</v>
      </c>
      <c r="AH162" s="1668">
        <f t="shared" si="94"/>
        <v>0</v>
      </c>
      <c r="AI162" s="1666">
        <f t="shared" si="112"/>
        <v>0</v>
      </c>
      <c r="AJ162" s="1670">
        <f t="shared" si="97"/>
        <v>0</v>
      </c>
      <c r="AK162" s="1668">
        <f t="shared" si="107"/>
        <v>0</v>
      </c>
    </row>
    <row r="163" spans="2:37" ht="20.100000000000001" customHeight="1" x14ac:dyDescent="0.3">
      <c r="B163" s="783"/>
      <c r="C163" s="784"/>
      <c r="D163" s="784"/>
      <c r="E163" s="784"/>
      <c r="F163" s="784"/>
      <c r="G163" s="784"/>
      <c r="H163" s="772"/>
      <c r="I163" s="1664">
        <f t="shared" si="98"/>
        <v>139</v>
      </c>
      <c r="J163" s="1668">
        <f t="shared" si="113"/>
        <v>0</v>
      </c>
      <c r="K163" s="1666">
        <f t="shared" si="108"/>
        <v>0</v>
      </c>
      <c r="L163" s="1670">
        <f t="shared" si="84"/>
        <v>0</v>
      </c>
      <c r="M163" s="1668">
        <f t="shared" si="99"/>
        <v>0</v>
      </c>
      <c r="N163" s="772"/>
      <c r="O163" s="1664">
        <f t="shared" si="100"/>
        <v>139</v>
      </c>
      <c r="P163" s="1668">
        <f t="shared" si="114"/>
        <v>0</v>
      </c>
      <c r="Q163" s="1666">
        <f t="shared" si="109"/>
        <v>0</v>
      </c>
      <c r="R163" s="1670">
        <f t="shared" si="85"/>
        <v>0</v>
      </c>
      <c r="S163" s="1668">
        <f t="shared" si="101"/>
        <v>0</v>
      </c>
      <c r="T163" s="772"/>
      <c r="U163" s="1664">
        <f t="shared" si="102"/>
        <v>139</v>
      </c>
      <c r="V163" s="1668">
        <f t="shared" si="92"/>
        <v>0</v>
      </c>
      <c r="W163" s="1666">
        <f t="shared" si="110"/>
        <v>0</v>
      </c>
      <c r="X163" s="1670">
        <f t="shared" si="95"/>
        <v>0</v>
      </c>
      <c r="Y163" s="1668">
        <f t="shared" si="103"/>
        <v>0</v>
      </c>
      <c r="Z163" s="772"/>
      <c r="AA163" s="1664">
        <f t="shared" si="104"/>
        <v>139</v>
      </c>
      <c r="AB163" s="1668">
        <f t="shared" si="93"/>
        <v>0</v>
      </c>
      <c r="AC163" s="1666">
        <f t="shared" si="111"/>
        <v>0</v>
      </c>
      <c r="AD163" s="1670">
        <f t="shared" si="96"/>
        <v>0</v>
      </c>
      <c r="AE163" s="1668">
        <f t="shared" si="105"/>
        <v>0</v>
      </c>
      <c r="AF163" s="772"/>
      <c r="AG163" s="1664">
        <f t="shared" si="106"/>
        <v>139</v>
      </c>
      <c r="AH163" s="1668">
        <f t="shared" si="94"/>
        <v>0</v>
      </c>
      <c r="AI163" s="1666">
        <f t="shared" si="112"/>
        <v>0</v>
      </c>
      <c r="AJ163" s="1670">
        <f t="shared" si="97"/>
        <v>0</v>
      </c>
      <c r="AK163" s="1668">
        <f t="shared" si="107"/>
        <v>0</v>
      </c>
    </row>
    <row r="164" spans="2:37" ht="20.100000000000001" customHeight="1" x14ac:dyDescent="0.3">
      <c r="B164" s="783"/>
      <c r="C164" s="784"/>
      <c r="D164" s="784"/>
      <c r="E164" s="784"/>
      <c r="F164" s="784"/>
      <c r="G164" s="784"/>
      <c r="H164" s="772"/>
      <c r="I164" s="1664">
        <f t="shared" si="98"/>
        <v>140</v>
      </c>
      <c r="J164" s="1668">
        <f t="shared" si="113"/>
        <v>0</v>
      </c>
      <c r="K164" s="1666">
        <f t="shared" si="108"/>
        <v>0</v>
      </c>
      <c r="L164" s="1670">
        <f t="shared" si="84"/>
        <v>0</v>
      </c>
      <c r="M164" s="1668">
        <f t="shared" si="99"/>
        <v>0</v>
      </c>
      <c r="N164" s="772"/>
      <c r="O164" s="1664">
        <f t="shared" si="100"/>
        <v>140</v>
      </c>
      <c r="P164" s="1668">
        <f t="shared" si="114"/>
        <v>0</v>
      </c>
      <c r="Q164" s="1666">
        <f t="shared" si="109"/>
        <v>0</v>
      </c>
      <c r="R164" s="1670">
        <f t="shared" si="85"/>
        <v>0</v>
      </c>
      <c r="S164" s="1668">
        <f t="shared" si="101"/>
        <v>0</v>
      </c>
      <c r="T164" s="772"/>
      <c r="U164" s="1664">
        <f t="shared" si="102"/>
        <v>140</v>
      </c>
      <c r="V164" s="1668">
        <f t="shared" si="92"/>
        <v>0</v>
      </c>
      <c r="W164" s="1666">
        <f t="shared" si="110"/>
        <v>0</v>
      </c>
      <c r="X164" s="1670">
        <f t="shared" si="95"/>
        <v>0</v>
      </c>
      <c r="Y164" s="1668">
        <f t="shared" si="103"/>
        <v>0</v>
      </c>
      <c r="Z164" s="772"/>
      <c r="AA164" s="1664">
        <f t="shared" si="104"/>
        <v>140</v>
      </c>
      <c r="AB164" s="1668">
        <f t="shared" si="93"/>
        <v>0</v>
      </c>
      <c r="AC164" s="1666">
        <f t="shared" si="111"/>
        <v>0</v>
      </c>
      <c r="AD164" s="1670">
        <f t="shared" si="96"/>
        <v>0</v>
      </c>
      <c r="AE164" s="1668">
        <f t="shared" si="105"/>
        <v>0</v>
      </c>
      <c r="AF164" s="772"/>
      <c r="AG164" s="1664">
        <f t="shared" si="106"/>
        <v>140</v>
      </c>
      <c r="AH164" s="1668">
        <f t="shared" si="94"/>
        <v>0</v>
      </c>
      <c r="AI164" s="1666">
        <f t="shared" si="112"/>
        <v>0</v>
      </c>
      <c r="AJ164" s="1670">
        <f t="shared" si="97"/>
        <v>0</v>
      </c>
      <c r="AK164" s="1668">
        <f t="shared" si="107"/>
        <v>0</v>
      </c>
    </row>
    <row r="165" spans="2:37" ht="20.100000000000001" customHeight="1" x14ac:dyDescent="0.3">
      <c r="B165" s="783"/>
      <c r="C165" s="784"/>
      <c r="D165" s="784"/>
      <c r="E165" s="784"/>
      <c r="F165" s="784"/>
      <c r="G165" s="784"/>
      <c r="H165" s="772"/>
      <c r="I165" s="1664">
        <f t="shared" si="98"/>
        <v>141</v>
      </c>
      <c r="J165" s="1668">
        <f t="shared" si="113"/>
        <v>0</v>
      </c>
      <c r="K165" s="1666">
        <f t="shared" si="108"/>
        <v>0</v>
      </c>
      <c r="L165" s="1670">
        <f t="shared" si="84"/>
        <v>0</v>
      </c>
      <c r="M165" s="1668">
        <f t="shared" si="99"/>
        <v>0</v>
      </c>
      <c r="N165" s="772"/>
      <c r="O165" s="1664">
        <f t="shared" si="100"/>
        <v>141</v>
      </c>
      <c r="P165" s="1668">
        <f t="shared" si="114"/>
        <v>0</v>
      </c>
      <c r="Q165" s="1666">
        <f t="shared" si="109"/>
        <v>0</v>
      </c>
      <c r="R165" s="1670">
        <f t="shared" si="85"/>
        <v>0</v>
      </c>
      <c r="S165" s="1668">
        <f t="shared" si="101"/>
        <v>0</v>
      </c>
      <c r="T165" s="772"/>
      <c r="U165" s="1664">
        <f t="shared" si="102"/>
        <v>141</v>
      </c>
      <c r="V165" s="1668">
        <f t="shared" si="92"/>
        <v>0</v>
      </c>
      <c r="W165" s="1666">
        <f t="shared" si="110"/>
        <v>0</v>
      </c>
      <c r="X165" s="1670">
        <f t="shared" si="95"/>
        <v>0</v>
      </c>
      <c r="Y165" s="1668">
        <f t="shared" si="103"/>
        <v>0</v>
      </c>
      <c r="Z165" s="772"/>
      <c r="AA165" s="1664">
        <f t="shared" si="104"/>
        <v>141</v>
      </c>
      <c r="AB165" s="1668">
        <f t="shared" si="93"/>
        <v>0</v>
      </c>
      <c r="AC165" s="1666">
        <f t="shared" si="111"/>
        <v>0</v>
      </c>
      <c r="AD165" s="1670">
        <f t="shared" si="96"/>
        <v>0</v>
      </c>
      <c r="AE165" s="1668">
        <f t="shared" si="105"/>
        <v>0</v>
      </c>
      <c r="AF165" s="772"/>
      <c r="AG165" s="1664">
        <f t="shared" si="106"/>
        <v>141</v>
      </c>
      <c r="AH165" s="1668">
        <f t="shared" si="94"/>
        <v>0</v>
      </c>
      <c r="AI165" s="1666">
        <f t="shared" si="112"/>
        <v>0</v>
      </c>
      <c r="AJ165" s="1670">
        <f t="shared" si="97"/>
        <v>0</v>
      </c>
      <c r="AK165" s="1668">
        <f t="shared" si="107"/>
        <v>0</v>
      </c>
    </row>
    <row r="166" spans="2:37" ht="20.100000000000001" customHeight="1" x14ac:dyDescent="0.3">
      <c r="B166" s="783"/>
      <c r="C166" s="784"/>
      <c r="D166" s="784"/>
      <c r="E166" s="784"/>
      <c r="F166" s="784"/>
      <c r="G166" s="784"/>
      <c r="H166" s="772"/>
      <c r="I166" s="1664">
        <f t="shared" si="98"/>
        <v>142</v>
      </c>
      <c r="J166" s="1668">
        <f t="shared" si="113"/>
        <v>0</v>
      </c>
      <c r="K166" s="1666">
        <f t="shared" si="108"/>
        <v>0</v>
      </c>
      <c r="L166" s="1670">
        <f t="shared" si="84"/>
        <v>0</v>
      </c>
      <c r="M166" s="1668">
        <f t="shared" si="99"/>
        <v>0</v>
      </c>
      <c r="N166" s="772"/>
      <c r="O166" s="1664">
        <f t="shared" si="100"/>
        <v>142</v>
      </c>
      <c r="P166" s="1668">
        <f t="shared" si="114"/>
        <v>0</v>
      </c>
      <c r="Q166" s="1666">
        <f t="shared" si="109"/>
        <v>0</v>
      </c>
      <c r="R166" s="1670">
        <f t="shared" si="85"/>
        <v>0</v>
      </c>
      <c r="S166" s="1668">
        <f t="shared" si="101"/>
        <v>0</v>
      </c>
      <c r="T166" s="772"/>
      <c r="U166" s="1664">
        <f t="shared" si="102"/>
        <v>142</v>
      </c>
      <c r="V166" s="1668">
        <f t="shared" si="92"/>
        <v>0</v>
      </c>
      <c r="W166" s="1666">
        <f t="shared" si="110"/>
        <v>0</v>
      </c>
      <c r="X166" s="1670">
        <f t="shared" si="95"/>
        <v>0</v>
      </c>
      <c r="Y166" s="1668">
        <f t="shared" si="103"/>
        <v>0</v>
      </c>
      <c r="Z166" s="772"/>
      <c r="AA166" s="1664">
        <f t="shared" si="104"/>
        <v>142</v>
      </c>
      <c r="AB166" s="1668">
        <f t="shared" si="93"/>
        <v>0</v>
      </c>
      <c r="AC166" s="1666">
        <f t="shared" si="111"/>
        <v>0</v>
      </c>
      <c r="AD166" s="1670">
        <f t="shared" si="96"/>
        <v>0</v>
      </c>
      <c r="AE166" s="1668">
        <f t="shared" si="105"/>
        <v>0</v>
      </c>
      <c r="AF166" s="772"/>
      <c r="AG166" s="1664">
        <f t="shared" si="106"/>
        <v>142</v>
      </c>
      <c r="AH166" s="1668">
        <f t="shared" si="94"/>
        <v>0</v>
      </c>
      <c r="AI166" s="1666">
        <f t="shared" si="112"/>
        <v>0</v>
      </c>
      <c r="AJ166" s="1670">
        <f t="shared" si="97"/>
        <v>0</v>
      </c>
      <c r="AK166" s="1668">
        <f t="shared" si="107"/>
        <v>0</v>
      </c>
    </row>
    <row r="167" spans="2:37" ht="20.100000000000001" customHeight="1" x14ac:dyDescent="0.3">
      <c r="B167" s="783"/>
      <c r="C167" s="784"/>
      <c r="D167" s="784"/>
      <c r="E167" s="784"/>
      <c r="F167" s="784"/>
      <c r="G167" s="784"/>
      <c r="H167" s="772"/>
      <c r="I167" s="1664">
        <f t="shared" si="98"/>
        <v>143</v>
      </c>
      <c r="J167" s="1668">
        <f t="shared" si="113"/>
        <v>0</v>
      </c>
      <c r="K167" s="1666">
        <f t="shared" si="108"/>
        <v>0</v>
      </c>
      <c r="L167" s="1670">
        <f t="shared" si="84"/>
        <v>0</v>
      </c>
      <c r="M167" s="1668">
        <f t="shared" si="99"/>
        <v>0</v>
      </c>
      <c r="N167" s="772"/>
      <c r="O167" s="1664">
        <f t="shared" si="100"/>
        <v>143</v>
      </c>
      <c r="P167" s="1668">
        <f t="shared" si="114"/>
        <v>0</v>
      </c>
      <c r="Q167" s="1666">
        <f t="shared" si="109"/>
        <v>0</v>
      </c>
      <c r="R167" s="1670">
        <f t="shared" si="85"/>
        <v>0</v>
      </c>
      <c r="S167" s="1668">
        <f t="shared" si="101"/>
        <v>0</v>
      </c>
      <c r="T167" s="772"/>
      <c r="U167" s="1664">
        <f t="shared" si="102"/>
        <v>143</v>
      </c>
      <c r="V167" s="1668">
        <f t="shared" si="92"/>
        <v>0</v>
      </c>
      <c r="W167" s="1666">
        <f t="shared" si="110"/>
        <v>0</v>
      </c>
      <c r="X167" s="1670">
        <f t="shared" si="95"/>
        <v>0</v>
      </c>
      <c r="Y167" s="1668">
        <f t="shared" si="103"/>
        <v>0</v>
      </c>
      <c r="Z167" s="772"/>
      <c r="AA167" s="1664">
        <f t="shared" si="104"/>
        <v>143</v>
      </c>
      <c r="AB167" s="1668">
        <f t="shared" si="93"/>
        <v>0</v>
      </c>
      <c r="AC167" s="1666">
        <f t="shared" si="111"/>
        <v>0</v>
      </c>
      <c r="AD167" s="1670">
        <f t="shared" si="96"/>
        <v>0</v>
      </c>
      <c r="AE167" s="1668">
        <f t="shared" si="105"/>
        <v>0</v>
      </c>
      <c r="AF167" s="772"/>
      <c r="AG167" s="1664">
        <f t="shared" si="106"/>
        <v>143</v>
      </c>
      <c r="AH167" s="1668">
        <f t="shared" si="94"/>
        <v>0</v>
      </c>
      <c r="AI167" s="1666">
        <f t="shared" si="112"/>
        <v>0</v>
      </c>
      <c r="AJ167" s="1670">
        <f t="shared" si="97"/>
        <v>0</v>
      </c>
      <c r="AK167" s="1668">
        <f t="shared" si="107"/>
        <v>0</v>
      </c>
    </row>
    <row r="168" spans="2:37" ht="20.100000000000001" customHeight="1" x14ac:dyDescent="0.3">
      <c r="B168" s="783"/>
      <c r="C168" s="784"/>
      <c r="D168" s="784"/>
      <c r="E168" s="784"/>
      <c r="F168" s="784"/>
      <c r="G168" s="784"/>
      <c r="H168" s="772"/>
      <c r="I168" s="1664">
        <f t="shared" si="98"/>
        <v>144</v>
      </c>
      <c r="J168" s="1668">
        <f t="shared" si="113"/>
        <v>0</v>
      </c>
      <c r="K168" s="1666">
        <f t="shared" si="108"/>
        <v>0</v>
      </c>
      <c r="L168" s="1670">
        <f t="shared" si="84"/>
        <v>0</v>
      </c>
      <c r="M168" s="1668">
        <f t="shared" si="99"/>
        <v>0</v>
      </c>
      <c r="N168" s="772"/>
      <c r="O168" s="1664">
        <f t="shared" si="100"/>
        <v>144</v>
      </c>
      <c r="P168" s="1668">
        <f t="shared" si="114"/>
        <v>0</v>
      </c>
      <c r="Q168" s="1666">
        <f t="shared" si="109"/>
        <v>0</v>
      </c>
      <c r="R168" s="1670">
        <f t="shared" si="85"/>
        <v>0</v>
      </c>
      <c r="S168" s="1668">
        <f t="shared" si="101"/>
        <v>0</v>
      </c>
      <c r="T168" s="772"/>
      <c r="U168" s="1664">
        <f t="shared" si="102"/>
        <v>144</v>
      </c>
      <c r="V168" s="1668">
        <f t="shared" si="92"/>
        <v>0</v>
      </c>
      <c r="W168" s="1666">
        <f t="shared" si="110"/>
        <v>0</v>
      </c>
      <c r="X168" s="1670">
        <f t="shared" si="95"/>
        <v>0</v>
      </c>
      <c r="Y168" s="1668">
        <f t="shared" si="103"/>
        <v>0</v>
      </c>
      <c r="Z168" s="772"/>
      <c r="AA168" s="1664">
        <f t="shared" si="104"/>
        <v>144</v>
      </c>
      <c r="AB168" s="1668">
        <f t="shared" si="93"/>
        <v>0</v>
      </c>
      <c r="AC168" s="1666">
        <f t="shared" si="111"/>
        <v>0</v>
      </c>
      <c r="AD168" s="1670">
        <f t="shared" si="96"/>
        <v>0</v>
      </c>
      <c r="AE168" s="1668">
        <f t="shared" si="105"/>
        <v>0</v>
      </c>
      <c r="AF168" s="772"/>
      <c r="AG168" s="1664">
        <f t="shared" si="106"/>
        <v>144</v>
      </c>
      <c r="AH168" s="1668">
        <f t="shared" si="94"/>
        <v>0</v>
      </c>
      <c r="AI168" s="1666">
        <f t="shared" si="112"/>
        <v>0</v>
      </c>
      <c r="AJ168" s="1670">
        <f t="shared" si="97"/>
        <v>0</v>
      </c>
      <c r="AK168" s="1668">
        <f t="shared" si="107"/>
        <v>0</v>
      </c>
    </row>
    <row r="169" spans="2:37" ht="20.100000000000001" customHeight="1" x14ac:dyDescent="0.3">
      <c r="B169" s="783"/>
      <c r="C169" s="784"/>
      <c r="D169" s="784"/>
      <c r="E169" s="784"/>
      <c r="F169" s="784"/>
      <c r="G169" s="784"/>
      <c r="H169" s="772"/>
      <c r="I169" s="1664">
        <f t="shared" si="98"/>
        <v>145</v>
      </c>
      <c r="J169" s="1668">
        <f t="shared" si="113"/>
        <v>0</v>
      </c>
      <c r="K169" s="1666">
        <f t="shared" si="108"/>
        <v>0</v>
      </c>
      <c r="L169" s="1670">
        <f t="shared" si="84"/>
        <v>0</v>
      </c>
      <c r="M169" s="1668">
        <f t="shared" si="99"/>
        <v>0</v>
      </c>
      <c r="N169" s="772"/>
      <c r="O169" s="1664">
        <f t="shared" si="100"/>
        <v>145</v>
      </c>
      <c r="P169" s="1668">
        <f t="shared" si="114"/>
        <v>0</v>
      </c>
      <c r="Q169" s="1666">
        <f t="shared" si="109"/>
        <v>0</v>
      </c>
      <c r="R169" s="1670">
        <f t="shared" si="85"/>
        <v>0</v>
      </c>
      <c r="S169" s="1668">
        <f t="shared" si="101"/>
        <v>0</v>
      </c>
      <c r="T169" s="772"/>
      <c r="U169" s="1664">
        <f t="shared" si="102"/>
        <v>145</v>
      </c>
      <c r="V169" s="1668">
        <f t="shared" si="92"/>
        <v>0</v>
      </c>
      <c r="W169" s="1666">
        <f t="shared" si="110"/>
        <v>0</v>
      </c>
      <c r="X169" s="1670">
        <f t="shared" si="95"/>
        <v>0</v>
      </c>
      <c r="Y169" s="1668">
        <f t="shared" si="103"/>
        <v>0</v>
      </c>
      <c r="Z169" s="772"/>
      <c r="AA169" s="1664">
        <f t="shared" si="104"/>
        <v>145</v>
      </c>
      <c r="AB169" s="1668">
        <f t="shared" si="93"/>
        <v>0</v>
      </c>
      <c r="AC169" s="1666">
        <f t="shared" si="111"/>
        <v>0</v>
      </c>
      <c r="AD169" s="1670">
        <f t="shared" si="96"/>
        <v>0</v>
      </c>
      <c r="AE169" s="1668">
        <f t="shared" si="105"/>
        <v>0</v>
      </c>
      <c r="AF169" s="772"/>
      <c r="AG169" s="1664">
        <f t="shared" si="106"/>
        <v>145</v>
      </c>
      <c r="AH169" s="1668">
        <f t="shared" si="94"/>
        <v>0</v>
      </c>
      <c r="AI169" s="1666">
        <f t="shared" si="112"/>
        <v>0</v>
      </c>
      <c r="AJ169" s="1670">
        <f t="shared" si="97"/>
        <v>0</v>
      </c>
      <c r="AK169" s="1668">
        <f t="shared" si="107"/>
        <v>0</v>
      </c>
    </row>
    <row r="170" spans="2:37" ht="20.100000000000001" customHeight="1" x14ac:dyDescent="0.3">
      <c r="B170" s="783"/>
      <c r="C170" s="784"/>
      <c r="D170" s="784"/>
      <c r="E170" s="784"/>
      <c r="F170" s="784"/>
      <c r="G170" s="784"/>
      <c r="H170" s="772"/>
      <c r="I170" s="1664">
        <f t="shared" si="98"/>
        <v>146</v>
      </c>
      <c r="J170" s="1668">
        <f t="shared" si="113"/>
        <v>0</v>
      </c>
      <c r="K170" s="1666">
        <f t="shared" si="108"/>
        <v>0</v>
      </c>
      <c r="L170" s="1670">
        <f t="shared" si="84"/>
        <v>0</v>
      </c>
      <c r="M170" s="1668">
        <f t="shared" si="99"/>
        <v>0</v>
      </c>
      <c r="N170" s="772"/>
      <c r="O170" s="1664">
        <f t="shared" si="100"/>
        <v>146</v>
      </c>
      <c r="P170" s="1668">
        <f t="shared" si="114"/>
        <v>0</v>
      </c>
      <c r="Q170" s="1666">
        <f t="shared" si="109"/>
        <v>0</v>
      </c>
      <c r="R170" s="1670">
        <f t="shared" si="85"/>
        <v>0</v>
      </c>
      <c r="S170" s="1668">
        <f t="shared" si="101"/>
        <v>0</v>
      </c>
      <c r="T170" s="772"/>
      <c r="U170" s="1664">
        <f t="shared" si="102"/>
        <v>146</v>
      </c>
      <c r="V170" s="1668">
        <f t="shared" si="92"/>
        <v>0</v>
      </c>
      <c r="W170" s="1666">
        <f t="shared" si="110"/>
        <v>0</v>
      </c>
      <c r="X170" s="1670">
        <f t="shared" si="95"/>
        <v>0</v>
      </c>
      <c r="Y170" s="1668">
        <f t="shared" si="103"/>
        <v>0</v>
      </c>
      <c r="Z170" s="772"/>
      <c r="AA170" s="1664">
        <f t="shared" si="104"/>
        <v>146</v>
      </c>
      <c r="AB170" s="1668">
        <f t="shared" si="93"/>
        <v>0</v>
      </c>
      <c r="AC170" s="1666">
        <f t="shared" si="111"/>
        <v>0</v>
      </c>
      <c r="AD170" s="1670">
        <f t="shared" si="96"/>
        <v>0</v>
      </c>
      <c r="AE170" s="1668">
        <f t="shared" si="105"/>
        <v>0</v>
      </c>
      <c r="AF170" s="772"/>
      <c r="AG170" s="1664">
        <f t="shared" si="106"/>
        <v>146</v>
      </c>
      <c r="AH170" s="1668">
        <f t="shared" si="94"/>
        <v>0</v>
      </c>
      <c r="AI170" s="1666">
        <f t="shared" si="112"/>
        <v>0</v>
      </c>
      <c r="AJ170" s="1670">
        <f t="shared" si="97"/>
        <v>0</v>
      </c>
      <c r="AK170" s="1668">
        <f t="shared" si="107"/>
        <v>0</v>
      </c>
    </row>
    <row r="171" spans="2:37" ht="20.100000000000001" customHeight="1" x14ac:dyDescent="0.3">
      <c r="B171" s="783"/>
      <c r="C171" s="784"/>
      <c r="D171" s="784"/>
      <c r="E171" s="784"/>
      <c r="F171" s="784"/>
      <c r="G171" s="784"/>
      <c r="H171" s="772"/>
      <c r="I171" s="1664">
        <f t="shared" si="98"/>
        <v>147</v>
      </c>
      <c r="J171" s="1668">
        <f t="shared" si="113"/>
        <v>0</v>
      </c>
      <c r="K171" s="1666">
        <f t="shared" si="108"/>
        <v>0</v>
      </c>
      <c r="L171" s="1670">
        <f t="shared" si="84"/>
        <v>0</v>
      </c>
      <c r="M171" s="1668">
        <f t="shared" si="99"/>
        <v>0</v>
      </c>
      <c r="N171" s="772"/>
      <c r="O171" s="1664">
        <f t="shared" si="100"/>
        <v>147</v>
      </c>
      <c r="P171" s="1668">
        <f t="shared" si="114"/>
        <v>0</v>
      </c>
      <c r="Q171" s="1666">
        <f t="shared" si="109"/>
        <v>0</v>
      </c>
      <c r="R171" s="1670">
        <f t="shared" si="85"/>
        <v>0</v>
      </c>
      <c r="S171" s="1668">
        <f t="shared" si="101"/>
        <v>0</v>
      </c>
      <c r="T171" s="772"/>
      <c r="U171" s="1664">
        <f t="shared" si="102"/>
        <v>147</v>
      </c>
      <c r="V171" s="1668">
        <f t="shared" si="92"/>
        <v>0</v>
      </c>
      <c r="W171" s="1666">
        <f t="shared" si="110"/>
        <v>0</v>
      </c>
      <c r="X171" s="1670">
        <f t="shared" si="95"/>
        <v>0</v>
      </c>
      <c r="Y171" s="1668">
        <f t="shared" si="103"/>
        <v>0</v>
      </c>
      <c r="Z171" s="772"/>
      <c r="AA171" s="1664">
        <f t="shared" si="104"/>
        <v>147</v>
      </c>
      <c r="AB171" s="1668">
        <f t="shared" si="93"/>
        <v>0</v>
      </c>
      <c r="AC171" s="1666">
        <f t="shared" si="111"/>
        <v>0</v>
      </c>
      <c r="AD171" s="1670">
        <f t="shared" si="96"/>
        <v>0</v>
      </c>
      <c r="AE171" s="1668">
        <f t="shared" si="105"/>
        <v>0</v>
      </c>
      <c r="AF171" s="772"/>
      <c r="AG171" s="1664">
        <f t="shared" si="106"/>
        <v>147</v>
      </c>
      <c r="AH171" s="1668">
        <f t="shared" si="94"/>
        <v>0</v>
      </c>
      <c r="AI171" s="1666">
        <f t="shared" si="112"/>
        <v>0</v>
      </c>
      <c r="AJ171" s="1670">
        <f t="shared" si="97"/>
        <v>0</v>
      </c>
      <c r="AK171" s="1668">
        <f t="shared" si="107"/>
        <v>0</v>
      </c>
    </row>
    <row r="172" spans="2:37" ht="20.100000000000001" customHeight="1" x14ac:dyDescent="0.3">
      <c r="B172" s="783"/>
      <c r="C172" s="784"/>
      <c r="D172" s="784"/>
      <c r="E172" s="784"/>
      <c r="F172" s="784"/>
      <c r="G172" s="784"/>
      <c r="H172" s="772"/>
      <c r="I172" s="1664">
        <f t="shared" si="98"/>
        <v>148</v>
      </c>
      <c r="J172" s="1668">
        <f t="shared" si="113"/>
        <v>0</v>
      </c>
      <c r="K172" s="1666">
        <f t="shared" si="108"/>
        <v>0</v>
      </c>
      <c r="L172" s="1670">
        <f t="shared" ref="L172:L204" si="115">ROUND(IF(J172=0,0,IF(I172=annuité_emprunt1,M171,IF(I172&gt;différé_emprunt1,-PPMT((taux_emprunt1/périodicité_emprunt1),I172-différé_emprunt1,(annuité_emprunt1-différé_emprunt1),emprunt1),0))),2)</f>
        <v>0</v>
      </c>
      <c r="M172" s="1668">
        <f t="shared" si="99"/>
        <v>0</v>
      </c>
      <c r="N172" s="772"/>
      <c r="O172" s="1664">
        <f t="shared" si="100"/>
        <v>148</v>
      </c>
      <c r="P172" s="1668">
        <f t="shared" si="114"/>
        <v>0</v>
      </c>
      <c r="Q172" s="1666">
        <f t="shared" si="109"/>
        <v>0</v>
      </c>
      <c r="R172" s="1670">
        <f t="shared" ref="R172:R204" si="116">ROUND(IF(P172=0,0,IF(O172=annuité_emprunt2,S171,IF(O172&gt;différé_emprunt2,-PPMT((taux_emprunt2/périodicité_emprunt2),O172-différé_emprunt2,(annuité_emprunt2-différé_emprunt2),emprunt2),0))),2)</f>
        <v>0</v>
      </c>
      <c r="S172" s="1668">
        <f t="shared" si="101"/>
        <v>0</v>
      </c>
      <c r="T172" s="772"/>
      <c r="U172" s="1664">
        <f t="shared" si="102"/>
        <v>148</v>
      </c>
      <c r="V172" s="1668">
        <f t="shared" si="92"/>
        <v>0</v>
      </c>
      <c r="W172" s="1666">
        <f t="shared" si="110"/>
        <v>0</v>
      </c>
      <c r="X172" s="1670">
        <f t="shared" si="95"/>
        <v>0</v>
      </c>
      <c r="Y172" s="1668">
        <f t="shared" si="103"/>
        <v>0</v>
      </c>
      <c r="Z172" s="772"/>
      <c r="AA172" s="1664">
        <f t="shared" si="104"/>
        <v>148</v>
      </c>
      <c r="AB172" s="1668">
        <f t="shared" si="93"/>
        <v>0</v>
      </c>
      <c r="AC172" s="1666">
        <f t="shared" si="111"/>
        <v>0</v>
      </c>
      <c r="AD172" s="1670">
        <f t="shared" si="96"/>
        <v>0</v>
      </c>
      <c r="AE172" s="1668">
        <f t="shared" si="105"/>
        <v>0</v>
      </c>
      <c r="AF172" s="772"/>
      <c r="AG172" s="1664">
        <f t="shared" si="106"/>
        <v>148</v>
      </c>
      <c r="AH172" s="1668">
        <f t="shared" si="94"/>
        <v>0</v>
      </c>
      <c r="AI172" s="1666">
        <f t="shared" si="112"/>
        <v>0</v>
      </c>
      <c r="AJ172" s="1670">
        <f t="shared" si="97"/>
        <v>0</v>
      </c>
      <c r="AK172" s="1668">
        <f t="shared" si="107"/>
        <v>0</v>
      </c>
    </row>
    <row r="173" spans="2:37" ht="20.100000000000001" customHeight="1" x14ac:dyDescent="0.3">
      <c r="B173" s="783"/>
      <c r="C173" s="784"/>
      <c r="D173" s="784"/>
      <c r="E173" s="784"/>
      <c r="F173" s="784"/>
      <c r="G173" s="784"/>
      <c r="H173" s="772"/>
      <c r="I173" s="1664">
        <f t="shared" si="98"/>
        <v>149</v>
      </c>
      <c r="J173" s="1668">
        <f t="shared" si="113"/>
        <v>0</v>
      </c>
      <c r="K173" s="1666">
        <f t="shared" si="108"/>
        <v>0</v>
      </c>
      <c r="L173" s="1670">
        <f t="shared" si="115"/>
        <v>0</v>
      </c>
      <c r="M173" s="1668">
        <f t="shared" si="99"/>
        <v>0</v>
      </c>
      <c r="N173" s="772"/>
      <c r="O173" s="1664">
        <f t="shared" si="100"/>
        <v>149</v>
      </c>
      <c r="P173" s="1668">
        <f t="shared" si="114"/>
        <v>0</v>
      </c>
      <c r="Q173" s="1666">
        <f t="shared" si="109"/>
        <v>0</v>
      </c>
      <c r="R173" s="1670">
        <f t="shared" si="116"/>
        <v>0</v>
      </c>
      <c r="S173" s="1668">
        <f t="shared" si="101"/>
        <v>0</v>
      </c>
      <c r="T173" s="772"/>
      <c r="U173" s="1664">
        <f t="shared" si="102"/>
        <v>149</v>
      </c>
      <c r="V173" s="1668">
        <f t="shared" si="92"/>
        <v>0</v>
      </c>
      <c r="W173" s="1666">
        <f t="shared" si="110"/>
        <v>0</v>
      </c>
      <c r="X173" s="1670">
        <f t="shared" si="95"/>
        <v>0</v>
      </c>
      <c r="Y173" s="1668">
        <f t="shared" si="103"/>
        <v>0</v>
      </c>
      <c r="Z173" s="772"/>
      <c r="AA173" s="1664">
        <f t="shared" si="104"/>
        <v>149</v>
      </c>
      <c r="AB173" s="1668">
        <f t="shared" si="93"/>
        <v>0</v>
      </c>
      <c r="AC173" s="1666">
        <f t="shared" si="111"/>
        <v>0</v>
      </c>
      <c r="AD173" s="1670">
        <f t="shared" si="96"/>
        <v>0</v>
      </c>
      <c r="AE173" s="1668">
        <f t="shared" si="105"/>
        <v>0</v>
      </c>
      <c r="AF173" s="772"/>
      <c r="AG173" s="1664">
        <f t="shared" si="106"/>
        <v>149</v>
      </c>
      <c r="AH173" s="1668">
        <f t="shared" si="94"/>
        <v>0</v>
      </c>
      <c r="AI173" s="1666">
        <f t="shared" si="112"/>
        <v>0</v>
      </c>
      <c r="AJ173" s="1670">
        <f t="shared" si="97"/>
        <v>0</v>
      </c>
      <c r="AK173" s="1668">
        <f t="shared" si="107"/>
        <v>0</v>
      </c>
    </row>
    <row r="174" spans="2:37" ht="20.100000000000001" customHeight="1" x14ac:dyDescent="0.3">
      <c r="B174" s="783"/>
      <c r="C174" s="784"/>
      <c r="D174" s="784"/>
      <c r="E174" s="784"/>
      <c r="F174" s="784"/>
      <c r="G174" s="784"/>
      <c r="H174" s="772"/>
      <c r="I174" s="1664">
        <f t="shared" si="98"/>
        <v>150</v>
      </c>
      <c r="J174" s="1668">
        <f t="shared" si="113"/>
        <v>0</v>
      </c>
      <c r="K174" s="1666">
        <f t="shared" si="108"/>
        <v>0</v>
      </c>
      <c r="L174" s="1670">
        <f t="shared" si="115"/>
        <v>0</v>
      </c>
      <c r="M174" s="1668">
        <f t="shared" si="99"/>
        <v>0</v>
      </c>
      <c r="N174" s="772"/>
      <c r="O174" s="1664">
        <f t="shared" si="100"/>
        <v>150</v>
      </c>
      <c r="P174" s="1668">
        <f t="shared" si="114"/>
        <v>0</v>
      </c>
      <c r="Q174" s="1666">
        <f t="shared" si="109"/>
        <v>0</v>
      </c>
      <c r="R174" s="1670">
        <f t="shared" si="116"/>
        <v>0</v>
      </c>
      <c r="S174" s="1668">
        <f t="shared" si="101"/>
        <v>0</v>
      </c>
      <c r="T174" s="772"/>
      <c r="U174" s="1664">
        <f t="shared" si="102"/>
        <v>150</v>
      </c>
      <c r="V174" s="1668">
        <f t="shared" si="92"/>
        <v>0</v>
      </c>
      <c r="W174" s="1666">
        <f t="shared" si="110"/>
        <v>0</v>
      </c>
      <c r="X174" s="1670">
        <f t="shared" si="95"/>
        <v>0</v>
      </c>
      <c r="Y174" s="1668">
        <f t="shared" si="103"/>
        <v>0</v>
      </c>
      <c r="Z174" s="772"/>
      <c r="AA174" s="1664">
        <f t="shared" si="104"/>
        <v>150</v>
      </c>
      <c r="AB174" s="1668">
        <f t="shared" si="93"/>
        <v>0</v>
      </c>
      <c r="AC174" s="1666">
        <f t="shared" si="111"/>
        <v>0</v>
      </c>
      <c r="AD174" s="1670">
        <f t="shared" si="96"/>
        <v>0</v>
      </c>
      <c r="AE174" s="1668">
        <f t="shared" si="105"/>
        <v>0</v>
      </c>
      <c r="AF174" s="772"/>
      <c r="AG174" s="1664">
        <f t="shared" si="106"/>
        <v>150</v>
      </c>
      <c r="AH174" s="1668">
        <f t="shared" si="94"/>
        <v>0</v>
      </c>
      <c r="AI174" s="1666">
        <f t="shared" si="112"/>
        <v>0</v>
      </c>
      <c r="AJ174" s="1670">
        <f t="shared" si="97"/>
        <v>0</v>
      </c>
      <c r="AK174" s="1668">
        <f t="shared" si="107"/>
        <v>0</v>
      </c>
    </row>
    <row r="175" spans="2:37" ht="20.100000000000001" customHeight="1" x14ac:dyDescent="0.3">
      <c r="B175" s="783"/>
      <c r="C175" s="784"/>
      <c r="D175" s="784"/>
      <c r="E175" s="784"/>
      <c r="F175" s="784"/>
      <c r="G175" s="784"/>
      <c r="H175" s="772"/>
      <c r="I175" s="1664">
        <f t="shared" si="98"/>
        <v>151</v>
      </c>
      <c r="J175" s="1668">
        <f t="shared" si="113"/>
        <v>0</v>
      </c>
      <c r="K175" s="1666">
        <f t="shared" si="108"/>
        <v>0</v>
      </c>
      <c r="L175" s="1670">
        <f t="shared" si="115"/>
        <v>0</v>
      </c>
      <c r="M175" s="1668">
        <f t="shared" si="99"/>
        <v>0</v>
      </c>
      <c r="N175" s="772"/>
      <c r="O175" s="1664">
        <f t="shared" si="100"/>
        <v>151</v>
      </c>
      <c r="P175" s="1668">
        <f t="shared" si="114"/>
        <v>0</v>
      </c>
      <c r="Q175" s="1666">
        <f t="shared" si="109"/>
        <v>0</v>
      </c>
      <c r="R175" s="1670">
        <f t="shared" si="116"/>
        <v>0</v>
      </c>
      <c r="S175" s="1668">
        <f t="shared" si="101"/>
        <v>0</v>
      </c>
      <c r="T175" s="772"/>
      <c r="U175" s="1664">
        <f t="shared" si="102"/>
        <v>151</v>
      </c>
      <c r="V175" s="1668">
        <f t="shared" si="92"/>
        <v>0</v>
      </c>
      <c r="W175" s="1666">
        <f t="shared" si="110"/>
        <v>0</v>
      </c>
      <c r="X175" s="1670">
        <f t="shared" si="95"/>
        <v>0</v>
      </c>
      <c r="Y175" s="1668">
        <f t="shared" si="103"/>
        <v>0</v>
      </c>
      <c r="Z175" s="772"/>
      <c r="AA175" s="1664">
        <f t="shared" si="104"/>
        <v>151</v>
      </c>
      <c r="AB175" s="1668">
        <f t="shared" si="93"/>
        <v>0</v>
      </c>
      <c r="AC175" s="1666">
        <f t="shared" si="111"/>
        <v>0</v>
      </c>
      <c r="AD175" s="1670">
        <f t="shared" si="96"/>
        <v>0</v>
      </c>
      <c r="AE175" s="1668">
        <f t="shared" si="105"/>
        <v>0</v>
      </c>
      <c r="AF175" s="772"/>
      <c r="AG175" s="1664">
        <f t="shared" si="106"/>
        <v>151</v>
      </c>
      <c r="AH175" s="1668">
        <f t="shared" si="94"/>
        <v>0</v>
      </c>
      <c r="AI175" s="1666">
        <f t="shared" si="112"/>
        <v>0</v>
      </c>
      <c r="AJ175" s="1670">
        <f t="shared" si="97"/>
        <v>0</v>
      </c>
      <c r="AK175" s="1668">
        <f t="shared" si="107"/>
        <v>0</v>
      </c>
    </row>
    <row r="176" spans="2:37" ht="20.100000000000001" customHeight="1" x14ac:dyDescent="0.3">
      <c r="B176" s="783"/>
      <c r="C176" s="784"/>
      <c r="D176" s="784"/>
      <c r="E176" s="784"/>
      <c r="F176" s="784"/>
      <c r="G176" s="784"/>
      <c r="H176" s="772"/>
      <c r="I176" s="1664">
        <f t="shared" si="98"/>
        <v>152</v>
      </c>
      <c r="J176" s="1668">
        <f t="shared" si="113"/>
        <v>0</v>
      </c>
      <c r="K176" s="1666">
        <f t="shared" si="108"/>
        <v>0</v>
      </c>
      <c r="L176" s="1670">
        <f t="shared" si="115"/>
        <v>0</v>
      </c>
      <c r="M176" s="1668">
        <f t="shared" si="99"/>
        <v>0</v>
      </c>
      <c r="N176" s="772"/>
      <c r="O176" s="1664">
        <f t="shared" si="100"/>
        <v>152</v>
      </c>
      <c r="P176" s="1668">
        <f t="shared" si="114"/>
        <v>0</v>
      </c>
      <c r="Q176" s="1666">
        <f t="shared" si="109"/>
        <v>0</v>
      </c>
      <c r="R176" s="1670">
        <f t="shared" si="116"/>
        <v>0</v>
      </c>
      <c r="S176" s="1668">
        <f t="shared" si="101"/>
        <v>0</v>
      </c>
      <c r="T176" s="772"/>
      <c r="U176" s="1664">
        <f t="shared" si="102"/>
        <v>152</v>
      </c>
      <c r="V176" s="1668">
        <f t="shared" si="92"/>
        <v>0</v>
      </c>
      <c r="W176" s="1666">
        <f t="shared" si="110"/>
        <v>0</v>
      </c>
      <c r="X176" s="1670">
        <f t="shared" si="95"/>
        <v>0</v>
      </c>
      <c r="Y176" s="1668">
        <f t="shared" si="103"/>
        <v>0</v>
      </c>
      <c r="Z176" s="772"/>
      <c r="AA176" s="1664">
        <f t="shared" si="104"/>
        <v>152</v>
      </c>
      <c r="AB176" s="1668">
        <f t="shared" si="93"/>
        <v>0</v>
      </c>
      <c r="AC176" s="1666">
        <f t="shared" si="111"/>
        <v>0</v>
      </c>
      <c r="AD176" s="1670">
        <f t="shared" si="96"/>
        <v>0</v>
      </c>
      <c r="AE176" s="1668">
        <f t="shared" si="105"/>
        <v>0</v>
      </c>
      <c r="AF176" s="772"/>
      <c r="AG176" s="1664">
        <f t="shared" si="106"/>
        <v>152</v>
      </c>
      <c r="AH176" s="1668">
        <f t="shared" si="94"/>
        <v>0</v>
      </c>
      <c r="AI176" s="1666">
        <f t="shared" si="112"/>
        <v>0</v>
      </c>
      <c r="AJ176" s="1670">
        <f t="shared" si="97"/>
        <v>0</v>
      </c>
      <c r="AK176" s="1668">
        <f t="shared" si="107"/>
        <v>0</v>
      </c>
    </row>
    <row r="177" spans="2:37" ht="20.100000000000001" customHeight="1" x14ac:dyDescent="0.3">
      <c r="B177" s="783"/>
      <c r="C177" s="784"/>
      <c r="D177" s="784"/>
      <c r="E177" s="784"/>
      <c r="F177" s="784"/>
      <c r="G177" s="784"/>
      <c r="H177" s="772"/>
      <c r="I177" s="1664">
        <f t="shared" si="98"/>
        <v>153</v>
      </c>
      <c r="J177" s="1668">
        <f t="shared" si="113"/>
        <v>0</v>
      </c>
      <c r="K177" s="1666">
        <f t="shared" si="108"/>
        <v>0</v>
      </c>
      <c r="L177" s="1670">
        <f t="shared" si="115"/>
        <v>0</v>
      </c>
      <c r="M177" s="1668">
        <f t="shared" si="99"/>
        <v>0</v>
      </c>
      <c r="N177" s="772"/>
      <c r="O177" s="1664">
        <f t="shared" si="100"/>
        <v>153</v>
      </c>
      <c r="P177" s="1668">
        <f t="shared" si="114"/>
        <v>0</v>
      </c>
      <c r="Q177" s="1666">
        <f t="shared" si="109"/>
        <v>0</v>
      </c>
      <c r="R177" s="1670">
        <f t="shared" si="116"/>
        <v>0</v>
      </c>
      <c r="S177" s="1668">
        <f t="shared" si="101"/>
        <v>0</v>
      </c>
      <c r="T177" s="772"/>
      <c r="U177" s="1664">
        <f t="shared" si="102"/>
        <v>153</v>
      </c>
      <c r="V177" s="1668">
        <f t="shared" si="92"/>
        <v>0</v>
      </c>
      <c r="W177" s="1666">
        <f t="shared" si="110"/>
        <v>0</v>
      </c>
      <c r="X177" s="1670">
        <f t="shared" si="95"/>
        <v>0</v>
      </c>
      <c r="Y177" s="1668">
        <f t="shared" si="103"/>
        <v>0</v>
      </c>
      <c r="Z177" s="772"/>
      <c r="AA177" s="1664">
        <f t="shared" si="104"/>
        <v>153</v>
      </c>
      <c r="AB177" s="1668">
        <f t="shared" si="93"/>
        <v>0</v>
      </c>
      <c r="AC177" s="1666">
        <f t="shared" si="111"/>
        <v>0</v>
      </c>
      <c r="AD177" s="1670">
        <f t="shared" si="96"/>
        <v>0</v>
      </c>
      <c r="AE177" s="1668">
        <f t="shared" si="105"/>
        <v>0</v>
      </c>
      <c r="AF177" s="772"/>
      <c r="AG177" s="1664">
        <f t="shared" si="106"/>
        <v>153</v>
      </c>
      <c r="AH177" s="1668">
        <f t="shared" si="94"/>
        <v>0</v>
      </c>
      <c r="AI177" s="1666">
        <f t="shared" si="112"/>
        <v>0</v>
      </c>
      <c r="AJ177" s="1670">
        <f t="shared" si="97"/>
        <v>0</v>
      </c>
      <c r="AK177" s="1668">
        <f t="shared" si="107"/>
        <v>0</v>
      </c>
    </row>
    <row r="178" spans="2:37" ht="20.100000000000001" customHeight="1" x14ac:dyDescent="0.3">
      <c r="B178" s="783"/>
      <c r="C178" s="784"/>
      <c r="D178" s="784"/>
      <c r="E178" s="784"/>
      <c r="F178" s="784"/>
      <c r="G178" s="784"/>
      <c r="H178" s="772"/>
      <c r="I178" s="1664">
        <f t="shared" si="98"/>
        <v>154</v>
      </c>
      <c r="J178" s="1668">
        <f t="shared" si="113"/>
        <v>0</v>
      </c>
      <c r="K178" s="1666">
        <f t="shared" si="108"/>
        <v>0</v>
      </c>
      <c r="L178" s="1670">
        <f t="shared" si="115"/>
        <v>0</v>
      </c>
      <c r="M178" s="1668">
        <f t="shared" si="99"/>
        <v>0</v>
      </c>
      <c r="N178" s="772"/>
      <c r="O178" s="1664">
        <f t="shared" si="100"/>
        <v>154</v>
      </c>
      <c r="P178" s="1668">
        <f t="shared" si="114"/>
        <v>0</v>
      </c>
      <c r="Q178" s="1666">
        <f t="shared" si="109"/>
        <v>0</v>
      </c>
      <c r="R178" s="1670">
        <f t="shared" si="116"/>
        <v>0</v>
      </c>
      <c r="S178" s="1668">
        <f t="shared" si="101"/>
        <v>0</v>
      </c>
      <c r="T178" s="772"/>
      <c r="U178" s="1664">
        <f t="shared" si="102"/>
        <v>154</v>
      </c>
      <c r="V178" s="1668">
        <f t="shared" si="92"/>
        <v>0</v>
      </c>
      <c r="W178" s="1666">
        <f t="shared" si="110"/>
        <v>0</v>
      </c>
      <c r="X178" s="1670">
        <f t="shared" si="95"/>
        <v>0</v>
      </c>
      <c r="Y178" s="1668">
        <f t="shared" si="103"/>
        <v>0</v>
      </c>
      <c r="Z178" s="772"/>
      <c r="AA178" s="1664">
        <f t="shared" si="104"/>
        <v>154</v>
      </c>
      <c r="AB178" s="1668">
        <f t="shared" si="93"/>
        <v>0</v>
      </c>
      <c r="AC178" s="1666">
        <f t="shared" si="111"/>
        <v>0</v>
      </c>
      <c r="AD178" s="1670">
        <f t="shared" si="96"/>
        <v>0</v>
      </c>
      <c r="AE178" s="1668">
        <f t="shared" si="105"/>
        <v>0</v>
      </c>
      <c r="AF178" s="772"/>
      <c r="AG178" s="1664">
        <f t="shared" si="106"/>
        <v>154</v>
      </c>
      <c r="AH178" s="1668">
        <f t="shared" si="94"/>
        <v>0</v>
      </c>
      <c r="AI178" s="1666">
        <f t="shared" si="112"/>
        <v>0</v>
      </c>
      <c r="AJ178" s="1670">
        <f t="shared" si="97"/>
        <v>0</v>
      </c>
      <c r="AK178" s="1668">
        <f t="shared" si="107"/>
        <v>0</v>
      </c>
    </row>
    <row r="179" spans="2:37" ht="20.100000000000001" customHeight="1" x14ac:dyDescent="0.3">
      <c r="B179" s="783"/>
      <c r="C179" s="784"/>
      <c r="D179" s="784"/>
      <c r="E179" s="784"/>
      <c r="F179" s="784"/>
      <c r="G179" s="784"/>
      <c r="H179" s="772"/>
      <c r="I179" s="1664">
        <f t="shared" si="98"/>
        <v>155</v>
      </c>
      <c r="J179" s="1668">
        <f t="shared" si="113"/>
        <v>0</v>
      </c>
      <c r="K179" s="1666">
        <f t="shared" si="108"/>
        <v>0</v>
      </c>
      <c r="L179" s="1670">
        <f t="shared" si="115"/>
        <v>0</v>
      </c>
      <c r="M179" s="1668">
        <f t="shared" si="99"/>
        <v>0</v>
      </c>
      <c r="N179" s="772"/>
      <c r="O179" s="1664">
        <f t="shared" si="100"/>
        <v>155</v>
      </c>
      <c r="P179" s="1668">
        <f t="shared" si="114"/>
        <v>0</v>
      </c>
      <c r="Q179" s="1666">
        <f t="shared" si="109"/>
        <v>0</v>
      </c>
      <c r="R179" s="1670">
        <f t="shared" si="116"/>
        <v>0</v>
      </c>
      <c r="S179" s="1668">
        <f t="shared" si="101"/>
        <v>0</v>
      </c>
      <c r="T179" s="772"/>
      <c r="U179" s="1664">
        <f t="shared" si="102"/>
        <v>155</v>
      </c>
      <c r="V179" s="1668">
        <f t="shared" si="92"/>
        <v>0</v>
      </c>
      <c r="W179" s="1666">
        <f t="shared" si="110"/>
        <v>0</v>
      </c>
      <c r="X179" s="1670">
        <f t="shared" si="95"/>
        <v>0</v>
      </c>
      <c r="Y179" s="1668">
        <f t="shared" si="103"/>
        <v>0</v>
      </c>
      <c r="Z179" s="772"/>
      <c r="AA179" s="1664">
        <f t="shared" si="104"/>
        <v>155</v>
      </c>
      <c r="AB179" s="1668">
        <f t="shared" si="93"/>
        <v>0</v>
      </c>
      <c r="AC179" s="1666">
        <f t="shared" si="111"/>
        <v>0</v>
      </c>
      <c r="AD179" s="1670">
        <f t="shared" si="96"/>
        <v>0</v>
      </c>
      <c r="AE179" s="1668">
        <f t="shared" si="105"/>
        <v>0</v>
      </c>
      <c r="AF179" s="772"/>
      <c r="AG179" s="1664">
        <f t="shared" si="106"/>
        <v>155</v>
      </c>
      <c r="AH179" s="1668">
        <f t="shared" si="94"/>
        <v>0</v>
      </c>
      <c r="AI179" s="1666">
        <f t="shared" si="112"/>
        <v>0</v>
      </c>
      <c r="AJ179" s="1670">
        <f t="shared" si="97"/>
        <v>0</v>
      </c>
      <c r="AK179" s="1668">
        <f t="shared" si="107"/>
        <v>0</v>
      </c>
    </row>
    <row r="180" spans="2:37" ht="20.100000000000001" customHeight="1" x14ac:dyDescent="0.3">
      <c r="B180" s="783"/>
      <c r="C180" s="784"/>
      <c r="D180" s="784"/>
      <c r="E180" s="784"/>
      <c r="F180" s="784"/>
      <c r="G180" s="784"/>
      <c r="H180" s="772"/>
      <c r="I180" s="1664">
        <f t="shared" si="98"/>
        <v>156</v>
      </c>
      <c r="J180" s="1668">
        <f t="shared" si="113"/>
        <v>0</v>
      </c>
      <c r="K180" s="1666">
        <f t="shared" si="108"/>
        <v>0</v>
      </c>
      <c r="L180" s="1670">
        <f t="shared" si="115"/>
        <v>0</v>
      </c>
      <c r="M180" s="1668">
        <f t="shared" si="99"/>
        <v>0</v>
      </c>
      <c r="N180" s="772"/>
      <c r="O180" s="1664">
        <f t="shared" si="100"/>
        <v>156</v>
      </c>
      <c r="P180" s="1668">
        <f t="shared" si="114"/>
        <v>0</v>
      </c>
      <c r="Q180" s="1666">
        <f t="shared" si="109"/>
        <v>0</v>
      </c>
      <c r="R180" s="1670">
        <f t="shared" si="116"/>
        <v>0</v>
      </c>
      <c r="S180" s="1668">
        <f t="shared" si="101"/>
        <v>0</v>
      </c>
      <c r="T180" s="772"/>
      <c r="U180" s="1664">
        <f t="shared" si="102"/>
        <v>156</v>
      </c>
      <c r="V180" s="1668">
        <f t="shared" si="92"/>
        <v>0</v>
      </c>
      <c r="W180" s="1666">
        <f t="shared" si="110"/>
        <v>0</v>
      </c>
      <c r="X180" s="1670">
        <f t="shared" si="95"/>
        <v>0</v>
      </c>
      <c r="Y180" s="1668">
        <f t="shared" si="103"/>
        <v>0</v>
      </c>
      <c r="Z180" s="772"/>
      <c r="AA180" s="1664">
        <f t="shared" si="104"/>
        <v>156</v>
      </c>
      <c r="AB180" s="1668">
        <f t="shared" si="93"/>
        <v>0</v>
      </c>
      <c r="AC180" s="1666">
        <f t="shared" si="111"/>
        <v>0</v>
      </c>
      <c r="AD180" s="1670">
        <f t="shared" si="96"/>
        <v>0</v>
      </c>
      <c r="AE180" s="1668">
        <f t="shared" si="105"/>
        <v>0</v>
      </c>
      <c r="AF180" s="772"/>
      <c r="AG180" s="1664">
        <f t="shared" si="106"/>
        <v>156</v>
      </c>
      <c r="AH180" s="1668">
        <f t="shared" si="94"/>
        <v>0</v>
      </c>
      <c r="AI180" s="1666">
        <f t="shared" si="112"/>
        <v>0</v>
      </c>
      <c r="AJ180" s="1670">
        <f t="shared" si="97"/>
        <v>0</v>
      </c>
      <c r="AK180" s="1668">
        <f t="shared" si="107"/>
        <v>0</v>
      </c>
    </row>
    <row r="181" spans="2:37" ht="20.100000000000001" customHeight="1" x14ac:dyDescent="0.3">
      <c r="B181" s="783"/>
      <c r="C181" s="784"/>
      <c r="D181" s="784"/>
      <c r="E181" s="784"/>
      <c r="F181" s="784"/>
      <c r="G181" s="784"/>
      <c r="H181" s="772"/>
      <c r="I181" s="1664">
        <f t="shared" si="98"/>
        <v>157</v>
      </c>
      <c r="J181" s="1668">
        <f t="shared" si="113"/>
        <v>0</v>
      </c>
      <c r="K181" s="1666">
        <f t="shared" si="108"/>
        <v>0</v>
      </c>
      <c r="L181" s="1670">
        <f t="shared" si="115"/>
        <v>0</v>
      </c>
      <c r="M181" s="1668">
        <f t="shared" si="99"/>
        <v>0</v>
      </c>
      <c r="N181" s="772"/>
      <c r="O181" s="1664">
        <f t="shared" si="100"/>
        <v>157</v>
      </c>
      <c r="P181" s="1668">
        <f t="shared" si="114"/>
        <v>0</v>
      </c>
      <c r="Q181" s="1666">
        <f t="shared" si="109"/>
        <v>0</v>
      </c>
      <c r="R181" s="1670">
        <f t="shared" si="116"/>
        <v>0</v>
      </c>
      <c r="S181" s="1668">
        <f t="shared" si="101"/>
        <v>0</v>
      </c>
      <c r="T181" s="772"/>
      <c r="U181" s="1664">
        <f t="shared" si="102"/>
        <v>157</v>
      </c>
      <c r="V181" s="1668">
        <f t="shared" si="92"/>
        <v>0</v>
      </c>
      <c r="W181" s="1666">
        <f t="shared" si="110"/>
        <v>0</v>
      </c>
      <c r="X181" s="1670">
        <f t="shared" si="95"/>
        <v>0</v>
      </c>
      <c r="Y181" s="1668">
        <f t="shared" si="103"/>
        <v>0</v>
      </c>
      <c r="Z181" s="772"/>
      <c r="AA181" s="1664">
        <f t="shared" si="104"/>
        <v>157</v>
      </c>
      <c r="AB181" s="1668">
        <f t="shared" si="93"/>
        <v>0</v>
      </c>
      <c r="AC181" s="1666">
        <f t="shared" si="111"/>
        <v>0</v>
      </c>
      <c r="AD181" s="1670">
        <f t="shared" si="96"/>
        <v>0</v>
      </c>
      <c r="AE181" s="1668">
        <f t="shared" si="105"/>
        <v>0</v>
      </c>
      <c r="AF181" s="772"/>
      <c r="AG181" s="1664">
        <f t="shared" si="106"/>
        <v>157</v>
      </c>
      <c r="AH181" s="1668">
        <f t="shared" si="94"/>
        <v>0</v>
      </c>
      <c r="AI181" s="1666">
        <f t="shared" si="112"/>
        <v>0</v>
      </c>
      <c r="AJ181" s="1670">
        <f t="shared" si="97"/>
        <v>0</v>
      </c>
      <c r="AK181" s="1668">
        <f t="shared" si="107"/>
        <v>0</v>
      </c>
    </row>
    <row r="182" spans="2:37" ht="20.100000000000001" customHeight="1" x14ac:dyDescent="0.3">
      <c r="B182" s="783"/>
      <c r="C182" s="784"/>
      <c r="D182" s="784"/>
      <c r="E182" s="784"/>
      <c r="F182" s="784"/>
      <c r="G182" s="784"/>
      <c r="H182" s="772"/>
      <c r="I182" s="1664">
        <f t="shared" si="98"/>
        <v>158</v>
      </c>
      <c r="J182" s="1668">
        <f t="shared" si="113"/>
        <v>0</v>
      </c>
      <c r="K182" s="1666">
        <f t="shared" si="108"/>
        <v>0</v>
      </c>
      <c r="L182" s="1670">
        <f t="shared" si="115"/>
        <v>0</v>
      </c>
      <c r="M182" s="1668">
        <f t="shared" si="99"/>
        <v>0</v>
      </c>
      <c r="N182" s="772"/>
      <c r="O182" s="1664">
        <f t="shared" si="100"/>
        <v>158</v>
      </c>
      <c r="P182" s="1668">
        <f t="shared" si="114"/>
        <v>0</v>
      </c>
      <c r="Q182" s="1666">
        <f t="shared" si="109"/>
        <v>0</v>
      </c>
      <c r="R182" s="1670">
        <f t="shared" si="116"/>
        <v>0</v>
      </c>
      <c r="S182" s="1668">
        <f t="shared" si="101"/>
        <v>0</v>
      </c>
      <c r="T182" s="772"/>
      <c r="U182" s="1664">
        <f t="shared" si="102"/>
        <v>158</v>
      </c>
      <c r="V182" s="1668">
        <f t="shared" si="92"/>
        <v>0</v>
      </c>
      <c r="W182" s="1666">
        <f t="shared" si="110"/>
        <v>0</v>
      </c>
      <c r="X182" s="1670">
        <f t="shared" si="95"/>
        <v>0</v>
      </c>
      <c r="Y182" s="1668">
        <f t="shared" si="103"/>
        <v>0</v>
      </c>
      <c r="Z182" s="772"/>
      <c r="AA182" s="1664">
        <f t="shared" si="104"/>
        <v>158</v>
      </c>
      <c r="AB182" s="1668">
        <f t="shared" si="93"/>
        <v>0</v>
      </c>
      <c r="AC182" s="1666">
        <f t="shared" si="111"/>
        <v>0</v>
      </c>
      <c r="AD182" s="1670">
        <f t="shared" si="96"/>
        <v>0</v>
      </c>
      <c r="AE182" s="1668">
        <f t="shared" si="105"/>
        <v>0</v>
      </c>
      <c r="AF182" s="772"/>
      <c r="AG182" s="1664">
        <f t="shared" si="106"/>
        <v>158</v>
      </c>
      <c r="AH182" s="1668">
        <f t="shared" si="94"/>
        <v>0</v>
      </c>
      <c r="AI182" s="1666">
        <f t="shared" si="112"/>
        <v>0</v>
      </c>
      <c r="AJ182" s="1670">
        <f t="shared" si="97"/>
        <v>0</v>
      </c>
      <c r="AK182" s="1668">
        <f t="shared" si="107"/>
        <v>0</v>
      </c>
    </row>
    <row r="183" spans="2:37" ht="20.100000000000001" customHeight="1" x14ac:dyDescent="0.3">
      <c r="B183" s="783"/>
      <c r="C183" s="784"/>
      <c r="D183" s="784"/>
      <c r="E183" s="784"/>
      <c r="F183" s="784"/>
      <c r="G183" s="784"/>
      <c r="H183" s="772"/>
      <c r="I183" s="1664">
        <f t="shared" si="98"/>
        <v>159</v>
      </c>
      <c r="J183" s="1668">
        <f t="shared" si="113"/>
        <v>0</v>
      </c>
      <c r="K183" s="1666">
        <f t="shared" si="108"/>
        <v>0</v>
      </c>
      <c r="L183" s="1670">
        <f t="shared" si="115"/>
        <v>0</v>
      </c>
      <c r="M183" s="1668">
        <f t="shared" si="99"/>
        <v>0</v>
      </c>
      <c r="N183" s="772"/>
      <c r="O183" s="1664">
        <f t="shared" si="100"/>
        <v>159</v>
      </c>
      <c r="P183" s="1668">
        <f t="shared" si="114"/>
        <v>0</v>
      </c>
      <c r="Q183" s="1666">
        <f t="shared" si="109"/>
        <v>0</v>
      </c>
      <c r="R183" s="1670">
        <f t="shared" si="116"/>
        <v>0</v>
      </c>
      <c r="S183" s="1668">
        <f t="shared" si="101"/>
        <v>0</v>
      </c>
      <c r="T183" s="772"/>
      <c r="U183" s="1664">
        <f t="shared" si="102"/>
        <v>159</v>
      </c>
      <c r="V183" s="1668">
        <f t="shared" si="92"/>
        <v>0</v>
      </c>
      <c r="W183" s="1666">
        <f t="shared" si="110"/>
        <v>0</v>
      </c>
      <c r="X183" s="1670">
        <f t="shared" si="95"/>
        <v>0</v>
      </c>
      <c r="Y183" s="1668">
        <f t="shared" si="103"/>
        <v>0</v>
      </c>
      <c r="Z183" s="772"/>
      <c r="AA183" s="1664">
        <f t="shared" si="104"/>
        <v>159</v>
      </c>
      <c r="AB183" s="1668">
        <f t="shared" si="93"/>
        <v>0</v>
      </c>
      <c r="AC183" s="1666">
        <f t="shared" si="111"/>
        <v>0</v>
      </c>
      <c r="AD183" s="1670">
        <f t="shared" si="96"/>
        <v>0</v>
      </c>
      <c r="AE183" s="1668">
        <f t="shared" si="105"/>
        <v>0</v>
      </c>
      <c r="AF183" s="772"/>
      <c r="AG183" s="1664">
        <f t="shared" si="106"/>
        <v>159</v>
      </c>
      <c r="AH183" s="1668">
        <f t="shared" si="94"/>
        <v>0</v>
      </c>
      <c r="AI183" s="1666">
        <f t="shared" si="112"/>
        <v>0</v>
      </c>
      <c r="AJ183" s="1670">
        <f t="shared" si="97"/>
        <v>0</v>
      </c>
      <c r="AK183" s="1668">
        <f t="shared" si="107"/>
        <v>0</v>
      </c>
    </row>
    <row r="184" spans="2:37" ht="20.100000000000001" customHeight="1" x14ac:dyDescent="0.3">
      <c r="B184" s="783"/>
      <c r="C184" s="784"/>
      <c r="D184" s="784"/>
      <c r="E184" s="784"/>
      <c r="F184" s="784"/>
      <c r="G184" s="784"/>
      <c r="H184" s="772"/>
      <c r="I184" s="1664">
        <f t="shared" si="98"/>
        <v>160</v>
      </c>
      <c r="J184" s="1668">
        <f t="shared" si="113"/>
        <v>0</v>
      </c>
      <c r="K184" s="1666">
        <f t="shared" si="108"/>
        <v>0</v>
      </c>
      <c r="L184" s="1670">
        <f t="shared" si="115"/>
        <v>0</v>
      </c>
      <c r="M184" s="1668">
        <f t="shared" si="99"/>
        <v>0</v>
      </c>
      <c r="N184" s="772"/>
      <c r="O184" s="1664">
        <f t="shared" si="100"/>
        <v>160</v>
      </c>
      <c r="P184" s="1668">
        <f t="shared" si="114"/>
        <v>0</v>
      </c>
      <c r="Q184" s="1666">
        <f t="shared" si="109"/>
        <v>0</v>
      </c>
      <c r="R184" s="1670">
        <f t="shared" si="116"/>
        <v>0</v>
      </c>
      <c r="S184" s="1668">
        <f t="shared" si="101"/>
        <v>0</v>
      </c>
      <c r="T184" s="772"/>
      <c r="U184" s="1664">
        <f t="shared" si="102"/>
        <v>160</v>
      </c>
      <c r="V184" s="1668">
        <f t="shared" si="92"/>
        <v>0</v>
      </c>
      <c r="W184" s="1666">
        <f t="shared" si="110"/>
        <v>0</v>
      </c>
      <c r="X184" s="1670">
        <f t="shared" si="95"/>
        <v>0</v>
      </c>
      <c r="Y184" s="1668">
        <f t="shared" si="103"/>
        <v>0</v>
      </c>
      <c r="Z184" s="772"/>
      <c r="AA184" s="1664">
        <f t="shared" si="104"/>
        <v>160</v>
      </c>
      <c r="AB184" s="1668">
        <f t="shared" si="93"/>
        <v>0</v>
      </c>
      <c r="AC184" s="1666">
        <f t="shared" si="111"/>
        <v>0</v>
      </c>
      <c r="AD184" s="1670">
        <f t="shared" si="96"/>
        <v>0</v>
      </c>
      <c r="AE184" s="1668">
        <f t="shared" si="105"/>
        <v>0</v>
      </c>
      <c r="AF184" s="772"/>
      <c r="AG184" s="1664">
        <f t="shared" si="106"/>
        <v>160</v>
      </c>
      <c r="AH184" s="1668">
        <f t="shared" si="94"/>
        <v>0</v>
      </c>
      <c r="AI184" s="1666">
        <f t="shared" si="112"/>
        <v>0</v>
      </c>
      <c r="AJ184" s="1670">
        <f t="shared" si="97"/>
        <v>0</v>
      </c>
      <c r="AK184" s="1668">
        <f t="shared" si="107"/>
        <v>0</v>
      </c>
    </row>
    <row r="185" spans="2:37" ht="20.100000000000001" customHeight="1" x14ac:dyDescent="0.3">
      <c r="B185" s="783"/>
      <c r="C185" s="784"/>
      <c r="D185" s="784"/>
      <c r="E185" s="784"/>
      <c r="F185" s="784"/>
      <c r="G185" s="784"/>
      <c r="H185" s="772"/>
      <c r="I185" s="1664">
        <f t="shared" si="98"/>
        <v>161</v>
      </c>
      <c r="J185" s="1668">
        <f t="shared" si="113"/>
        <v>0</v>
      </c>
      <c r="K185" s="1666">
        <f t="shared" si="108"/>
        <v>0</v>
      </c>
      <c r="L185" s="1670">
        <f t="shared" si="115"/>
        <v>0</v>
      </c>
      <c r="M185" s="1668">
        <f t="shared" si="99"/>
        <v>0</v>
      </c>
      <c r="N185" s="772"/>
      <c r="O185" s="1664">
        <f t="shared" si="100"/>
        <v>161</v>
      </c>
      <c r="P185" s="1668">
        <f t="shared" si="114"/>
        <v>0</v>
      </c>
      <c r="Q185" s="1666">
        <f t="shared" si="109"/>
        <v>0</v>
      </c>
      <c r="R185" s="1670">
        <f t="shared" si="116"/>
        <v>0</v>
      </c>
      <c r="S185" s="1668">
        <f t="shared" si="101"/>
        <v>0</v>
      </c>
      <c r="T185" s="772"/>
      <c r="U185" s="1664">
        <f t="shared" si="102"/>
        <v>161</v>
      </c>
      <c r="V185" s="1668">
        <f t="shared" ref="V185:V204" si="117">ROUND(IF(U185&gt;annuité_emprunt3,0,IF(U185&gt;différé_emprunt3,-PMT((taux_emprunt3/périodicité_emprunt3),(annuité_emprunt3-différé_emprunt3),emprunt3),emprunt3*taux_emprunt3/périodicité_emprunt3)),2)</f>
        <v>0</v>
      </c>
      <c r="W185" s="1666">
        <f t="shared" si="110"/>
        <v>0</v>
      </c>
      <c r="X185" s="1670">
        <f t="shared" si="95"/>
        <v>0</v>
      </c>
      <c r="Y185" s="1668">
        <f t="shared" si="103"/>
        <v>0</v>
      </c>
      <c r="Z185" s="772"/>
      <c r="AA185" s="1664">
        <f t="shared" si="104"/>
        <v>161</v>
      </c>
      <c r="AB185" s="1668">
        <f t="shared" ref="AB185:AB204" si="118">ROUND(IF(AA185&gt;annuité_emprunt4,0,IF(AA185&gt;différé_emprunt4,-PMT((taux_emprunt4/périodicité_emprunt4),(annuité_emprunt4-différé_emprunt4),emprunt4),emprunt4*taux_emprunt4/périodicité_emprunt4)),2)</f>
        <v>0</v>
      </c>
      <c r="AC185" s="1666">
        <f t="shared" si="111"/>
        <v>0</v>
      </c>
      <c r="AD185" s="1670">
        <f t="shared" si="96"/>
        <v>0</v>
      </c>
      <c r="AE185" s="1668">
        <f t="shared" si="105"/>
        <v>0</v>
      </c>
      <c r="AF185" s="772"/>
      <c r="AG185" s="1664">
        <f t="shared" si="106"/>
        <v>161</v>
      </c>
      <c r="AH185" s="1668">
        <f t="shared" ref="AH185:AH204" si="119">ROUND(IF(AG185&gt;annuité_emprunt5,0,IF(AG185&gt;différé_emprunt5,-PMT((taux_emprunt5/périodicité_emprunt5),(annuité_emprunt5-différé_emprunt5),emprunt5),emprunt5*taux_emprunt5/périodicité_emprunt5)),2)</f>
        <v>0</v>
      </c>
      <c r="AI185" s="1666">
        <f t="shared" si="112"/>
        <v>0</v>
      </c>
      <c r="AJ185" s="1670">
        <f t="shared" si="97"/>
        <v>0</v>
      </c>
      <c r="AK185" s="1668">
        <f t="shared" si="107"/>
        <v>0</v>
      </c>
    </row>
    <row r="186" spans="2:37" ht="20.100000000000001" customHeight="1" x14ac:dyDescent="0.3">
      <c r="B186" s="783"/>
      <c r="C186" s="784"/>
      <c r="D186" s="784"/>
      <c r="E186" s="784"/>
      <c r="F186" s="784"/>
      <c r="G186" s="784"/>
      <c r="H186" s="772"/>
      <c r="I186" s="1664">
        <f t="shared" si="98"/>
        <v>162</v>
      </c>
      <c r="J186" s="1668">
        <f t="shared" si="113"/>
        <v>0</v>
      </c>
      <c r="K186" s="1666">
        <f t="shared" si="108"/>
        <v>0</v>
      </c>
      <c r="L186" s="1670">
        <f t="shared" si="115"/>
        <v>0</v>
      </c>
      <c r="M186" s="1668">
        <f t="shared" si="99"/>
        <v>0</v>
      </c>
      <c r="N186" s="772"/>
      <c r="O186" s="1664">
        <f t="shared" si="100"/>
        <v>162</v>
      </c>
      <c r="P186" s="1668">
        <f t="shared" si="114"/>
        <v>0</v>
      </c>
      <c r="Q186" s="1666">
        <f t="shared" si="109"/>
        <v>0</v>
      </c>
      <c r="R186" s="1670">
        <f t="shared" si="116"/>
        <v>0</v>
      </c>
      <c r="S186" s="1668">
        <f t="shared" si="101"/>
        <v>0</v>
      </c>
      <c r="T186" s="772"/>
      <c r="U186" s="1664">
        <f t="shared" si="102"/>
        <v>162</v>
      </c>
      <c r="V186" s="1668">
        <f t="shared" si="117"/>
        <v>0</v>
      </c>
      <c r="W186" s="1666">
        <f t="shared" si="110"/>
        <v>0</v>
      </c>
      <c r="X186" s="1670">
        <f t="shared" ref="X186:X204" si="120">ROUND(IF(V186=0,0,IF(U186=annuité_emprunt3,Y185,IF(U186&gt;différé_emprunt3,-PPMT((taux_emprunt3/périodicité_emprunt3),U186-différé_emprunt3,(annuité_emprunt3-différé_emprunt3),emprunt3),0))),2)</f>
        <v>0</v>
      </c>
      <c r="Y186" s="1668">
        <f t="shared" si="103"/>
        <v>0</v>
      </c>
      <c r="Z186" s="772"/>
      <c r="AA186" s="1664">
        <f t="shared" si="104"/>
        <v>162</v>
      </c>
      <c r="AB186" s="1668">
        <f t="shared" si="118"/>
        <v>0</v>
      </c>
      <c r="AC186" s="1666">
        <f t="shared" si="111"/>
        <v>0</v>
      </c>
      <c r="AD186" s="1670">
        <f t="shared" ref="AD186:AD204" si="121">ROUND(IF(AB186=0,0,IF(AA186=annuité_emprunt4,AE185,IF(AA186&gt;différé_emprunt4,-PPMT((taux_emprunt4/périodicité_emprunt4),AA186-différé_emprunt4,(annuité_emprunt4-différé_emprunt4),emprunt4),0))),2)</f>
        <v>0</v>
      </c>
      <c r="AE186" s="1668">
        <f t="shared" si="105"/>
        <v>0</v>
      </c>
      <c r="AF186" s="772"/>
      <c r="AG186" s="1664">
        <f t="shared" si="106"/>
        <v>162</v>
      </c>
      <c r="AH186" s="1668">
        <f t="shared" si="119"/>
        <v>0</v>
      </c>
      <c r="AI186" s="1666">
        <f t="shared" si="112"/>
        <v>0</v>
      </c>
      <c r="AJ186" s="1670">
        <f t="shared" ref="AJ186:AJ204" si="122">ROUND(IF(AH186=0,0,IF(AG186=annuité_emprunt5,AK185,IF(AG186&gt;différé_emprunt5,-PPMT((taux_emprunt5/périodicité_emprunt5),AG186-différé_emprunt5,(annuité_emprunt5-différé_emprunt5),emprunt5),0))),2)</f>
        <v>0</v>
      </c>
      <c r="AK186" s="1668">
        <f t="shared" si="107"/>
        <v>0</v>
      </c>
    </row>
    <row r="187" spans="2:37" ht="20.100000000000001" customHeight="1" x14ac:dyDescent="0.3">
      <c r="B187" s="783"/>
      <c r="C187" s="784"/>
      <c r="D187" s="784"/>
      <c r="E187" s="784"/>
      <c r="F187" s="784"/>
      <c r="G187" s="784"/>
      <c r="H187" s="772"/>
      <c r="I187" s="1664">
        <f t="shared" si="98"/>
        <v>163</v>
      </c>
      <c r="J187" s="1668">
        <f t="shared" si="113"/>
        <v>0</v>
      </c>
      <c r="K187" s="1666">
        <f t="shared" si="108"/>
        <v>0</v>
      </c>
      <c r="L187" s="1670">
        <f t="shared" si="115"/>
        <v>0</v>
      </c>
      <c r="M187" s="1668">
        <f t="shared" si="99"/>
        <v>0</v>
      </c>
      <c r="N187" s="772"/>
      <c r="O187" s="1664">
        <f t="shared" si="100"/>
        <v>163</v>
      </c>
      <c r="P187" s="1668">
        <f t="shared" si="114"/>
        <v>0</v>
      </c>
      <c r="Q187" s="1666">
        <f t="shared" si="109"/>
        <v>0</v>
      </c>
      <c r="R187" s="1670">
        <f t="shared" si="116"/>
        <v>0</v>
      </c>
      <c r="S187" s="1668">
        <f t="shared" si="101"/>
        <v>0</v>
      </c>
      <c r="T187" s="772"/>
      <c r="U187" s="1664">
        <f t="shared" si="102"/>
        <v>163</v>
      </c>
      <c r="V187" s="1668">
        <f t="shared" si="117"/>
        <v>0</v>
      </c>
      <c r="W187" s="1666">
        <f t="shared" si="110"/>
        <v>0</v>
      </c>
      <c r="X187" s="1670">
        <f t="shared" si="120"/>
        <v>0</v>
      </c>
      <c r="Y187" s="1668">
        <f t="shared" si="103"/>
        <v>0</v>
      </c>
      <c r="Z187" s="772"/>
      <c r="AA187" s="1664">
        <f t="shared" si="104"/>
        <v>163</v>
      </c>
      <c r="AB187" s="1668">
        <f t="shared" si="118"/>
        <v>0</v>
      </c>
      <c r="AC187" s="1666">
        <f t="shared" si="111"/>
        <v>0</v>
      </c>
      <c r="AD187" s="1670">
        <f t="shared" si="121"/>
        <v>0</v>
      </c>
      <c r="AE187" s="1668">
        <f t="shared" si="105"/>
        <v>0</v>
      </c>
      <c r="AF187" s="772"/>
      <c r="AG187" s="1664">
        <f t="shared" si="106"/>
        <v>163</v>
      </c>
      <c r="AH187" s="1668">
        <f t="shared" si="119"/>
        <v>0</v>
      </c>
      <c r="AI187" s="1666">
        <f t="shared" si="112"/>
        <v>0</v>
      </c>
      <c r="AJ187" s="1670">
        <f t="shared" si="122"/>
        <v>0</v>
      </c>
      <c r="AK187" s="1668">
        <f t="shared" si="107"/>
        <v>0</v>
      </c>
    </row>
    <row r="188" spans="2:37" ht="20.100000000000001" customHeight="1" x14ac:dyDescent="0.3">
      <c r="B188" s="783"/>
      <c r="C188" s="784"/>
      <c r="D188" s="784"/>
      <c r="E188" s="784"/>
      <c r="F188" s="784"/>
      <c r="G188" s="784"/>
      <c r="H188" s="772"/>
      <c r="I188" s="1664">
        <f t="shared" si="98"/>
        <v>164</v>
      </c>
      <c r="J188" s="1668">
        <f t="shared" si="113"/>
        <v>0</v>
      </c>
      <c r="K188" s="1666">
        <f t="shared" si="108"/>
        <v>0</v>
      </c>
      <c r="L188" s="1670">
        <f t="shared" si="115"/>
        <v>0</v>
      </c>
      <c r="M188" s="1668">
        <f t="shared" si="99"/>
        <v>0</v>
      </c>
      <c r="N188" s="772"/>
      <c r="O188" s="1664">
        <f t="shared" si="100"/>
        <v>164</v>
      </c>
      <c r="P188" s="1668">
        <f t="shared" si="114"/>
        <v>0</v>
      </c>
      <c r="Q188" s="1666">
        <f t="shared" si="109"/>
        <v>0</v>
      </c>
      <c r="R188" s="1670">
        <f t="shared" si="116"/>
        <v>0</v>
      </c>
      <c r="S188" s="1668">
        <f t="shared" si="101"/>
        <v>0</v>
      </c>
      <c r="T188" s="772"/>
      <c r="U188" s="1664">
        <f t="shared" si="102"/>
        <v>164</v>
      </c>
      <c r="V188" s="1668">
        <f t="shared" si="117"/>
        <v>0</v>
      </c>
      <c r="W188" s="1666">
        <f t="shared" si="110"/>
        <v>0</v>
      </c>
      <c r="X188" s="1670">
        <f t="shared" si="120"/>
        <v>0</v>
      </c>
      <c r="Y188" s="1668">
        <f t="shared" si="103"/>
        <v>0</v>
      </c>
      <c r="Z188" s="772"/>
      <c r="AA188" s="1664">
        <f t="shared" si="104"/>
        <v>164</v>
      </c>
      <c r="AB188" s="1668">
        <f t="shared" si="118"/>
        <v>0</v>
      </c>
      <c r="AC188" s="1666">
        <f t="shared" si="111"/>
        <v>0</v>
      </c>
      <c r="AD188" s="1670">
        <f t="shared" si="121"/>
        <v>0</v>
      </c>
      <c r="AE188" s="1668">
        <f t="shared" si="105"/>
        <v>0</v>
      </c>
      <c r="AF188" s="772"/>
      <c r="AG188" s="1664">
        <f t="shared" si="106"/>
        <v>164</v>
      </c>
      <c r="AH188" s="1668">
        <f t="shared" si="119"/>
        <v>0</v>
      </c>
      <c r="AI188" s="1666">
        <f t="shared" si="112"/>
        <v>0</v>
      </c>
      <c r="AJ188" s="1670">
        <f t="shared" si="122"/>
        <v>0</v>
      </c>
      <c r="AK188" s="1668">
        <f t="shared" si="107"/>
        <v>0</v>
      </c>
    </row>
    <row r="189" spans="2:37" ht="20.100000000000001" customHeight="1" x14ac:dyDescent="0.3">
      <c r="B189" s="783"/>
      <c r="C189" s="784"/>
      <c r="D189" s="784"/>
      <c r="E189" s="784"/>
      <c r="F189" s="784"/>
      <c r="G189" s="784"/>
      <c r="H189" s="772"/>
      <c r="I189" s="1664">
        <f t="shared" si="98"/>
        <v>165</v>
      </c>
      <c r="J189" s="1668">
        <f t="shared" si="113"/>
        <v>0</v>
      </c>
      <c r="K189" s="1666">
        <f t="shared" si="108"/>
        <v>0</v>
      </c>
      <c r="L189" s="1670">
        <f t="shared" si="115"/>
        <v>0</v>
      </c>
      <c r="M189" s="1668">
        <f t="shared" si="99"/>
        <v>0</v>
      </c>
      <c r="N189" s="772"/>
      <c r="O189" s="1664">
        <f t="shared" si="100"/>
        <v>165</v>
      </c>
      <c r="P189" s="1668">
        <f t="shared" si="114"/>
        <v>0</v>
      </c>
      <c r="Q189" s="1666">
        <f t="shared" si="109"/>
        <v>0</v>
      </c>
      <c r="R189" s="1670">
        <f t="shared" si="116"/>
        <v>0</v>
      </c>
      <c r="S189" s="1668">
        <f t="shared" si="101"/>
        <v>0</v>
      </c>
      <c r="T189" s="772"/>
      <c r="U189" s="1664">
        <f t="shared" si="102"/>
        <v>165</v>
      </c>
      <c r="V189" s="1668">
        <f t="shared" si="117"/>
        <v>0</v>
      </c>
      <c r="W189" s="1666">
        <f t="shared" si="110"/>
        <v>0</v>
      </c>
      <c r="X189" s="1670">
        <f t="shared" si="120"/>
        <v>0</v>
      </c>
      <c r="Y189" s="1668">
        <f t="shared" si="103"/>
        <v>0</v>
      </c>
      <c r="Z189" s="772"/>
      <c r="AA189" s="1664">
        <f t="shared" si="104"/>
        <v>165</v>
      </c>
      <c r="AB189" s="1668">
        <f t="shared" si="118"/>
        <v>0</v>
      </c>
      <c r="AC189" s="1666">
        <f t="shared" si="111"/>
        <v>0</v>
      </c>
      <c r="AD189" s="1670">
        <f t="shared" si="121"/>
        <v>0</v>
      </c>
      <c r="AE189" s="1668">
        <f t="shared" si="105"/>
        <v>0</v>
      </c>
      <c r="AF189" s="772"/>
      <c r="AG189" s="1664">
        <f t="shared" si="106"/>
        <v>165</v>
      </c>
      <c r="AH189" s="1668">
        <f t="shared" si="119"/>
        <v>0</v>
      </c>
      <c r="AI189" s="1666">
        <f t="shared" si="112"/>
        <v>0</v>
      </c>
      <c r="AJ189" s="1670">
        <f t="shared" si="122"/>
        <v>0</v>
      </c>
      <c r="AK189" s="1668">
        <f t="shared" si="107"/>
        <v>0</v>
      </c>
    </row>
    <row r="190" spans="2:37" ht="20.100000000000001" customHeight="1" x14ac:dyDescent="0.3">
      <c r="B190" s="783"/>
      <c r="C190" s="784"/>
      <c r="D190" s="784"/>
      <c r="E190" s="784"/>
      <c r="F190" s="784"/>
      <c r="G190" s="784"/>
      <c r="H190" s="772"/>
      <c r="I190" s="1664">
        <f t="shared" si="98"/>
        <v>166</v>
      </c>
      <c r="J190" s="1668">
        <f t="shared" si="113"/>
        <v>0</v>
      </c>
      <c r="K190" s="1666">
        <f t="shared" si="108"/>
        <v>0</v>
      </c>
      <c r="L190" s="1670">
        <f t="shared" si="115"/>
        <v>0</v>
      </c>
      <c r="M190" s="1668">
        <f t="shared" si="99"/>
        <v>0</v>
      </c>
      <c r="N190" s="772"/>
      <c r="O190" s="1664">
        <f t="shared" si="100"/>
        <v>166</v>
      </c>
      <c r="P190" s="1668">
        <f t="shared" si="114"/>
        <v>0</v>
      </c>
      <c r="Q190" s="1666">
        <f t="shared" si="109"/>
        <v>0</v>
      </c>
      <c r="R190" s="1670">
        <f t="shared" si="116"/>
        <v>0</v>
      </c>
      <c r="S190" s="1668">
        <f t="shared" si="101"/>
        <v>0</v>
      </c>
      <c r="T190" s="772"/>
      <c r="U190" s="1664">
        <f t="shared" si="102"/>
        <v>166</v>
      </c>
      <c r="V190" s="1668">
        <f t="shared" si="117"/>
        <v>0</v>
      </c>
      <c r="W190" s="1666">
        <f t="shared" si="110"/>
        <v>0</v>
      </c>
      <c r="X190" s="1670">
        <f t="shared" si="120"/>
        <v>0</v>
      </c>
      <c r="Y190" s="1668">
        <f t="shared" si="103"/>
        <v>0</v>
      </c>
      <c r="Z190" s="772"/>
      <c r="AA190" s="1664">
        <f t="shared" si="104"/>
        <v>166</v>
      </c>
      <c r="AB190" s="1668">
        <f t="shared" si="118"/>
        <v>0</v>
      </c>
      <c r="AC190" s="1666">
        <f t="shared" si="111"/>
        <v>0</v>
      </c>
      <c r="AD190" s="1670">
        <f t="shared" si="121"/>
        <v>0</v>
      </c>
      <c r="AE190" s="1668">
        <f t="shared" si="105"/>
        <v>0</v>
      </c>
      <c r="AF190" s="772"/>
      <c r="AG190" s="1664">
        <f t="shared" si="106"/>
        <v>166</v>
      </c>
      <c r="AH190" s="1668">
        <f t="shared" si="119"/>
        <v>0</v>
      </c>
      <c r="AI190" s="1666">
        <f t="shared" si="112"/>
        <v>0</v>
      </c>
      <c r="AJ190" s="1670">
        <f t="shared" si="122"/>
        <v>0</v>
      </c>
      <c r="AK190" s="1668">
        <f t="shared" si="107"/>
        <v>0</v>
      </c>
    </row>
    <row r="191" spans="2:37" ht="20.100000000000001" customHeight="1" x14ac:dyDescent="0.3">
      <c r="B191" s="783"/>
      <c r="C191" s="784"/>
      <c r="D191" s="784"/>
      <c r="E191" s="784"/>
      <c r="F191" s="784"/>
      <c r="G191" s="784"/>
      <c r="H191" s="772"/>
      <c r="I191" s="1664">
        <f t="shared" si="98"/>
        <v>167</v>
      </c>
      <c r="J191" s="1668">
        <f t="shared" si="113"/>
        <v>0</v>
      </c>
      <c r="K191" s="1666">
        <f t="shared" si="108"/>
        <v>0</v>
      </c>
      <c r="L191" s="1670">
        <f t="shared" si="115"/>
        <v>0</v>
      </c>
      <c r="M191" s="1668">
        <f t="shared" si="99"/>
        <v>0</v>
      </c>
      <c r="N191" s="772"/>
      <c r="O191" s="1664">
        <f t="shared" si="100"/>
        <v>167</v>
      </c>
      <c r="P191" s="1668">
        <f t="shared" si="114"/>
        <v>0</v>
      </c>
      <c r="Q191" s="1666">
        <f t="shared" si="109"/>
        <v>0</v>
      </c>
      <c r="R191" s="1670">
        <f t="shared" si="116"/>
        <v>0</v>
      </c>
      <c r="S191" s="1668">
        <f t="shared" si="101"/>
        <v>0</v>
      </c>
      <c r="T191" s="772"/>
      <c r="U191" s="1664">
        <f t="shared" si="102"/>
        <v>167</v>
      </c>
      <c r="V191" s="1668">
        <f t="shared" si="117"/>
        <v>0</v>
      </c>
      <c r="W191" s="1666">
        <f t="shared" si="110"/>
        <v>0</v>
      </c>
      <c r="X191" s="1670">
        <f t="shared" si="120"/>
        <v>0</v>
      </c>
      <c r="Y191" s="1668">
        <f t="shared" si="103"/>
        <v>0</v>
      </c>
      <c r="Z191" s="772"/>
      <c r="AA191" s="1664">
        <f t="shared" si="104"/>
        <v>167</v>
      </c>
      <c r="AB191" s="1668">
        <f t="shared" si="118"/>
        <v>0</v>
      </c>
      <c r="AC191" s="1666">
        <f t="shared" si="111"/>
        <v>0</v>
      </c>
      <c r="AD191" s="1670">
        <f t="shared" si="121"/>
        <v>0</v>
      </c>
      <c r="AE191" s="1668">
        <f t="shared" si="105"/>
        <v>0</v>
      </c>
      <c r="AF191" s="772"/>
      <c r="AG191" s="1664">
        <f t="shared" si="106"/>
        <v>167</v>
      </c>
      <c r="AH191" s="1668">
        <f t="shared" si="119"/>
        <v>0</v>
      </c>
      <c r="AI191" s="1666">
        <f t="shared" si="112"/>
        <v>0</v>
      </c>
      <c r="AJ191" s="1670">
        <f t="shared" si="122"/>
        <v>0</v>
      </c>
      <c r="AK191" s="1668">
        <f t="shared" si="107"/>
        <v>0</v>
      </c>
    </row>
    <row r="192" spans="2:37" ht="20.100000000000001" customHeight="1" x14ac:dyDescent="0.3">
      <c r="B192" s="783"/>
      <c r="C192" s="784"/>
      <c r="D192" s="784"/>
      <c r="E192" s="784"/>
      <c r="F192" s="784"/>
      <c r="G192" s="784"/>
      <c r="H192" s="772"/>
      <c r="I192" s="1664">
        <f t="shared" si="98"/>
        <v>168</v>
      </c>
      <c r="J192" s="1668">
        <f t="shared" si="113"/>
        <v>0</v>
      </c>
      <c r="K192" s="1666">
        <f t="shared" si="108"/>
        <v>0</v>
      </c>
      <c r="L192" s="1670">
        <f t="shared" si="115"/>
        <v>0</v>
      </c>
      <c r="M192" s="1668">
        <f t="shared" si="99"/>
        <v>0</v>
      </c>
      <c r="N192" s="772"/>
      <c r="O192" s="1664">
        <f t="shared" si="100"/>
        <v>168</v>
      </c>
      <c r="P192" s="1668">
        <f t="shared" si="114"/>
        <v>0</v>
      </c>
      <c r="Q192" s="1666">
        <f t="shared" si="109"/>
        <v>0</v>
      </c>
      <c r="R192" s="1670">
        <f t="shared" si="116"/>
        <v>0</v>
      </c>
      <c r="S192" s="1668">
        <f t="shared" si="101"/>
        <v>0</v>
      </c>
      <c r="T192" s="772"/>
      <c r="U192" s="1664">
        <f t="shared" si="102"/>
        <v>168</v>
      </c>
      <c r="V192" s="1668">
        <f t="shared" si="117"/>
        <v>0</v>
      </c>
      <c r="W192" s="1666">
        <f t="shared" si="110"/>
        <v>0</v>
      </c>
      <c r="X192" s="1670">
        <f t="shared" si="120"/>
        <v>0</v>
      </c>
      <c r="Y192" s="1668">
        <f t="shared" si="103"/>
        <v>0</v>
      </c>
      <c r="Z192" s="772"/>
      <c r="AA192" s="1664">
        <f t="shared" si="104"/>
        <v>168</v>
      </c>
      <c r="AB192" s="1668">
        <f t="shared" si="118"/>
        <v>0</v>
      </c>
      <c r="AC192" s="1666">
        <f t="shared" si="111"/>
        <v>0</v>
      </c>
      <c r="AD192" s="1670">
        <f t="shared" si="121"/>
        <v>0</v>
      </c>
      <c r="AE192" s="1668">
        <f t="shared" si="105"/>
        <v>0</v>
      </c>
      <c r="AF192" s="772"/>
      <c r="AG192" s="1664">
        <f t="shared" si="106"/>
        <v>168</v>
      </c>
      <c r="AH192" s="1668">
        <f t="shared" si="119"/>
        <v>0</v>
      </c>
      <c r="AI192" s="1666">
        <f t="shared" si="112"/>
        <v>0</v>
      </c>
      <c r="AJ192" s="1670">
        <f t="shared" si="122"/>
        <v>0</v>
      </c>
      <c r="AK192" s="1668">
        <f t="shared" si="107"/>
        <v>0</v>
      </c>
    </row>
    <row r="193" spans="1:245" ht="20.100000000000001" customHeight="1" x14ac:dyDescent="0.3">
      <c r="B193" s="783"/>
      <c r="C193" s="784"/>
      <c r="D193" s="784"/>
      <c r="E193" s="784"/>
      <c r="F193" s="784"/>
      <c r="G193" s="784"/>
      <c r="H193" s="772"/>
      <c r="I193" s="1664">
        <f t="shared" si="98"/>
        <v>169</v>
      </c>
      <c r="J193" s="1668">
        <f t="shared" si="113"/>
        <v>0</v>
      </c>
      <c r="K193" s="1666">
        <f t="shared" si="108"/>
        <v>0</v>
      </c>
      <c r="L193" s="1670">
        <f t="shared" si="115"/>
        <v>0</v>
      </c>
      <c r="M193" s="1668">
        <f t="shared" si="99"/>
        <v>0</v>
      </c>
      <c r="N193" s="772"/>
      <c r="O193" s="1664">
        <f t="shared" si="100"/>
        <v>169</v>
      </c>
      <c r="P193" s="1668">
        <f t="shared" si="114"/>
        <v>0</v>
      </c>
      <c r="Q193" s="1666">
        <f t="shared" si="109"/>
        <v>0</v>
      </c>
      <c r="R193" s="1670">
        <f t="shared" si="116"/>
        <v>0</v>
      </c>
      <c r="S193" s="1668">
        <f t="shared" si="101"/>
        <v>0</v>
      </c>
      <c r="T193" s="772"/>
      <c r="U193" s="1664">
        <f t="shared" si="102"/>
        <v>169</v>
      </c>
      <c r="V193" s="1668">
        <f t="shared" si="117"/>
        <v>0</v>
      </c>
      <c r="W193" s="1666">
        <f t="shared" si="110"/>
        <v>0</v>
      </c>
      <c r="X193" s="1670">
        <f t="shared" si="120"/>
        <v>0</v>
      </c>
      <c r="Y193" s="1668">
        <f t="shared" si="103"/>
        <v>0</v>
      </c>
      <c r="Z193" s="772"/>
      <c r="AA193" s="1664">
        <f t="shared" si="104"/>
        <v>169</v>
      </c>
      <c r="AB193" s="1668">
        <f t="shared" si="118"/>
        <v>0</v>
      </c>
      <c r="AC193" s="1666">
        <f t="shared" si="111"/>
        <v>0</v>
      </c>
      <c r="AD193" s="1670">
        <f t="shared" si="121"/>
        <v>0</v>
      </c>
      <c r="AE193" s="1668">
        <f t="shared" si="105"/>
        <v>0</v>
      </c>
      <c r="AF193" s="772"/>
      <c r="AG193" s="1664">
        <f t="shared" si="106"/>
        <v>169</v>
      </c>
      <c r="AH193" s="1668">
        <f t="shared" si="119"/>
        <v>0</v>
      </c>
      <c r="AI193" s="1666">
        <f t="shared" si="112"/>
        <v>0</v>
      </c>
      <c r="AJ193" s="1670">
        <f t="shared" si="122"/>
        <v>0</v>
      </c>
      <c r="AK193" s="1668">
        <f t="shared" si="107"/>
        <v>0</v>
      </c>
    </row>
    <row r="194" spans="1:245" ht="20.100000000000001" customHeight="1" x14ac:dyDescent="0.3">
      <c r="B194" s="783"/>
      <c r="C194" s="784"/>
      <c r="D194" s="784"/>
      <c r="E194" s="784"/>
      <c r="F194" s="784"/>
      <c r="G194" s="784"/>
      <c r="H194" s="772"/>
      <c r="I194" s="1664">
        <f t="shared" si="98"/>
        <v>170</v>
      </c>
      <c r="J194" s="1668">
        <f t="shared" si="113"/>
        <v>0</v>
      </c>
      <c r="K194" s="1666">
        <f t="shared" si="108"/>
        <v>0</v>
      </c>
      <c r="L194" s="1670">
        <f t="shared" si="115"/>
        <v>0</v>
      </c>
      <c r="M194" s="1668">
        <f t="shared" si="99"/>
        <v>0</v>
      </c>
      <c r="N194" s="772"/>
      <c r="O194" s="1664">
        <f t="shared" si="100"/>
        <v>170</v>
      </c>
      <c r="P194" s="1668">
        <f t="shared" si="114"/>
        <v>0</v>
      </c>
      <c r="Q194" s="1666">
        <f t="shared" si="109"/>
        <v>0</v>
      </c>
      <c r="R194" s="1670">
        <f t="shared" si="116"/>
        <v>0</v>
      </c>
      <c r="S194" s="1668">
        <f t="shared" si="101"/>
        <v>0</v>
      </c>
      <c r="T194" s="772"/>
      <c r="U194" s="1664">
        <f t="shared" si="102"/>
        <v>170</v>
      </c>
      <c r="V194" s="1668">
        <f t="shared" si="117"/>
        <v>0</v>
      </c>
      <c r="W194" s="1666">
        <f t="shared" si="110"/>
        <v>0</v>
      </c>
      <c r="X194" s="1670">
        <f t="shared" si="120"/>
        <v>0</v>
      </c>
      <c r="Y194" s="1668">
        <f t="shared" si="103"/>
        <v>0</v>
      </c>
      <c r="Z194" s="772"/>
      <c r="AA194" s="1664">
        <f t="shared" si="104"/>
        <v>170</v>
      </c>
      <c r="AB194" s="1668">
        <f t="shared" si="118"/>
        <v>0</v>
      </c>
      <c r="AC194" s="1666">
        <f t="shared" si="111"/>
        <v>0</v>
      </c>
      <c r="AD194" s="1670">
        <f t="shared" si="121"/>
        <v>0</v>
      </c>
      <c r="AE194" s="1668">
        <f t="shared" si="105"/>
        <v>0</v>
      </c>
      <c r="AF194" s="772"/>
      <c r="AG194" s="1664">
        <f t="shared" si="106"/>
        <v>170</v>
      </c>
      <c r="AH194" s="1668">
        <f t="shared" si="119"/>
        <v>0</v>
      </c>
      <c r="AI194" s="1666">
        <f t="shared" si="112"/>
        <v>0</v>
      </c>
      <c r="AJ194" s="1670">
        <f t="shared" si="122"/>
        <v>0</v>
      </c>
      <c r="AK194" s="1668">
        <f t="shared" si="107"/>
        <v>0</v>
      </c>
    </row>
    <row r="195" spans="1:245" ht="20.100000000000001" customHeight="1" x14ac:dyDescent="0.3">
      <c r="B195" s="783"/>
      <c r="C195" s="784"/>
      <c r="D195" s="784"/>
      <c r="E195" s="784"/>
      <c r="F195" s="784"/>
      <c r="G195" s="784"/>
      <c r="H195" s="772"/>
      <c r="I195" s="1664">
        <f t="shared" si="98"/>
        <v>171</v>
      </c>
      <c r="J195" s="1668">
        <f t="shared" si="113"/>
        <v>0</v>
      </c>
      <c r="K195" s="1666">
        <f t="shared" si="108"/>
        <v>0</v>
      </c>
      <c r="L195" s="1670">
        <f t="shared" si="115"/>
        <v>0</v>
      </c>
      <c r="M195" s="1668">
        <f t="shared" si="99"/>
        <v>0</v>
      </c>
      <c r="N195" s="772"/>
      <c r="O195" s="1664">
        <f t="shared" si="100"/>
        <v>171</v>
      </c>
      <c r="P195" s="1668">
        <f t="shared" si="114"/>
        <v>0</v>
      </c>
      <c r="Q195" s="1666">
        <f t="shared" si="109"/>
        <v>0</v>
      </c>
      <c r="R195" s="1670">
        <f t="shared" si="116"/>
        <v>0</v>
      </c>
      <c r="S195" s="1668">
        <f t="shared" si="101"/>
        <v>0</v>
      </c>
      <c r="T195" s="772"/>
      <c r="U195" s="1664">
        <f t="shared" si="102"/>
        <v>171</v>
      </c>
      <c r="V195" s="1668">
        <f t="shared" si="117"/>
        <v>0</v>
      </c>
      <c r="W195" s="1666">
        <f t="shared" si="110"/>
        <v>0</v>
      </c>
      <c r="X195" s="1670">
        <f t="shared" si="120"/>
        <v>0</v>
      </c>
      <c r="Y195" s="1668">
        <f t="shared" si="103"/>
        <v>0</v>
      </c>
      <c r="Z195" s="772"/>
      <c r="AA195" s="1664">
        <f t="shared" si="104"/>
        <v>171</v>
      </c>
      <c r="AB195" s="1668">
        <f t="shared" si="118"/>
        <v>0</v>
      </c>
      <c r="AC195" s="1666">
        <f t="shared" si="111"/>
        <v>0</v>
      </c>
      <c r="AD195" s="1670">
        <f t="shared" si="121"/>
        <v>0</v>
      </c>
      <c r="AE195" s="1668">
        <f t="shared" si="105"/>
        <v>0</v>
      </c>
      <c r="AF195" s="772"/>
      <c r="AG195" s="1664">
        <f t="shared" si="106"/>
        <v>171</v>
      </c>
      <c r="AH195" s="1668">
        <f t="shared" si="119"/>
        <v>0</v>
      </c>
      <c r="AI195" s="1666">
        <f t="shared" si="112"/>
        <v>0</v>
      </c>
      <c r="AJ195" s="1670">
        <f t="shared" si="122"/>
        <v>0</v>
      </c>
      <c r="AK195" s="1668">
        <f t="shared" si="107"/>
        <v>0</v>
      </c>
    </row>
    <row r="196" spans="1:245" ht="20.100000000000001" customHeight="1" x14ac:dyDescent="0.3">
      <c r="B196" s="783"/>
      <c r="C196" s="784"/>
      <c r="D196" s="784"/>
      <c r="E196" s="784"/>
      <c r="F196" s="784"/>
      <c r="G196" s="784"/>
      <c r="H196" s="772"/>
      <c r="I196" s="1664">
        <f t="shared" si="98"/>
        <v>172</v>
      </c>
      <c r="J196" s="1668">
        <f t="shared" si="113"/>
        <v>0</v>
      </c>
      <c r="K196" s="1666">
        <f t="shared" si="108"/>
        <v>0</v>
      </c>
      <c r="L196" s="1670">
        <f t="shared" si="115"/>
        <v>0</v>
      </c>
      <c r="M196" s="1668">
        <f t="shared" si="99"/>
        <v>0</v>
      </c>
      <c r="N196" s="772"/>
      <c r="O196" s="1664">
        <f t="shared" si="100"/>
        <v>172</v>
      </c>
      <c r="P196" s="1668">
        <f t="shared" si="114"/>
        <v>0</v>
      </c>
      <c r="Q196" s="1666">
        <f t="shared" si="109"/>
        <v>0</v>
      </c>
      <c r="R196" s="1670">
        <f t="shared" si="116"/>
        <v>0</v>
      </c>
      <c r="S196" s="1668">
        <f t="shared" si="101"/>
        <v>0</v>
      </c>
      <c r="T196" s="772"/>
      <c r="U196" s="1664">
        <f t="shared" si="102"/>
        <v>172</v>
      </c>
      <c r="V196" s="1668">
        <f t="shared" si="117"/>
        <v>0</v>
      </c>
      <c r="W196" s="1666">
        <f t="shared" si="110"/>
        <v>0</v>
      </c>
      <c r="X196" s="1670">
        <f t="shared" si="120"/>
        <v>0</v>
      </c>
      <c r="Y196" s="1668">
        <f t="shared" si="103"/>
        <v>0</v>
      </c>
      <c r="Z196" s="772"/>
      <c r="AA196" s="1664">
        <f t="shared" si="104"/>
        <v>172</v>
      </c>
      <c r="AB196" s="1668">
        <f t="shared" si="118"/>
        <v>0</v>
      </c>
      <c r="AC196" s="1666">
        <f t="shared" si="111"/>
        <v>0</v>
      </c>
      <c r="AD196" s="1670">
        <f t="shared" si="121"/>
        <v>0</v>
      </c>
      <c r="AE196" s="1668">
        <f t="shared" si="105"/>
        <v>0</v>
      </c>
      <c r="AF196" s="772"/>
      <c r="AG196" s="1664">
        <f t="shared" si="106"/>
        <v>172</v>
      </c>
      <c r="AH196" s="1668">
        <f t="shared" si="119"/>
        <v>0</v>
      </c>
      <c r="AI196" s="1666">
        <f t="shared" si="112"/>
        <v>0</v>
      </c>
      <c r="AJ196" s="1670">
        <f t="shared" si="122"/>
        <v>0</v>
      </c>
      <c r="AK196" s="1668">
        <f t="shared" si="107"/>
        <v>0</v>
      </c>
    </row>
    <row r="197" spans="1:245" ht="20.100000000000001" customHeight="1" x14ac:dyDescent="0.3">
      <c r="B197" s="783"/>
      <c r="C197" s="784"/>
      <c r="D197" s="784"/>
      <c r="E197" s="784"/>
      <c r="F197" s="784"/>
      <c r="G197" s="784"/>
      <c r="H197" s="772"/>
      <c r="I197" s="1664">
        <f t="shared" si="98"/>
        <v>173</v>
      </c>
      <c r="J197" s="1668">
        <f t="shared" si="113"/>
        <v>0</v>
      </c>
      <c r="K197" s="1666">
        <f t="shared" si="108"/>
        <v>0</v>
      </c>
      <c r="L197" s="1670">
        <f t="shared" si="115"/>
        <v>0</v>
      </c>
      <c r="M197" s="1668">
        <f t="shared" si="99"/>
        <v>0</v>
      </c>
      <c r="N197" s="772"/>
      <c r="O197" s="1664">
        <f t="shared" si="100"/>
        <v>173</v>
      </c>
      <c r="P197" s="1668">
        <f t="shared" si="114"/>
        <v>0</v>
      </c>
      <c r="Q197" s="1666">
        <f t="shared" si="109"/>
        <v>0</v>
      </c>
      <c r="R197" s="1670">
        <f t="shared" si="116"/>
        <v>0</v>
      </c>
      <c r="S197" s="1668">
        <f t="shared" si="101"/>
        <v>0</v>
      </c>
      <c r="T197" s="772"/>
      <c r="U197" s="1664">
        <f t="shared" si="102"/>
        <v>173</v>
      </c>
      <c r="V197" s="1668">
        <f t="shared" si="117"/>
        <v>0</v>
      </c>
      <c r="W197" s="1666">
        <f t="shared" si="110"/>
        <v>0</v>
      </c>
      <c r="X197" s="1670">
        <f t="shared" si="120"/>
        <v>0</v>
      </c>
      <c r="Y197" s="1668">
        <f t="shared" si="103"/>
        <v>0</v>
      </c>
      <c r="Z197" s="772"/>
      <c r="AA197" s="1664">
        <f t="shared" si="104"/>
        <v>173</v>
      </c>
      <c r="AB197" s="1668">
        <f t="shared" si="118"/>
        <v>0</v>
      </c>
      <c r="AC197" s="1666">
        <f t="shared" si="111"/>
        <v>0</v>
      </c>
      <c r="AD197" s="1670">
        <f t="shared" si="121"/>
        <v>0</v>
      </c>
      <c r="AE197" s="1668">
        <f t="shared" si="105"/>
        <v>0</v>
      </c>
      <c r="AF197" s="772"/>
      <c r="AG197" s="1664">
        <f t="shared" si="106"/>
        <v>173</v>
      </c>
      <c r="AH197" s="1668">
        <f t="shared" si="119"/>
        <v>0</v>
      </c>
      <c r="AI197" s="1666">
        <f t="shared" si="112"/>
        <v>0</v>
      </c>
      <c r="AJ197" s="1670">
        <f t="shared" si="122"/>
        <v>0</v>
      </c>
      <c r="AK197" s="1668">
        <f t="shared" si="107"/>
        <v>0</v>
      </c>
    </row>
    <row r="198" spans="1:245" ht="20.100000000000001" customHeight="1" x14ac:dyDescent="0.3">
      <c r="B198" s="783"/>
      <c r="C198" s="784"/>
      <c r="D198" s="784"/>
      <c r="E198" s="784"/>
      <c r="F198" s="784"/>
      <c r="G198" s="784"/>
      <c r="H198" s="772"/>
      <c r="I198" s="1664">
        <f t="shared" si="98"/>
        <v>174</v>
      </c>
      <c r="J198" s="1668">
        <f t="shared" si="113"/>
        <v>0</v>
      </c>
      <c r="K198" s="1666">
        <f t="shared" si="108"/>
        <v>0</v>
      </c>
      <c r="L198" s="1670">
        <f t="shared" si="115"/>
        <v>0</v>
      </c>
      <c r="M198" s="1668">
        <f t="shared" si="99"/>
        <v>0</v>
      </c>
      <c r="N198" s="772"/>
      <c r="O198" s="1664">
        <f t="shared" si="100"/>
        <v>174</v>
      </c>
      <c r="P198" s="1668">
        <f t="shared" si="114"/>
        <v>0</v>
      </c>
      <c r="Q198" s="1666">
        <f t="shared" si="109"/>
        <v>0</v>
      </c>
      <c r="R198" s="1670">
        <f t="shared" si="116"/>
        <v>0</v>
      </c>
      <c r="S198" s="1668">
        <f t="shared" si="101"/>
        <v>0</v>
      </c>
      <c r="T198" s="772"/>
      <c r="U198" s="1664">
        <f t="shared" si="102"/>
        <v>174</v>
      </c>
      <c r="V198" s="1668">
        <f t="shared" si="117"/>
        <v>0</v>
      </c>
      <c r="W198" s="1666">
        <f t="shared" si="110"/>
        <v>0</v>
      </c>
      <c r="X198" s="1670">
        <f t="shared" si="120"/>
        <v>0</v>
      </c>
      <c r="Y198" s="1668">
        <f t="shared" si="103"/>
        <v>0</v>
      </c>
      <c r="Z198" s="772"/>
      <c r="AA198" s="1664">
        <f t="shared" si="104"/>
        <v>174</v>
      </c>
      <c r="AB198" s="1668">
        <f t="shared" si="118"/>
        <v>0</v>
      </c>
      <c r="AC198" s="1666">
        <f t="shared" si="111"/>
        <v>0</v>
      </c>
      <c r="AD198" s="1670">
        <f t="shared" si="121"/>
        <v>0</v>
      </c>
      <c r="AE198" s="1668">
        <f t="shared" si="105"/>
        <v>0</v>
      </c>
      <c r="AF198" s="772"/>
      <c r="AG198" s="1664">
        <f t="shared" si="106"/>
        <v>174</v>
      </c>
      <c r="AH198" s="1668">
        <f t="shared" si="119"/>
        <v>0</v>
      </c>
      <c r="AI198" s="1666">
        <f t="shared" si="112"/>
        <v>0</v>
      </c>
      <c r="AJ198" s="1670">
        <f t="shared" si="122"/>
        <v>0</v>
      </c>
      <c r="AK198" s="1668">
        <f t="shared" si="107"/>
        <v>0</v>
      </c>
    </row>
    <row r="199" spans="1:245" ht="20.100000000000001" customHeight="1" x14ac:dyDescent="0.3">
      <c r="B199" s="783"/>
      <c r="C199" s="784"/>
      <c r="D199" s="784"/>
      <c r="E199" s="784"/>
      <c r="F199" s="784"/>
      <c r="G199" s="784"/>
      <c r="H199" s="772"/>
      <c r="I199" s="1664">
        <f t="shared" si="98"/>
        <v>175</v>
      </c>
      <c r="J199" s="1668">
        <f t="shared" si="113"/>
        <v>0</v>
      </c>
      <c r="K199" s="1666">
        <f t="shared" si="108"/>
        <v>0</v>
      </c>
      <c r="L199" s="1670">
        <f t="shared" si="115"/>
        <v>0</v>
      </c>
      <c r="M199" s="1668">
        <f t="shared" si="99"/>
        <v>0</v>
      </c>
      <c r="N199" s="772"/>
      <c r="O199" s="1664">
        <f t="shared" si="100"/>
        <v>175</v>
      </c>
      <c r="P199" s="1668">
        <f t="shared" si="114"/>
        <v>0</v>
      </c>
      <c r="Q199" s="1666">
        <f t="shared" si="109"/>
        <v>0</v>
      </c>
      <c r="R199" s="1670">
        <f t="shared" si="116"/>
        <v>0</v>
      </c>
      <c r="S199" s="1668">
        <f t="shared" si="101"/>
        <v>0</v>
      </c>
      <c r="T199" s="772"/>
      <c r="U199" s="1664">
        <f t="shared" si="102"/>
        <v>175</v>
      </c>
      <c r="V199" s="1668">
        <f t="shared" si="117"/>
        <v>0</v>
      </c>
      <c r="W199" s="1666">
        <f t="shared" si="110"/>
        <v>0</v>
      </c>
      <c r="X199" s="1670">
        <f t="shared" si="120"/>
        <v>0</v>
      </c>
      <c r="Y199" s="1668">
        <f t="shared" si="103"/>
        <v>0</v>
      </c>
      <c r="Z199" s="772"/>
      <c r="AA199" s="1664">
        <f t="shared" si="104"/>
        <v>175</v>
      </c>
      <c r="AB199" s="1668">
        <f t="shared" si="118"/>
        <v>0</v>
      </c>
      <c r="AC199" s="1666">
        <f t="shared" si="111"/>
        <v>0</v>
      </c>
      <c r="AD199" s="1670">
        <f t="shared" si="121"/>
        <v>0</v>
      </c>
      <c r="AE199" s="1668">
        <f t="shared" si="105"/>
        <v>0</v>
      </c>
      <c r="AF199" s="772"/>
      <c r="AG199" s="1664">
        <f t="shared" si="106"/>
        <v>175</v>
      </c>
      <c r="AH199" s="1668">
        <f t="shared" si="119"/>
        <v>0</v>
      </c>
      <c r="AI199" s="1666">
        <f t="shared" si="112"/>
        <v>0</v>
      </c>
      <c r="AJ199" s="1670">
        <f t="shared" si="122"/>
        <v>0</v>
      </c>
      <c r="AK199" s="1668">
        <f t="shared" si="107"/>
        <v>0</v>
      </c>
    </row>
    <row r="200" spans="1:245" ht="20.100000000000001" customHeight="1" x14ac:dyDescent="0.3">
      <c r="B200" s="783"/>
      <c r="C200" s="784"/>
      <c r="D200" s="784"/>
      <c r="E200" s="784"/>
      <c r="F200" s="784"/>
      <c r="G200" s="784"/>
      <c r="H200" s="772"/>
      <c r="I200" s="1664">
        <f t="shared" si="98"/>
        <v>176</v>
      </c>
      <c r="J200" s="1668">
        <f t="shared" si="113"/>
        <v>0</v>
      </c>
      <c r="K200" s="1666">
        <f t="shared" si="108"/>
        <v>0</v>
      </c>
      <c r="L200" s="1670">
        <f t="shared" si="115"/>
        <v>0</v>
      </c>
      <c r="M200" s="1668">
        <f t="shared" si="99"/>
        <v>0</v>
      </c>
      <c r="N200" s="772"/>
      <c r="O200" s="1664">
        <f t="shared" si="100"/>
        <v>176</v>
      </c>
      <c r="P200" s="1668">
        <f t="shared" si="114"/>
        <v>0</v>
      </c>
      <c r="Q200" s="1666">
        <f t="shared" si="109"/>
        <v>0</v>
      </c>
      <c r="R200" s="1670">
        <f t="shared" si="116"/>
        <v>0</v>
      </c>
      <c r="S200" s="1668">
        <f t="shared" si="101"/>
        <v>0</v>
      </c>
      <c r="T200" s="772"/>
      <c r="U200" s="1664">
        <f t="shared" si="102"/>
        <v>176</v>
      </c>
      <c r="V200" s="1668">
        <f t="shared" si="117"/>
        <v>0</v>
      </c>
      <c r="W200" s="1666">
        <f t="shared" si="110"/>
        <v>0</v>
      </c>
      <c r="X200" s="1670">
        <f t="shared" si="120"/>
        <v>0</v>
      </c>
      <c r="Y200" s="1668">
        <f t="shared" si="103"/>
        <v>0</v>
      </c>
      <c r="Z200" s="772"/>
      <c r="AA200" s="1664">
        <f t="shared" si="104"/>
        <v>176</v>
      </c>
      <c r="AB200" s="1668">
        <f t="shared" si="118"/>
        <v>0</v>
      </c>
      <c r="AC200" s="1666">
        <f t="shared" si="111"/>
        <v>0</v>
      </c>
      <c r="AD200" s="1670">
        <f t="shared" si="121"/>
        <v>0</v>
      </c>
      <c r="AE200" s="1668">
        <f t="shared" si="105"/>
        <v>0</v>
      </c>
      <c r="AF200" s="772"/>
      <c r="AG200" s="1664">
        <f t="shared" si="106"/>
        <v>176</v>
      </c>
      <c r="AH200" s="1668">
        <f t="shared" si="119"/>
        <v>0</v>
      </c>
      <c r="AI200" s="1666">
        <f t="shared" si="112"/>
        <v>0</v>
      </c>
      <c r="AJ200" s="1670">
        <f t="shared" si="122"/>
        <v>0</v>
      </c>
      <c r="AK200" s="1668">
        <f t="shared" si="107"/>
        <v>0</v>
      </c>
    </row>
    <row r="201" spans="1:245" ht="20.100000000000001" customHeight="1" x14ac:dyDescent="0.3">
      <c r="B201" s="783"/>
      <c r="C201" s="784"/>
      <c r="D201" s="784"/>
      <c r="E201" s="784"/>
      <c r="F201" s="784"/>
      <c r="G201" s="784"/>
      <c r="H201" s="772"/>
      <c r="I201" s="1664">
        <f t="shared" si="98"/>
        <v>177</v>
      </c>
      <c r="J201" s="1668">
        <f t="shared" si="113"/>
        <v>0</v>
      </c>
      <c r="K201" s="1666">
        <f t="shared" si="108"/>
        <v>0</v>
      </c>
      <c r="L201" s="1670">
        <f t="shared" si="115"/>
        <v>0</v>
      </c>
      <c r="M201" s="1668">
        <f t="shared" si="99"/>
        <v>0</v>
      </c>
      <c r="N201" s="772"/>
      <c r="O201" s="1664">
        <f t="shared" si="100"/>
        <v>177</v>
      </c>
      <c r="P201" s="1668">
        <f t="shared" si="114"/>
        <v>0</v>
      </c>
      <c r="Q201" s="1666">
        <f t="shared" si="109"/>
        <v>0</v>
      </c>
      <c r="R201" s="1670">
        <f t="shared" si="116"/>
        <v>0</v>
      </c>
      <c r="S201" s="1668">
        <f t="shared" si="101"/>
        <v>0</v>
      </c>
      <c r="T201" s="772"/>
      <c r="U201" s="1664">
        <f t="shared" si="102"/>
        <v>177</v>
      </c>
      <c r="V201" s="1668">
        <f t="shared" si="117"/>
        <v>0</v>
      </c>
      <c r="W201" s="1666">
        <f t="shared" si="110"/>
        <v>0</v>
      </c>
      <c r="X201" s="1670">
        <f t="shared" si="120"/>
        <v>0</v>
      </c>
      <c r="Y201" s="1668">
        <f t="shared" si="103"/>
        <v>0</v>
      </c>
      <c r="Z201" s="772"/>
      <c r="AA201" s="1664">
        <f t="shared" si="104"/>
        <v>177</v>
      </c>
      <c r="AB201" s="1668">
        <f t="shared" si="118"/>
        <v>0</v>
      </c>
      <c r="AC201" s="1666">
        <f t="shared" si="111"/>
        <v>0</v>
      </c>
      <c r="AD201" s="1670">
        <f t="shared" si="121"/>
        <v>0</v>
      </c>
      <c r="AE201" s="1668">
        <f t="shared" si="105"/>
        <v>0</v>
      </c>
      <c r="AF201" s="772"/>
      <c r="AG201" s="1664">
        <f t="shared" si="106"/>
        <v>177</v>
      </c>
      <c r="AH201" s="1668">
        <f t="shared" si="119"/>
        <v>0</v>
      </c>
      <c r="AI201" s="1666">
        <f t="shared" si="112"/>
        <v>0</v>
      </c>
      <c r="AJ201" s="1670">
        <f t="shared" si="122"/>
        <v>0</v>
      </c>
      <c r="AK201" s="1668">
        <f t="shared" si="107"/>
        <v>0</v>
      </c>
    </row>
    <row r="202" spans="1:245" ht="20.100000000000001" customHeight="1" x14ac:dyDescent="0.3">
      <c r="B202" s="783"/>
      <c r="C202" s="784"/>
      <c r="D202" s="784"/>
      <c r="E202" s="784"/>
      <c r="F202" s="784"/>
      <c r="G202" s="784"/>
      <c r="H202" s="772"/>
      <c r="I202" s="1664">
        <f t="shared" si="98"/>
        <v>178</v>
      </c>
      <c r="J202" s="1668">
        <f t="shared" si="113"/>
        <v>0</v>
      </c>
      <c r="K202" s="1666">
        <f t="shared" si="108"/>
        <v>0</v>
      </c>
      <c r="L202" s="1670">
        <f t="shared" si="115"/>
        <v>0</v>
      </c>
      <c r="M202" s="1668">
        <f t="shared" si="99"/>
        <v>0</v>
      </c>
      <c r="N202" s="772"/>
      <c r="O202" s="1664">
        <f t="shared" si="100"/>
        <v>178</v>
      </c>
      <c r="P202" s="1668">
        <f t="shared" si="114"/>
        <v>0</v>
      </c>
      <c r="Q202" s="1666">
        <f t="shared" si="109"/>
        <v>0</v>
      </c>
      <c r="R202" s="1670">
        <f t="shared" si="116"/>
        <v>0</v>
      </c>
      <c r="S202" s="1668">
        <f t="shared" si="101"/>
        <v>0</v>
      </c>
      <c r="T202" s="772"/>
      <c r="U202" s="1664">
        <f t="shared" si="102"/>
        <v>178</v>
      </c>
      <c r="V202" s="1668">
        <f t="shared" si="117"/>
        <v>0</v>
      </c>
      <c r="W202" s="1666">
        <f t="shared" si="110"/>
        <v>0</v>
      </c>
      <c r="X202" s="1670">
        <f t="shared" si="120"/>
        <v>0</v>
      </c>
      <c r="Y202" s="1668">
        <f t="shared" si="103"/>
        <v>0</v>
      </c>
      <c r="Z202" s="772"/>
      <c r="AA202" s="1664">
        <f t="shared" si="104"/>
        <v>178</v>
      </c>
      <c r="AB202" s="1668">
        <f t="shared" si="118"/>
        <v>0</v>
      </c>
      <c r="AC202" s="1666">
        <f t="shared" si="111"/>
        <v>0</v>
      </c>
      <c r="AD202" s="1670">
        <f t="shared" si="121"/>
        <v>0</v>
      </c>
      <c r="AE202" s="1668">
        <f t="shared" si="105"/>
        <v>0</v>
      </c>
      <c r="AF202" s="772"/>
      <c r="AG202" s="1664">
        <f t="shared" si="106"/>
        <v>178</v>
      </c>
      <c r="AH202" s="1668">
        <f t="shared" si="119"/>
        <v>0</v>
      </c>
      <c r="AI202" s="1666">
        <f t="shared" si="112"/>
        <v>0</v>
      </c>
      <c r="AJ202" s="1670">
        <f t="shared" si="122"/>
        <v>0</v>
      </c>
      <c r="AK202" s="1668">
        <f t="shared" si="107"/>
        <v>0</v>
      </c>
    </row>
    <row r="203" spans="1:245" ht="20.100000000000001" customHeight="1" x14ac:dyDescent="0.3">
      <c r="B203" s="783"/>
      <c r="C203" s="784"/>
      <c r="D203" s="784"/>
      <c r="E203" s="784"/>
      <c r="F203" s="784"/>
      <c r="G203" s="784"/>
      <c r="H203" s="772"/>
      <c r="I203" s="1664">
        <f t="shared" si="98"/>
        <v>179</v>
      </c>
      <c r="J203" s="1668">
        <f t="shared" si="113"/>
        <v>0</v>
      </c>
      <c r="K203" s="1666">
        <f t="shared" si="108"/>
        <v>0</v>
      </c>
      <c r="L203" s="1670">
        <f t="shared" si="115"/>
        <v>0</v>
      </c>
      <c r="M203" s="1668">
        <f t="shared" si="99"/>
        <v>0</v>
      </c>
      <c r="N203" s="772"/>
      <c r="O203" s="1664">
        <f t="shared" si="100"/>
        <v>179</v>
      </c>
      <c r="P203" s="1668">
        <f t="shared" si="114"/>
        <v>0</v>
      </c>
      <c r="Q203" s="1666">
        <f t="shared" si="109"/>
        <v>0</v>
      </c>
      <c r="R203" s="1670">
        <f t="shared" si="116"/>
        <v>0</v>
      </c>
      <c r="S203" s="1668">
        <f t="shared" si="101"/>
        <v>0</v>
      </c>
      <c r="T203" s="772"/>
      <c r="U203" s="1664">
        <f t="shared" si="102"/>
        <v>179</v>
      </c>
      <c r="V203" s="1668">
        <f t="shared" si="117"/>
        <v>0</v>
      </c>
      <c r="W203" s="1666">
        <f t="shared" si="110"/>
        <v>0</v>
      </c>
      <c r="X203" s="1670">
        <f t="shared" si="120"/>
        <v>0</v>
      </c>
      <c r="Y203" s="1668">
        <f t="shared" si="103"/>
        <v>0</v>
      </c>
      <c r="Z203" s="772"/>
      <c r="AA203" s="1664">
        <f t="shared" si="104"/>
        <v>179</v>
      </c>
      <c r="AB203" s="1668">
        <f t="shared" si="118"/>
        <v>0</v>
      </c>
      <c r="AC203" s="1666">
        <f t="shared" si="111"/>
        <v>0</v>
      </c>
      <c r="AD203" s="1670">
        <f t="shared" si="121"/>
        <v>0</v>
      </c>
      <c r="AE203" s="1668">
        <f t="shared" si="105"/>
        <v>0</v>
      </c>
      <c r="AF203" s="772"/>
      <c r="AG203" s="1664">
        <f t="shared" si="106"/>
        <v>179</v>
      </c>
      <c r="AH203" s="1668">
        <f t="shared" si="119"/>
        <v>0</v>
      </c>
      <c r="AI203" s="1666">
        <f t="shared" si="112"/>
        <v>0</v>
      </c>
      <c r="AJ203" s="1670">
        <f t="shared" si="122"/>
        <v>0</v>
      </c>
      <c r="AK203" s="1668">
        <f t="shared" si="107"/>
        <v>0</v>
      </c>
    </row>
    <row r="204" spans="1:245" ht="20.100000000000001" customHeight="1" x14ac:dyDescent="0.3">
      <c r="B204" s="783"/>
      <c r="C204" s="784"/>
      <c r="D204" s="784"/>
      <c r="E204" s="784"/>
      <c r="F204" s="784"/>
      <c r="G204" s="784"/>
      <c r="H204" s="772"/>
      <c r="I204" s="1672">
        <f t="shared" si="98"/>
        <v>180</v>
      </c>
      <c r="J204" s="1673">
        <f t="shared" si="113"/>
        <v>0</v>
      </c>
      <c r="K204" s="1674">
        <f t="shared" si="108"/>
        <v>0</v>
      </c>
      <c r="L204" s="1675">
        <f t="shared" si="115"/>
        <v>0</v>
      </c>
      <c r="M204" s="1673">
        <f t="shared" si="99"/>
        <v>0</v>
      </c>
      <c r="N204" s="772"/>
      <c r="O204" s="1672">
        <f t="shared" si="100"/>
        <v>180</v>
      </c>
      <c r="P204" s="1673">
        <f t="shared" si="114"/>
        <v>0</v>
      </c>
      <c r="Q204" s="1674">
        <f t="shared" si="109"/>
        <v>0</v>
      </c>
      <c r="R204" s="1675">
        <f t="shared" si="116"/>
        <v>0</v>
      </c>
      <c r="S204" s="1673">
        <f t="shared" si="101"/>
        <v>0</v>
      </c>
      <c r="T204" s="772"/>
      <c r="U204" s="1672">
        <f t="shared" si="102"/>
        <v>180</v>
      </c>
      <c r="V204" s="1673">
        <f t="shared" si="117"/>
        <v>0</v>
      </c>
      <c r="W204" s="1674">
        <f t="shared" si="110"/>
        <v>0</v>
      </c>
      <c r="X204" s="1675">
        <f t="shared" si="120"/>
        <v>0</v>
      </c>
      <c r="Y204" s="1673">
        <f t="shared" si="103"/>
        <v>0</v>
      </c>
      <c r="Z204" s="772"/>
      <c r="AA204" s="1672">
        <f t="shared" si="104"/>
        <v>180</v>
      </c>
      <c r="AB204" s="1673">
        <f t="shared" si="118"/>
        <v>0</v>
      </c>
      <c r="AC204" s="1674">
        <f t="shared" si="111"/>
        <v>0</v>
      </c>
      <c r="AD204" s="1675">
        <f t="shared" si="121"/>
        <v>0</v>
      </c>
      <c r="AE204" s="1673">
        <f t="shared" si="105"/>
        <v>0</v>
      </c>
      <c r="AF204" s="772"/>
      <c r="AG204" s="1672">
        <f t="shared" si="106"/>
        <v>180</v>
      </c>
      <c r="AH204" s="1673">
        <f t="shared" si="119"/>
        <v>0</v>
      </c>
      <c r="AI204" s="1674">
        <f t="shared" si="112"/>
        <v>0</v>
      </c>
      <c r="AJ204" s="1675">
        <f t="shared" si="122"/>
        <v>0</v>
      </c>
      <c r="AK204" s="1673">
        <f t="shared" si="107"/>
        <v>0</v>
      </c>
    </row>
    <row r="205" spans="1:245" s="770" customFormat="1" ht="20.100000000000001" customHeight="1" x14ac:dyDescent="0.25">
      <c r="A205" s="773"/>
      <c r="B205" s="785"/>
      <c r="C205" s="786"/>
      <c r="D205" s="786"/>
      <c r="E205" s="786"/>
      <c r="F205" s="786"/>
      <c r="G205" s="787"/>
      <c r="H205" s="773"/>
      <c r="I205" s="1676" t="s">
        <v>205</v>
      </c>
      <c r="J205" s="1677">
        <f>SUM(J25:J204)</f>
        <v>0</v>
      </c>
      <c r="K205" s="1680">
        <f>SUM(K25:K204)</f>
        <v>0</v>
      </c>
      <c r="L205" s="1679">
        <f>SUM(L25:L204)</f>
        <v>0</v>
      </c>
      <c r="M205" s="1678"/>
      <c r="N205" s="773"/>
      <c r="O205" s="1676" t="s">
        <v>205</v>
      </c>
      <c r="P205" s="1677">
        <f>SUM(P25:P204)</f>
        <v>0</v>
      </c>
      <c r="Q205" s="1680">
        <f>SUM(Q25:Q204)</f>
        <v>0</v>
      </c>
      <c r="R205" s="1679">
        <f>SUM(R25:R204)</f>
        <v>0</v>
      </c>
      <c r="S205" s="1678"/>
      <c r="T205" s="773"/>
      <c r="U205" s="1676" t="s">
        <v>205</v>
      </c>
      <c r="V205" s="1677">
        <f>SUM(V25:V204)</f>
        <v>0</v>
      </c>
      <c r="W205" s="1680">
        <f>SUM(W25:W204)</f>
        <v>0</v>
      </c>
      <c r="X205" s="1679">
        <f>SUM(X25:X204)</f>
        <v>0</v>
      </c>
      <c r="Y205" s="1678"/>
      <c r="Z205" s="773"/>
      <c r="AA205" s="1676" t="s">
        <v>205</v>
      </c>
      <c r="AB205" s="1677">
        <f>SUM(AB25:AB204)</f>
        <v>0</v>
      </c>
      <c r="AC205" s="1680">
        <f>SUM(AC25:AC204)</f>
        <v>0</v>
      </c>
      <c r="AD205" s="1679">
        <f>SUM(AD25:AD204)</f>
        <v>0</v>
      </c>
      <c r="AE205" s="1678"/>
      <c r="AF205" s="773"/>
      <c r="AG205" s="1676" t="s">
        <v>205</v>
      </c>
      <c r="AH205" s="1677">
        <f>SUM(AH25:AH204)</f>
        <v>0</v>
      </c>
      <c r="AI205" s="1680">
        <f>SUM(AI25:AI204)</f>
        <v>0</v>
      </c>
      <c r="AJ205" s="1679">
        <f>SUM(AJ25:AJ204)</f>
        <v>0</v>
      </c>
      <c r="AK205" s="1678"/>
      <c r="AL205" s="773"/>
      <c r="AM205" s="773"/>
      <c r="AN205" s="773"/>
      <c r="AO205" s="773"/>
      <c r="AP205" s="773"/>
      <c r="AQ205" s="773"/>
      <c r="AR205" s="773"/>
      <c r="AS205" s="773"/>
      <c r="AT205" s="773"/>
      <c r="AU205" s="773"/>
      <c r="AV205" s="773"/>
      <c r="AW205" s="773"/>
      <c r="AX205" s="773"/>
      <c r="AY205" s="773"/>
      <c r="AZ205" s="773"/>
      <c r="BA205" s="773"/>
      <c r="BB205" s="773"/>
      <c r="BC205" s="773"/>
      <c r="BD205" s="773"/>
      <c r="BE205" s="773"/>
      <c r="BF205" s="773"/>
      <c r="BG205" s="773"/>
      <c r="BH205" s="773"/>
      <c r="BI205" s="773"/>
      <c r="BJ205" s="773"/>
      <c r="BK205" s="773"/>
      <c r="BL205" s="773"/>
      <c r="BM205" s="773"/>
      <c r="BN205" s="773"/>
      <c r="BO205" s="773"/>
      <c r="BP205" s="773"/>
      <c r="BQ205" s="773"/>
      <c r="BR205" s="773"/>
      <c r="BS205" s="773"/>
      <c r="BT205" s="773"/>
      <c r="BU205" s="773"/>
      <c r="BV205" s="773"/>
      <c r="BW205" s="773"/>
      <c r="BX205" s="773"/>
      <c r="BY205" s="773"/>
      <c r="BZ205" s="773"/>
      <c r="CA205" s="773"/>
      <c r="CB205" s="773"/>
      <c r="CC205" s="773"/>
      <c r="CD205" s="773"/>
      <c r="CE205" s="773"/>
      <c r="CF205" s="773"/>
      <c r="CG205" s="773"/>
      <c r="CH205" s="773"/>
      <c r="CI205" s="773"/>
      <c r="CJ205" s="773"/>
      <c r="CK205" s="773"/>
      <c r="CL205" s="773"/>
      <c r="CM205" s="773"/>
      <c r="CN205" s="773"/>
      <c r="CO205" s="773"/>
      <c r="CP205" s="773"/>
      <c r="CQ205" s="773"/>
      <c r="CR205" s="773"/>
      <c r="CS205" s="773"/>
      <c r="CT205" s="773"/>
      <c r="CU205" s="773"/>
      <c r="CV205" s="773"/>
      <c r="CW205" s="773"/>
      <c r="CX205" s="773"/>
      <c r="CY205" s="773"/>
      <c r="CZ205" s="773"/>
      <c r="DA205" s="773"/>
      <c r="DB205" s="773"/>
      <c r="DC205" s="773"/>
      <c r="DD205" s="773"/>
      <c r="DE205" s="773"/>
      <c r="DF205" s="773"/>
      <c r="DG205" s="773"/>
      <c r="DH205" s="773"/>
      <c r="DI205" s="773"/>
      <c r="DJ205" s="773"/>
      <c r="DK205" s="773"/>
      <c r="DL205" s="773"/>
      <c r="DM205" s="773"/>
      <c r="DN205" s="773"/>
      <c r="DO205" s="773"/>
      <c r="DP205" s="773"/>
      <c r="DQ205" s="773"/>
      <c r="DR205" s="773"/>
      <c r="DS205" s="773"/>
      <c r="DT205" s="773"/>
      <c r="DU205" s="773"/>
      <c r="DV205" s="773"/>
      <c r="DW205" s="773"/>
      <c r="DX205" s="773"/>
      <c r="DY205" s="773"/>
      <c r="DZ205" s="773"/>
      <c r="EA205" s="773"/>
      <c r="EB205" s="773"/>
      <c r="EC205" s="773"/>
      <c r="ED205" s="773"/>
      <c r="EE205" s="773"/>
      <c r="EF205" s="773"/>
      <c r="EG205" s="773"/>
      <c r="EH205" s="773"/>
      <c r="EI205" s="773"/>
      <c r="EJ205" s="773"/>
      <c r="EK205" s="773"/>
      <c r="EL205" s="773"/>
      <c r="EM205" s="773"/>
      <c r="EN205" s="773"/>
      <c r="EO205" s="773"/>
      <c r="EP205" s="773"/>
      <c r="EQ205" s="773"/>
      <c r="ER205" s="773"/>
      <c r="ES205" s="773"/>
      <c r="ET205" s="773"/>
      <c r="EU205" s="773"/>
      <c r="EV205" s="773"/>
      <c r="EW205" s="773"/>
      <c r="EX205" s="773"/>
      <c r="EY205" s="773"/>
      <c r="EZ205" s="773"/>
      <c r="FA205" s="773"/>
      <c r="FB205" s="773"/>
      <c r="FC205" s="773"/>
      <c r="FD205" s="773"/>
      <c r="FE205" s="773"/>
      <c r="FF205" s="773"/>
      <c r="FG205" s="773"/>
      <c r="FH205" s="773"/>
      <c r="FI205" s="773"/>
      <c r="FJ205" s="773"/>
      <c r="FK205" s="773"/>
      <c r="FL205" s="773"/>
      <c r="FM205" s="773"/>
      <c r="FN205" s="773"/>
      <c r="FO205" s="773"/>
      <c r="FP205" s="773"/>
      <c r="FQ205" s="773"/>
      <c r="FR205" s="773"/>
      <c r="FS205" s="773"/>
      <c r="FT205" s="773"/>
      <c r="FU205" s="773"/>
      <c r="FV205" s="773"/>
      <c r="FW205" s="773"/>
      <c r="FX205" s="773"/>
      <c r="FY205" s="773"/>
      <c r="FZ205" s="773"/>
      <c r="GA205" s="773"/>
      <c r="GB205" s="773"/>
      <c r="GC205" s="773"/>
      <c r="GD205" s="773"/>
      <c r="GE205" s="773"/>
      <c r="GF205" s="773"/>
      <c r="GG205" s="773"/>
      <c r="GH205" s="773"/>
      <c r="GI205" s="773"/>
      <c r="GJ205" s="773"/>
      <c r="GK205" s="773"/>
      <c r="GL205" s="773"/>
      <c r="GM205" s="773"/>
      <c r="GN205" s="773"/>
      <c r="GO205" s="773"/>
      <c r="GP205" s="773"/>
      <c r="GQ205" s="773"/>
      <c r="GR205" s="773"/>
      <c r="GS205" s="773"/>
      <c r="GT205" s="773"/>
      <c r="GU205" s="773"/>
      <c r="GV205" s="773"/>
      <c r="GW205" s="773"/>
      <c r="GX205" s="773"/>
      <c r="GY205" s="773"/>
      <c r="GZ205" s="773"/>
      <c r="HA205" s="773"/>
      <c r="HB205" s="773"/>
      <c r="HC205" s="773"/>
      <c r="HD205" s="773"/>
      <c r="HE205" s="773"/>
      <c r="HF205" s="773"/>
      <c r="HG205" s="773"/>
      <c r="HH205" s="773"/>
      <c r="HI205" s="773"/>
      <c r="HJ205" s="773"/>
      <c r="HK205" s="773"/>
      <c r="HL205" s="773"/>
      <c r="HM205" s="773"/>
      <c r="HN205" s="773"/>
      <c r="HO205" s="773"/>
      <c r="HP205" s="773"/>
      <c r="HQ205" s="773"/>
      <c r="HR205" s="773"/>
      <c r="HS205" s="773"/>
      <c r="HT205" s="773"/>
      <c r="HU205" s="773"/>
      <c r="HV205" s="773"/>
      <c r="HW205" s="773"/>
      <c r="HX205" s="773"/>
      <c r="HY205" s="773"/>
      <c r="HZ205" s="773"/>
      <c r="IA205" s="773"/>
      <c r="IB205" s="773"/>
      <c r="IC205" s="773"/>
      <c r="ID205" s="773"/>
      <c r="IE205" s="773"/>
      <c r="IF205" s="773"/>
      <c r="IG205" s="773"/>
      <c r="IH205" s="773"/>
      <c r="II205" s="773"/>
      <c r="IJ205" s="773"/>
      <c r="IK205" s="773"/>
    </row>
    <row r="206" spans="1:245" s="780" customFormat="1" x14ac:dyDescent="0.3">
      <c r="A206" s="774"/>
      <c r="B206" s="774"/>
      <c r="C206" s="774"/>
      <c r="D206" s="774"/>
      <c r="E206" s="774"/>
      <c r="F206" s="774"/>
      <c r="G206" s="774"/>
      <c r="H206" s="774"/>
      <c r="I206" s="774"/>
      <c r="J206" s="774"/>
      <c r="K206" s="774"/>
      <c r="L206" s="774"/>
      <c r="M206" s="774"/>
      <c r="N206" s="774"/>
      <c r="O206" s="774"/>
      <c r="P206" s="774"/>
      <c r="Q206" s="774"/>
      <c r="R206" s="774"/>
      <c r="S206" s="774"/>
      <c r="T206" s="774"/>
      <c r="U206" s="774"/>
      <c r="V206" s="774"/>
      <c r="W206" s="774"/>
      <c r="X206" s="774"/>
      <c r="Y206" s="774"/>
      <c r="Z206" s="774"/>
      <c r="AA206" s="774"/>
      <c r="AB206" s="774"/>
      <c r="AC206" s="774"/>
      <c r="AD206" s="774"/>
      <c r="AE206" s="774"/>
      <c r="AF206" s="774"/>
      <c r="AL206" s="774"/>
      <c r="AM206" s="774"/>
      <c r="AN206" s="774"/>
      <c r="AO206" s="774"/>
      <c r="AP206" s="774"/>
      <c r="AQ206" s="774"/>
      <c r="AR206" s="774"/>
      <c r="AS206" s="774"/>
      <c r="AT206" s="774"/>
      <c r="AU206" s="774"/>
      <c r="AV206" s="774"/>
      <c r="AW206" s="774"/>
      <c r="AX206" s="774"/>
      <c r="AY206" s="774"/>
      <c r="AZ206" s="774"/>
      <c r="BA206" s="774"/>
      <c r="BB206" s="774"/>
      <c r="BC206" s="774"/>
      <c r="BD206" s="774"/>
      <c r="BE206" s="774"/>
      <c r="BF206" s="774"/>
      <c r="BG206" s="774"/>
      <c r="BH206" s="774"/>
      <c r="BI206" s="774"/>
      <c r="BJ206" s="774"/>
      <c r="BK206" s="774"/>
      <c r="BL206" s="774"/>
      <c r="BM206" s="774"/>
      <c r="BN206" s="774"/>
      <c r="BO206" s="774"/>
      <c r="BP206" s="774"/>
      <c r="BQ206" s="774"/>
      <c r="BR206" s="774"/>
      <c r="BS206" s="774"/>
      <c r="BT206" s="774"/>
      <c r="BU206" s="774"/>
      <c r="BV206" s="774"/>
      <c r="BW206" s="774"/>
      <c r="BX206" s="774"/>
      <c r="BY206" s="774"/>
      <c r="BZ206" s="774"/>
      <c r="CA206" s="774"/>
      <c r="CB206" s="774"/>
      <c r="CC206" s="774"/>
      <c r="CD206" s="774"/>
      <c r="CE206" s="774"/>
      <c r="CF206" s="774"/>
      <c r="CG206" s="774"/>
      <c r="CH206" s="774"/>
      <c r="CI206" s="774"/>
      <c r="CJ206" s="774"/>
      <c r="CK206" s="774"/>
      <c r="CL206" s="774"/>
      <c r="CM206" s="774"/>
      <c r="CN206" s="774"/>
      <c r="CO206" s="774"/>
      <c r="CP206" s="774"/>
      <c r="CQ206" s="774"/>
      <c r="CR206" s="774"/>
      <c r="CS206" s="774"/>
      <c r="CT206" s="774"/>
      <c r="CU206" s="774"/>
      <c r="CV206" s="774"/>
      <c r="CW206" s="774"/>
      <c r="CX206" s="774"/>
      <c r="CY206" s="774"/>
      <c r="CZ206" s="774"/>
      <c r="DA206" s="774"/>
      <c r="DB206" s="774"/>
      <c r="DC206" s="774"/>
      <c r="DD206" s="774"/>
      <c r="DE206" s="774"/>
      <c r="DF206" s="774"/>
      <c r="DG206" s="774"/>
      <c r="DH206" s="774"/>
      <c r="DI206" s="774"/>
      <c r="DJ206" s="774"/>
      <c r="DK206" s="774"/>
      <c r="DL206" s="774"/>
      <c r="DM206" s="774"/>
      <c r="DN206" s="774"/>
      <c r="DO206" s="774"/>
      <c r="DP206" s="774"/>
      <c r="DQ206" s="774"/>
      <c r="DR206" s="774"/>
      <c r="DS206" s="774"/>
      <c r="DT206" s="774"/>
      <c r="DU206" s="774"/>
      <c r="DV206" s="774"/>
      <c r="DW206" s="774"/>
      <c r="DX206" s="774"/>
      <c r="DY206" s="774"/>
      <c r="DZ206" s="774"/>
      <c r="EA206" s="774"/>
      <c r="EB206" s="774"/>
      <c r="EC206" s="774"/>
      <c r="ED206" s="774"/>
      <c r="EE206" s="774"/>
      <c r="EF206" s="774"/>
      <c r="EG206" s="774"/>
      <c r="EH206" s="774"/>
      <c r="EI206" s="774"/>
      <c r="EJ206" s="774"/>
      <c r="EK206" s="774"/>
      <c r="EL206" s="774"/>
      <c r="EM206" s="774"/>
      <c r="EN206" s="774"/>
      <c r="EO206" s="774"/>
      <c r="EP206" s="774"/>
      <c r="EQ206" s="774"/>
      <c r="ER206" s="774"/>
      <c r="ES206" s="774"/>
      <c r="ET206" s="774"/>
      <c r="EU206" s="774"/>
      <c r="EV206" s="774"/>
      <c r="EW206" s="774"/>
      <c r="EX206" s="774"/>
      <c r="EY206" s="774"/>
      <c r="EZ206" s="774"/>
      <c r="FA206" s="774"/>
      <c r="FB206" s="774"/>
      <c r="FC206" s="774"/>
      <c r="FD206" s="774"/>
      <c r="FE206" s="774"/>
      <c r="FF206" s="774"/>
      <c r="FG206" s="774"/>
      <c r="FH206" s="774"/>
      <c r="FI206" s="774"/>
      <c r="FJ206" s="774"/>
      <c r="FK206" s="774"/>
      <c r="FL206" s="774"/>
      <c r="FM206" s="774"/>
      <c r="FN206" s="774"/>
      <c r="FO206" s="774"/>
      <c r="FP206" s="774"/>
      <c r="FQ206" s="774"/>
      <c r="FR206" s="774"/>
      <c r="FS206" s="774"/>
      <c r="FT206" s="774"/>
      <c r="FU206" s="774"/>
      <c r="FV206" s="774"/>
      <c r="FW206" s="774"/>
      <c r="FX206" s="774"/>
      <c r="FY206" s="774"/>
      <c r="FZ206" s="774"/>
      <c r="GA206" s="774"/>
      <c r="GB206" s="774"/>
      <c r="GC206" s="774"/>
      <c r="GD206" s="774"/>
      <c r="GE206" s="774"/>
      <c r="GF206" s="774"/>
      <c r="GG206" s="774"/>
      <c r="GH206" s="774"/>
      <c r="GI206" s="774"/>
      <c r="GJ206" s="774"/>
      <c r="GK206" s="774"/>
      <c r="GL206" s="774"/>
      <c r="GM206" s="774"/>
      <c r="GN206" s="774"/>
      <c r="GO206" s="774"/>
      <c r="GP206" s="774"/>
      <c r="GQ206" s="774"/>
      <c r="GR206" s="774"/>
      <c r="GS206" s="774"/>
      <c r="GT206" s="774"/>
      <c r="GU206" s="774"/>
      <c r="GV206" s="774"/>
      <c r="GW206" s="774"/>
      <c r="GX206" s="774"/>
      <c r="GY206" s="774"/>
      <c r="GZ206" s="774"/>
      <c r="HA206" s="774"/>
      <c r="HB206" s="774"/>
      <c r="HC206" s="774"/>
      <c r="HD206" s="774"/>
      <c r="HE206" s="774"/>
      <c r="HF206" s="774"/>
      <c r="HG206" s="774"/>
      <c r="HH206" s="774"/>
      <c r="HI206" s="774"/>
      <c r="HJ206" s="774"/>
      <c r="HK206" s="774"/>
      <c r="HL206" s="774"/>
      <c r="HM206" s="774"/>
      <c r="HN206" s="774"/>
      <c r="HO206" s="774"/>
      <c r="HP206" s="774"/>
      <c r="HQ206" s="774"/>
      <c r="HR206" s="774"/>
      <c r="HS206" s="774"/>
      <c r="HT206" s="774"/>
      <c r="HU206" s="774"/>
      <c r="HV206" s="774"/>
      <c r="HW206" s="774"/>
      <c r="HX206" s="774"/>
      <c r="HY206" s="774"/>
      <c r="HZ206" s="774"/>
      <c r="IA206" s="774"/>
      <c r="IB206" s="774"/>
      <c r="IC206" s="774"/>
      <c r="ID206" s="774"/>
      <c r="IE206" s="774"/>
      <c r="IF206" s="774"/>
      <c r="IG206" s="774"/>
      <c r="IH206" s="774"/>
      <c r="II206" s="774"/>
      <c r="IJ206" s="774"/>
      <c r="IK206" s="774"/>
    </row>
    <row r="207" spans="1:245" s="774" customFormat="1" x14ac:dyDescent="0.3"/>
    <row r="208" spans="1:245" s="774" customFormat="1" x14ac:dyDescent="0.3"/>
    <row r="209" spans="3:37" s="774" customFormat="1" x14ac:dyDescent="0.3"/>
    <row r="210" spans="3:37" s="774" customFormat="1" x14ac:dyDescent="0.3"/>
    <row r="211" spans="3:37" s="774" customFormat="1" x14ac:dyDescent="0.3"/>
    <row r="212" spans="3:37" s="774" customFormat="1" x14ac:dyDescent="0.3"/>
    <row r="213" spans="3:37" s="774" customFormat="1" x14ac:dyDescent="0.3"/>
    <row r="214" spans="3:37" s="774" customFormat="1" x14ac:dyDescent="0.3"/>
    <row r="215" spans="3:37" s="774" customFormat="1" x14ac:dyDescent="0.3"/>
    <row r="216" spans="3:37" s="774" customFormat="1" x14ac:dyDescent="0.3"/>
    <row r="217" spans="3:37" s="774" customFormat="1" x14ac:dyDescent="0.3"/>
    <row r="218" spans="3:37" s="774" customFormat="1" x14ac:dyDescent="0.3"/>
    <row r="219" spans="3:37" s="774" customFormat="1" x14ac:dyDescent="0.3"/>
    <row r="220" spans="3:37" s="774" customFormat="1" x14ac:dyDescent="0.3"/>
    <row r="221" spans="3:37" s="774" customFormat="1" x14ac:dyDescent="0.3"/>
    <row r="222" spans="3:37" s="771" customFormat="1" x14ac:dyDescent="0.3">
      <c r="C222" s="778"/>
      <c r="D222" s="778"/>
      <c r="E222" s="778"/>
      <c r="F222" s="778"/>
      <c r="G222" s="778"/>
      <c r="H222" s="778"/>
      <c r="J222" s="778"/>
      <c r="K222" s="778"/>
      <c r="L222" s="778"/>
      <c r="M222" s="778"/>
      <c r="N222" s="778"/>
      <c r="P222" s="778"/>
      <c r="Q222" s="778"/>
      <c r="R222" s="778"/>
      <c r="S222" s="778"/>
      <c r="T222" s="778"/>
      <c r="V222" s="778"/>
      <c r="W222" s="778"/>
      <c r="X222" s="778"/>
      <c r="Y222" s="778"/>
      <c r="Z222" s="778"/>
      <c r="AB222" s="778"/>
      <c r="AC222" s="778"/>
      <c r="AD222" s="778"/>
      <c r="AE222" s="778"/>
      <c r="AF222" s="778"/>
      <c r="AH222" s="778"/>
      <c r="AI222" s="778"/>
      <c r="AJ222" s="778"/>
      <c r="AK222" s="778"/>
    </row>
    <row r="223" spans="3:37" s="771" customFormat="1" x14ac:dyDescent="0.3">
      <c r="C223" s="778"/>
      <c r="D223" s="778"/>
      <c r="E223" s="778"/>
      <c r="F223" s="778"/>
      <c r="G223" s="778"/>
      <c r="H223" s="778"/>
      <c r="J223" s="778"/>
      <c r="K223" s="778"/>
      <c r="L223" s="778"/>
      <c r="M223" s="778"/>
      <c r="N223" s="778"/>
      <c r="P223" s="778"/>
      <c r="Q223" s="778"/>
      <c r="R223" s="778"/>
      <c r="S223" s="778"/>
      <c r="T223" s="778"/>
      <c r="V223" s="778"/>
      <c r="W223" s="778"/>
      <c r="X223" s="778"/>
      <c r="Y223" s="778"/>
      <c r="Z223" s="778"/>
      <c r="AB223" s="778"/>
      <c r="AC223" s="778"/>
      <c r="AD223" s="778"/>
      <c r="AE223" s="778"/>
      <c r="AF223" s="778"/>
      <c r="AH223" s="778"/>
      <c r="AI223" s="778"/>
      <c r="AJ223" s="778"/>
      <c r="AK223" s="778"/>
    </row>
    <row r="224" spans="3:37" s="771" customFormat="1" x14ac:dyDescent="0.3">
      <c r="C224" s="778"/>
      <c r="D224" s="778"/>
      <c r="E224" s="778"/>
      <c r="F224" s="778"/>
      <c r="G224" s="778"/>
      <c r="H224" s="778"/>
      <c r="J224" s="778"/>
      <c r="K224" s="778"/>
      <c r="L224" s="778"/>
      <c r="M224" s="778"/>
      <c r="N224" s="778"/>
      <c r="P224" s="778"/>
      <c r="Q224" s="778"/>
      <c r="R224" s="778"/>
      <c r="S224" s="778"/>
      <c r="T224" s="778"/>
      <c r="V224" s="778"/>
      <c r="W224" s="778"/>
      <c r="X224" s="778"/>
      <c r="Y224" s="778"/>
      <c r="Z224" s="778"/>
      <c r="AB224" s="778"/>
      <c r="AC224" s="778"/>
      <c r="AD224" s="778"/>
      <c r="AE224" s="778"/>
      <c r="AF224" s="778"/>
      <c r="AH224" s="778"/>
      <c r="AI224" s="778"/>
      <c r="AJ224" s="778"/>
      <c r="AK224" s="778"/>
    </row>
    <row r="225" spans="3:37" s="771" customFormat="1" x14ac:dyDescent="0.3">
      <c r="C225" s="778"/>
      <c r="D225" s="778"/>
      <c r="E225" s="778"/>
      <c r="F225" s="778"/>
      <c r="G225" s="778"/>
      <c r="H225" s="778"/>
      <c r="J225" s="778"/>
      <c r="K225" s="778"/>
      <c r="L225" s="778"/>
      <c r="M225" s="778"/>
      <c r="N225" s="778"/>
      <c r="P225" s="778"/>
      <c r="Q225" s="778"/>
      <c r="R225" s="778"/>
      <c r="S225" s="778"/>
      <c r="T225" s="778"/>
      <c r="V225" s="778"/>
      <c r="W225" s="778"/>
      <c r="X225" s="778"/>
      <c r="Y225" s="778"/>
      <c r="Z225" s="778"/>
      <c r="AB225" s="778"/>
      <c r="AC225" s="778"/>
      <c r="AD225" s="778"/>
      <c r="AE225" s="778"/>
      <c r="AF225" s="778"/>
      <c r="AH225" s="778"/>
      <c r="AI225" s="778"/>
      <c r="AJ225" s="778"/>
      <c r="AK225" s="778"/>
    </row>
    <row r="226" spans="3:37" s="771" customFormat="1" x14ac:dyDescent="0.3">
      <c r="D226" s="778"/>
      <c r="E226" s="778"/>
      <c r="F226" s="778"/>
      <c r="G226" s="778"/>
      <c r="H226" s="778"/>
      <c r="K226" s="778"/>
      <c r="L226" s="778"/>
      <c r="M226" s="778"/>
      <c r="N226" s="778"/>
      <c r="O226" s="778"/>
      <c r="Q226" s="778"/>
      <c r="R226" s="778"/>
      <c r="S226" s="778"/>
      <c r="T226" s="778"/>
      <c r="U226" s="778"/>
      <c r="W226" s="778"/>
      <c r="X226" s="778"/>
      <c r="Y226" s="778"/>
      <c r="Z226" s="778"/>
      <c r="AA226" s="778"/>
      <c r="AC226" s="778"/>
      <c r="AD226" s="778"/>
      <c r="AE226" s="778"/>
      <c r="AF226" s="778"/>
      <c r="AG226" s="778"/>
      <c r="AI226" s="778"/>
      <c r="AJ226" s="778"/>
      <c r="AK226" s="778"/>
    </row>
    <row r="227" spans="3:37" s="771" customFormat="1" x14ac:dyDescent="0.3">
      <c r="D227" s="778"/>
      <c r="E227" s="778"/>
      <c r="F227" s="778"/>
      <c r="G227" s="778"/>
      <c r="H227" s="778"/>
      <c r="K227" s="778"/>
      <c r="L227" s="778"/>
      <c r="M227" s="778"/>
      <c r="N227" s="778"/>
      <c r="O227" s="778"/>
      <c r="Q227" s="778"/>
      <c r="R227" s="778"/>
      <c r="S227" s="778"/>
      <c r="T227" s="778"/>
      <c r="U227" s="778"/>
      <c r="W227" s="778"/>
      <c r="X227" s="778"/>
      <c r="Y227" s="778"/>
      <c r="Z227" s="778"/>
      <c r="AA227" s="778"/>
      <c r="AC227" s="778"/>
      <c r="AD227" s="778"/>
      <c r="AE227" s="778"/>
      <c r="AF227" s="778"/>
      <c r="AG227" s="778"/>
      <c r="AI227" s="778"/>
      <c r="AJ227" s="778"/>
      <c r="AK227" s="778"/>
    </row>
    <row r="228" spans="3:37" s="771" customFormat="1" x14ac:dyDescent="0.3">
      <c r="D228" s="778"/>
      <c r="E228" s="778"/>
      <c r="F228" s="778"/>
      <c r="G228" s="778"/>
      <c r="H228" s="778"/>
      <c r="K228" s="778"/>
      <c r="L228" s="778"/>
      <c r="M228" s="778"/>
      <c r="N228" s="778"/>
      <c r="O228" s="778"/>
      <c r="Q228" s="778"/>
      <c r="R228" s="778"/>
      <c r="S228" s="778"/>
      <c r="T228" s="778"/>
      <c r="U228" s="778"/>
      <c r="W228" s="778"/>
      <c r="X228" s="778"/>
      <c r="Y228" s="778"/>
      <c r="Z228" s="778"/>
      <c r="AA228" s="778"/>
      <c r="AC228" s="778"/>
      <c r="AD228" s="778"/>
      <c r="AE228" s="778"/>
      <c r="AF228" s="778"/>
      <c r="AG228" s="778"/>
      <c r="AI228" s="778"/>
      <c r="AJ228" s="778"/>
      <c r="AK228" s="778"/>
    </row>
    <row r="229" spans="3:37" s="771" customFormat="1" x14ac:dyDescent="0.3">
      <c r="D229" s="778"/>
      <c r="E229" s="778"/>
      <c r="F229" s="778"/>
      <c r="G229" s="778"/>
      <c r="H229" s="778"/>
      <c r="K229" s="778"/>
      <c r="L229" s="778"/>
      <c r="M229" s="778"/>
      <c r="N229" s="778"/>
      <c r="O229" s="778"/>
      <c r="Q229" s="778"/>
      <c r="R229" s="778"/>
      <c r="S229" s="778"/>
      <c r="T229" s="778"/>
      <c r="U229" s="778"/>
      <c r="W229" s="778"/>
      <c r="X229" s="778"/>
      <c r="Y229" s="778"/>
      <c r="Z229" s="778"/>
      <c r="AA229" s="778"/>
      <c r="AC229" s="778"/>
      <c r="AD229" s="778"/>
      <c r="AE229" s="778"/>
      <c r="AF229" s="778"/>
      <c r="AG229" s="778"/>
      <c r="AI229" s="778"/>
      <c r="AJ229" s="778"/>
      <c r="AK229" s="778"/>
    </row>
    <row r="230" spans="3:37" s="771" customFormat="1" x14ac:dyDescent="0.3">
      <c r="D230" s="778"/>
      <c r="E230" s="778"/>
      <c r="F230" s="778"/>
      <c r="G230" s="778"/>
      <c r="H230" s="778"/>
      <c r="K230" s="778"/>
      <c r="L230" s="778"/>
      <c r="M230" s="778"/>
      <c r="N230" s="778"/>
      <c r="O230" s="778"/>
      <c r="Q230" s="778"/>
      <c r="R230" s="778"/>
      <c r="S230" s="778"/>
      <c r="T230" s="778"/>
      <c r="U230" s="778"/>
      <c r="W230" s="778"/>
      <c r="X230" s="778"/>
      <c r="Y230" s="778"/>
      <c r="Z230" s="778"/>
      <c r="AA230" s="778"/>
      <c r="AC230" s="778"/>
      <c r="AD230" s="778"/>
      <c r="AE230" s="778"/>
      <c r="AF230" s="778"/>
      <c r="AG230" s="778"/>
      <c r="AI230" s="778"/>
      <c r="AJ230" s="778"/>
      <c r="AK230" s="778"/>
    </row>
    <row r="231" spans="3:37" s="771" customFormat="1" x14ac:dyDescent="0.3">
      <c r="D231" s="778"/>
      <c r="E231" s="778"/>
      <c r="F231" s="778"/>
      <c r="G231" s="778"/>
      <c r="H231" s="778"/>
      <c r="K231" s="778"/>
      <c r="L231" s="778"/>
      <c r="M231" s="778"/>
      <c r="N231" s="778"/>
      <c r="O231" s="778"/>
      <c r="Q231" s="778"/>
      <c r="R231" s="778"/>
      <c r="S231" s="778"/>
      <c r="T231" s="778"/>
      <c r="U231" s="778"/>
      <c r="W231" s="778"/>
      <c r="X231" s="778"/>
      <c r="Y231" s="778"/>
      <c r="Z231" s="778"/>
      <c r="AA231" s="778"/>
      <c r="AC231" s="778"/>
      <c r="AD231" s="778"/>
      <c r="AE231" s="778"/>
      <c r="AF231" s="778"/>
      <c r="AG231" s="778"/>
      <c r="AI231" s="778"/>
      <c r="AJ231" s="778"/>
      <c r="AK231" s="778"/>
    </row>
    <row r="232" spans="3:37" s="771" customFormat="1" x14ac:dyDescent="0.3">
      <c r="D232" s="778"/>
      <c r="E232" s="778"/>
      <c r="F232" s="778"/>
      <c r="G232" s="778"/>
      <c r="H232" s="778"/>
      <c r="K232" s="778"/>
      <c r="L232" s="778"/>
      <c r="M232" s="778"/>
      <c r="N232" s="778"/>
      <c r="O232" s="778"/>
      <c r="Q232" s="778"/>
      <c r="R232" s="778"/>
      <c r="S232" s="778"/>
      <c r="T232" s="778"/>
      <c r="U232" s="778"/>
      <c r="W232" s="778"/>
      <c r="X232" s="778"/>
      <c r="Y232" s="778"/>
      <c r="Z232" s="778"/>
      <c r="AA232" s="778"/>
      <c r="AC232" s="778"/>
      <c r="AD232" s="778"/>
      <c r="AE232" s="778"/>
      <c r="AF232" s="778"/>
      <c r="AG232" s="778"/>
      <c r="AI232" s="778"/>
      <c r="AJ232" s="778"/>
      <c r="AK232" s="778"/>
    </row>
    <row r="233" spans="3:37" s="771" customFormat="1" x14ac:dyDescent="0.3">
      <c r="D233" s="778"/>
      <c r="E233" s="778"/>
      <c r="F233" s="778"/>
      <c r="G233" s="778"/>
      <c r="H233" s="778"/>
      <c r="K233" s="778"/>
      <c r="L233" s="778"/>
      <c r="M233" s="778"/>
      <c r="N233" s="778"/>
      <c r="O233" s="778"/>
      <c r="Q233" s="778"/>
      <c r="R233" s="778"/>
      <c r="S233" s="778"/>
      <c r="T233" s="778"/>
      <c r="U233" s="778"/>
      <c r="W233" s="778"/>
      <c r="X233" s="778"/>
      <c r="Y233" s="778"/>
      <c r="Z233" s="778"/>
      <c r="AA233" s="778"/>
      <c r="AC233" s="778"/>
      <c r="AD233" s="778"/>
      <c r="AE233" s="778"/>
      <c r="AF233" s="778"/>
      <c r="AG233" s="778"/>
      <c r="AI233" s="778"/>
      <c r="AJ233" s="778"/>
      <c r="AK233" s="778"/>
    </row>
    <row r="234" spans="3:37" s="771" customFormat="1" x14ac:dyDescent="0.3">
      <c r="D234" s="778"/>
      <c r="E234" s="778"/>
      <c r="F234" s="778"/>
      <c r="G234" s="778"/>
      <c r="H234" s="778"/>
      <c r="K234" s="778"/>
      <c r="L234" s="778"/>
      <c r="M234" s="778"/>
      <c r="N234" s="778"/>
      <c r="O234" s="778"/>
      <c r="Q234" s="778"/>
      <c r="R234" s="778"/>
      <c r="S234" s="778"/>
      <c r="T234" s="778"/>
      <c r="U234" s="778"/>
      <c r="W234" s="778"/>
      <c r="X234" s="778"/>
      <c r="Y234" s="778"/>
      <c r="Z234" s="778"/>
      <c r="AA234" s="778"/>
      <c r="AC234" s="778"/>
      <c r="AD234" s="778"/>
      <c r="AE234" s="778"/>
      <c r="AF234" s="778"/>
      <c r="AG234" s="778"/>
      <c r="AI234" s="778"/>
      <c r="AJ234" s="778"/>
      <c r="AK234" s="778"/>
    </row>
    <row r="235" spans="3:37" s="771" customFormat="1" x14ac:dyDescent="0.3">
      <c r="O235" s="778"/>
      <c r="P235" s="778"/>
      <c r="Q235" s="778"/>
      <c r="R235" s="778"/>
      <c r="S235" s="778"/>
      <c r="U235" s="778"/>
      <c r="V235" s="778"/>
      <c r="W235" s="778"/>
      <c r="X235" s="778"/>
      <c r="Y235" s="778"/>
      <c r="AA235" s="778"/>
      <c r="AB235" s="778"/>
      <c r="AC235" s="778"/>
      <c r="AD235" s="778"/>
      <c r="AE235" s="778"/>
      <c r="AG235" s="778"/>
      <c r="AH235" s="778"/>
      <c r="AI235" s="778"/>
      <c r="AJ235" s="778"/>
      <c r="AK235" s="778"/>
    </row>
    <row r="236" spans="3:37" s="771" customFormat="1" x14ac:dyDescent="0.3"/>
    <row r="237" spans="3:37" s="771" customFormat="1" x14ac:dyDescent="0.3"/>
    <row r="238" spans="3:37" s="771" customFormat="1" x14ac:dyDescent="0.3"/>
    <row r="239" spans="3:37" s="771" customFormat="1" x14ac:dyDescent="0.3"/>
    <row r="240" spans="3:37" s="771" customFormat="1" x14ac:dyDescent="0.3"/>
    <row r="241" s="771" customFormat="1" x14ac:dyDescent="0.3"/>
    <row r="242" s="771" customFormat="1" x14ac:dyDescent="0.3"/>
    <row r="243" s="771" customFormat="1" x14ac:dyDescent="0.3"/>
    <row r="244" s="771" customFormat="1" x14ac:dyDescent="0.3"/>
    <row r="245" s="771" customFormat="1" x14ac:dyDescent="0.3"/>
    <row r="246" s="771" customFormat="1" x14ac:dyDescent="0.3"/>
    <row r="247" s="771" customFormat="1" x14ac:dyDescent="0.3"/>
    <row r="248" s="771" customFormat="1" x14ac:dyDescent="0.3"/>
    <row r="249" s="771" customFormat="1" x14ac:dyDescent="0.3"/>
    <row r="250" s="771" customFormat="1" x14ac:dyDescent="0.3"/>
    <row r="251" s="771" customFormat="1" x14ac:dyDescent="0.3"/>
    <row r="252" s="771" customFormat="1" x14ac:dyDescent="0.3"/>
    <row r="253" s="771" customFormat="1" x14ac:dyDescent="0.3"/>
    <row r="254" s="771" customFormat="1" x14ac:dyDescent="0.3"/>
    <row r="255" s="771" customFormat="1" x14ac:dyDescent="0.3"/>
    <row r="256" s="771" customFormat="1" x14ac:dyDescent="0.3"/>
    <row r="257" s="771" customFormat="1" x14ac:dyDescent="0.3"/>
    <row r="258" s="771" customFormat="1" x14ac:dyDescent="0.3"/>
    <row r="259" s="771" customFormat="1" x14ac:dyDescent="0.3"/>
    <row r="260" s="771" customFormat="1" x14ac:dyDescent="0.3"/>
    <row r="261" s="771" customFormat="1" x14ac:dyDescent="0.3"/>
    <row r="262" s="771" customFormat="1" x14ac:dyDescent="0.3"/>
    <row r="263" s="771" customFormat="1" x14ac:dyDescent="0.3"/>
    <row r="264" s="771" customFormat="1" x14ac:dyDescent="0.3"/>
    <row r="265" s="771" customFormat="1" x14ac:dyDescent="0.3"/>
    <row r="266" s="771" customFormat="1" x14ac:dyDescent="0.3"/>
    <row r="267" s="771" customFormat="1" x14ac:dyDescent="0.3"/>
    <row r="268" s="771" customFormat="1" x14ac:dyDescent="0.3"/>
    <row r="269" s="771" customFormat="1" x14ac:dyDescent="0.3"/>
    <row r="270" s="771" customFormat="1" x14ac:dyDescent="0.3"/>
    <row r="271" s="771" customFormat="1" x14ac:dyDescent="0.3"/>
    <row r="272" s="771" customFormat="1" x14ac:dyDescent="0.3"/>
    <row r="273" s="771" customFormat="1" x14ac:dyDescent="0.3"/>
    <row r="274" s="771" customFormat="1" x14ac:dyDescent="0.3"/>
    <row r="275" s="771" customFormat="1" x14ac:dyDescent="0.3"/>
    <row r="276" s="771" customFormat="1" x14ac:dyDescent="0.3"/>
    <row r="277" s="771" customFormat="1" x14ac:dyDescent="0.3"/>
    <row r="278" s="771" customFormat="1" x14ac:dyDescent="0.3"/>
    <row r="279" s="771" customFormat="1" x14ac:dyDescent="0.3"/>
    <row r="280" s="771" customFormat="1" x14ac:dyDescent="0.3"/>
    <row r="281" s="771" customFormat="1" x14ac:dyDescent="0.3"/>
    <row r="282" s="771" customFormat="1" x14ac:dyDescent="0.3"/>
    <row r="283" s="771" customFormat="1" x14ac:dyDescent="0.3"/>
    <row r="284" s="771" customFormat="1" x14ac:dyDescent="0.3"/>
    <row r="285" s="771" customFormat="1" x14ac:dyDescent="0.3"/>
    <row r="286" s="771" customFormat="1" x14ac:dyDescent="0.3"/>
    <row r="287" s="771" customFormat="1" x14ac:dyDescent="0.3"/>
    <row r="288" s="771" customFormat="1" x14ac:dyDescent="0.3"/>
    <row r="289" s="771" customFormat="1" x14ac:dyDescent="0.3"/>
    <row r="290" s="771" customFormat="1" x14ac:dyDescent="0.3"/>
    <row r="291" s="771" customFormat="1" x14ac:dyDescent="0.3"/>
    <row r="292" s="771" customFormat="1" x14ac:dyDescent="0.3"/>
    <row r="293" s="771" customFormat="1" x14ac:dyDescent="0.3"/>
    <row r="294" s="771" customFormat="1" x14ac:dyDescent="0.3"/>
    <row r="295" s="771" customFormat="1" x14ac:dyDescent="0.3"/>
    <row r="296" s="771" customFormat="1" x14ac:dyDescent="0.3"/>
    <row r="297" s="771" customFormat="1" x14ac:dyDescent="0.3"/>
    <row r="298" s="771" customFormat="1" x14ac:dyDescent="0.3"/>
    <row r="299" s="771" customFormat="1" x14ac:dyDescent="0.3"/>
    <row r="300" s="771" customFormat="1" x14ac:dyDescent="0.3"/>
    <row r="301" s="771" customFormat="1" x14ac:dyDescent="0.3"/>
    <row r="302" s="771" customFormat="1" x14ac:dyDescent="0.3"/>
    <row r="303" s="771" customFormat="1" x14ac:dyDescent="0.3"/>
    <row r="304" s="771" customFormat="1" x14ac:dyDescent="0.3"/>
    <row r="305" s="771" customFormat="1" x14ac:dyDescent="0.3"/>
    <row r="306" s="771" customFormat="1" x14ac:dyDescent="0.3"/>
    <row r="307" s="771" customFormat="1" x14ac:dyDescent="0.3"/>
    <row r="308" s="771" customFormat="1" x14ac:dyDescent="0.3"/>
    <row r="309" s="771" customFormat="1" x14ac:dyDescent="0.3"/>
    <row r="310" s="771" customFormat="1" x14ac:dyDescent="0.3"/>
    <row r="311" s="771" customFormat="1" x14ac:dyDescent="0.3"/>
    <row r="312" s="771" customFormat="1" x14ac:dyDescent="0.3"/>
    <row r="313" s="771" customFormat="1" x14ac:dyDescent="0.3"/>
    <row r="314" s="771" customFormat="1" x14ac:dyDescent="0.3"/>
    <row r="315" s="771" customFormat="1" x14ac:dyDescent="0.3"/>
    <row r="316" s="771" customFormat="1" x14ac:dyDescent="0.3"/>
    <row r="317" s="771" customFormat="1" x14ac:dyDescent="0.3"/>
    <row r="318" s="771" customFormat="1" x14ac:dyDescent="0.3"/>
    <row r="319" s="771" customFormat="1" x14ac:dyDescent="0.3"/>
    <row r="320" s="771" customFormat="1" x14ac:dyDescent="0.3"/>
    <row r="321" s="771" customFormat="1" x14ac:dyDescent="0.3"/>
    <row r="322" s="771" customFormat="1" x14ac:dyDescent="0.3"/>
    <row r="323" s="771" customFormat="1" x14ac:dyDescent="0.3"/>
    <row r="324" s="771" customFormat="1" x14ac:dyDescent="0.3"/>
    <row r="325" s="771" customFormat="1" x14ac:dyDescent="0.3"/>
    <row r="326" s="771" customFormat="1" x14ac:dyDescent="0.3"/>
    <row r="327" s="771" customFormat="1" x14ac:dyDescent="0.3"/>
    <row r="328" s="771" customFormat="1" x14ac:dyDescent="0.3"/>
    <row r="329" s="771" customFormat="1" x14ac:dyDescent="0.3"/>
    <row r="330" s="771" customFormat="1" x14ac:dyDescent="0.3"/>
    <row r="331" s="771" customFormat="1" x14ac:dyDescent="0.3"/>
    <row r="332" s="771" customFormat="1" x14ac:dyDescent="0.3"/>
    <row r="333" s="771" customFormat="1" x14ac:dyDescent="0.3"/>
    <row r="334" s="771" customFormat="1" x14ac:dyDescent="0.3"/>
    <row r="335" s="771" customFormat="1" x14ac:dyDescent="0.3"/>
    <row r="336" s="771" customFormat="1" x14ac:dyDescent="0.3"/>
    <row r="337" s="771" customFormat="1" x14ac:dyDescent="0.3"/>
    <row r="338" s="771" customFormat="1" x14ac:dyDescent="0.3"/>
    <row r="339" s="771" customFormat="1" x14ac:dyDescent="0.3"/>
    <row r="340" s="771" customFormat="1" x14ac:dyDescent="0.3"/>
    <row r="341" s="771" customFormat="1" x14ac:dyDescent="0.3"/>
    <row r="342" s="771" customFormat="1" x14ac:dyDescent="0.3"/>
    <row r="343" s="771" customFormat="1" x14ac:dyDescent="0.3"/>
    <row r="344" s="771" customFormat="1" x14ac:dyDescent="0.3"/>
    <row r="345" s="771" customFormat="1" x14ac:dyDescent="0.3"/>
    <row r="346" s="771" customFormat="1" x14ac:dyDescent="0.3"/>
    <row r="347" s="771" customFormat="1" x14ac:dyDescent="0.3"/>
    <row r="348" s="771" customFormat="1" x14ac:dyDescent="0.3"/>
    <row r="349" s="771" customFormat="1" x14ac:dyDescent="0.3"/>
    <row r="350" s="771" customFormat="1" x14ac:dyDescent="0.3"/>
    <row r="351" s="771" customFormat="1" x14ac:dyDescent="0.3"/>
    <row r="352" s="771" customFormat="1" x14ac:dyDescent="0.3"/>
    <row r="353" s="771" customFormat="1" x14ac:dyDescent="0.3"/>
    <row r="354" s="771" customFormat="1" x14ac:dyDescent="0.3"/>
    <row r="355" s="771" customFormat="1" x14ac:dyDescent="0.3"/>
    <row r="356" s="771" customFormat="1" x14ac:dyDescent="0.3"/>
    <row r="357" s="771" customFormat="1" x14ac:dyDescent="0.3"/>
    <row r="358" s="771" customFormat="1" x14ac:dyDescent="0.3"/>
    <row r="359" s="771" customFormat="1" x14ac:dyDescent="0.3"/>
    <row r="360" s="771" customFormat="1" x14ac:dyDescent="0.3"/>
    <row r="361" s="771" customFormat="1" x14ac:dyDescent="0.3"/>
    <row r="362" s="771" customFormat="1" x14ac:dyDescent="0.3"/>
    <row r="363" s="771" customFormat="1" x14ac:dyDescent="0.3"/>
    <row r="364" s="771" customFormat="1" x14ac:dyDescent="0.3"/>
    <row r="365" s="771" customFormat="1" x14ac:dyDescent="0.3"/>
    <row r="366" s="771" customFormat="1" x14ac:dyDescent="0.3"/>
    <row r="367" s="771" customFormat="1" x14ac:dyDescent="0.3"/>
    <row r="368" s="771" customFormat="1" x14ac:dyDescent="0.3"/>
    <row r="369" s="771" customFormat="1" x14ac:dyDescent="0.3"/>
    <row r="370" s="771" customFormat="1" x14ac:dyDescent="0.3"/>
    <row r="371" s="771" customFormat="1" x14ac:dyDescent="0.3"/>
    <row r="372" s="771" customFormat="1" x14ac:dyDescent="0.3"/>
    <row r="373" s="771" customFormat="1" x14ac:dyDescent="0.3"/>
    <row r="374" s="771" customFormat="1" x14ac:dyDescent="0.3"/>
    <row r="375" s="771" customFormat="1" x14ac:dyDescent="0.3"/>
    <row r="376" s="771" customFormat="1" x14ac:dyDescent="0.3"/>
    <row r="377" s="771" customFormat="1" x14ac:dyDescent="0.3"/>
    <row r="378" s="771" customFormat="1" x14ac:dyDescent="0.3"/>
    <row r="379" s="771" customFormat="1" x14ac:dyDescent="0.3"/>
    <row r="380" s="771" customFormat="1" x14ac:dyDescent="0.3"/>
    <row r="381" s="771" customFormat="1" x14ac:dyDescent="0.3"/>
    <row r="382" s="771" customFormat="1" x14ac:dyDescent="0.3"/>
    <row r="383" s="771" customFormat="1" x14ac:dyDescent="0.3"/>
    <row r="384" s="771" customFormat="1" x14ac:dyDescent="0.3"/>
    <row r="385" s="771" customFormat="1" x14ac:dyDescent="0.3"/>
    <row r="386" s="771" customFormat="1" x14ac:dyDescent="0.3"/>
    <row r="387" s="771" customFormat="1" x14ac:dyDescent="0.3"/>
    <row r="388" s="771" customFormat="1" x14ac:dyDescent="0.3"/>
    <row r="389" s="771" customFormat="1" x14ac:dyDescent="0.3"/>
    <row r="390" s="771" customFormat="1" x14ac:dyDescent="0.3"/>
    <row r="391" s="771" customFormat="1" x14ac:dyDescent="0.3"/>
    <row r="392" s="771" customFormat="1" x14ac:dyDescent="0.3"/>
    <row r="393" s="771" customFormat="1" x14ac:dyDescent="0.3"/>
    <row r="394" s="771" customFormat="1" x14ac:dyDescent="0.3"/>
    <row r="395" s="771" customFormat="1" x14ac:dyDescent="0.3"/>
    <row r="396" s="771" customFormat="1" x14ac:dyDescent="0.3"/>
    <row r="397" s="771" customFormat="1" x14ac:dyDescent="0.3"/>
    <row r="398" s="771" customFormat="1" x14ac:dyDescent="0.3"/>
    <row r="399" s="771" customFormat="1" x14ac:dyDescent="0.3"/>
    <row r="400" s="771" customFormat="1" x14ac:dyDescent="0.3"/>
    <row r="401" s="771" customFormat="1" x14ac:dyDescent="0.3"/>
    <row r="402" s="771" customFormat="1" x14ac:dyDescent="0.3"/>
    <row r="403" s="771" customFormat="1" x14ac:dyDescent="0.3"/>
    <row r="404" s="771" customFormat="1" x14ac:dyDescent="0.3"/>
    <row r="405" s="771" customFormat="1" x14ac:dyDescent="0.3"/>
    <row r="406" s="771" customFormat="1" x14ac:dyDescent="0.3"/>
    <row r="407" s="771" customFormat="1" x14ac:dyDescent="0.3"/>
    <row r="408" s="771" customFormat="1" x14ac:dyDescent="0.3"/>
    <row r="409" s="771" customFormat="1" x14ac:dyDescent="0.3"/>
    <row r="410" s="771" customFormat="1" x14ac:dyDescent="0.3"/>
    <row r="411" s="771" customFormat="1" x14ac:dyDescent="0.3"/>
    <row r="412" s="771" customFormat="1" x14ac:dyDescent="0.3"/>
    <row r="413" s="771" customFormat="1" x14ac:dyDescent="0.3"/>
    <row r="414" s="771" customFormat="1" x14ac:dyDescent="0.3"/>
    <row r="415" s="771" customFormat="1" x14ac:dyDescent="0.3"/>
    <row r="416" s="771" customFormat="1" x14ac:dyDescent="0.3"/>
    <row r="417" s="771" customFormat="1" x14ac:dyDescent="0.3"/>
    <row r="418" s="771" customFormat="1" x14ac:dyDescent="0.3"/>
    <row r="419" s="771" customFormat="1" x14ac:dyDescent="0.3"/>
    <row r="420" s="771" customFormat="1" x14ac:dyDescent="0.3"/>
    <row r="421" s="771" customFormat="1" x14ac:dyDescent="0.3"/>
    <row r="422" s="771" customFormat="1" x14ac:dyDescent="0.3"/>
    <row r="423" s="771" customFormat="1" x14ac:dyDescent="0.3"/>
    <row r="424" s="771" customFormat="1" x14ac:dyDescent="0.3"/>
    <row r="425" s="771" customFormat="1" x14ac:dyDescent="0.3"/>
    <row r="426" s="771" customFormat="1" x14ac:dyDescent="0.3"/>
    <row r="427" s="771" customFormat="1" x14ac:dyDescent="0.3"/>
    <row r="428" s="771" customFormat="1" x14ac:dyDescent="0.3"/>
    <row r="429" s="771" customFormat="1" x14ac:dyDescent="0.3"/>
    <row r="430" s="771" customFormat="1" x14ac:dyDescent="0.3"/>
    <row r="431" s="771" customFormat="1" x14ac:dyDescent="0.3"/>
    <row r="432" s="771" customFormat="1" x14ac:dyDescent="0.3"/>
    <row r="433" s="771" customFormat="1" x14ac:dyDescent="0.3"/>
    <row r="434" s="771" customFormat="1" x14ac:dyDescent="0.3"/>
    <row r="435" s="771" customFormat="1" x14ac:dyDescent="0.3"/>
    <row r="436" s="771" customFormat="1" x14ac:dyDescent="0.3"/>
    <row r="437" s="771" customFormat="1" x14ac:dyDescent="0.3"/>
    <row r="438" s="771" customFormat="1" x14ac:dyDescent="0.3"/>
    <row r="439" s="771" customFormat="1" x14ac:dyDescent="0.3"/>
    <row r="440" s="771" customFormat="1" x14ac:dyDescent="0.3"/>
    <row r="441" s="771" customFormat="1" x14ac:dyDescent="0.3"/>
    <row r="442" s="771" customFormat="1" x14ac:dyDescent="0.3"/>
    <row r="443" s="771" customFormat="1" x14ac:dyDescent="0.3"/>
    <row r="444" s="771" customFormat="1" x14ac:dyDescent="0.3"/>
    <row r="445" s="771" customFormat="1" x14ac:dyDescent="0.3"/>
    <row r="446" s="771" customFormat="1" x14ac:dyDescent="0.3"/>
    <row r="447" s="771" customFormat="1" x14ac:dyDescent="0.3"/>
    <row r="448" s="771" customFormat="1" x14ac:dyDescent="0.3"/>
    <row r="449" s="771" customFormat="1" x14ac:dyDescent="0.3"/>
    <row r="450" s="771" customFormat="1" x14ac:dyDescent="0.3"/>
    <row r="451" s="771" customFormat="1" x14ac:dyDescent="0.3"/>
    <row r="452" s="771" customFormat="1" x14ac:dyDescent="0.3"/>
    <row r="453" s="771" customFormat="1" x14ac:dyDescent="0.3"/>
    <row r="454" s="771" customFormat="1" x14ac:dyDescent="0.3"/>
    <row r="455" s="771" customFormat="1" x14ac:dyDescent="0.3"/>
    <row r="456" s="771" customFormat="1" x14ac:dyDescent="0.3"/>
    <row r="457" s="771" customFormat="1" x14ac:dyDescent="0.3"/>
    <row r="458" s="771" customFormat="1" x14ac:dyDescent="0.3"/>
    <row r="459" s="771" customFormat="1" x14ac:dyDescent="0.3"/>
    <row r="460" s="771" customFormat="1" x14ac:dyDescent="0.3"/>
    <row r="461" s="771" customFormat="1" x14ac:dyDescent="0.3"/>
    <row r="462" s="771" customFormat="1" x14ac:dyDescent="0.3"/>
    <row r="463" s="771" customFormat="1" x14ac:dyDescent="0.3"/>
    <row r="464" s="771" customFormat="1" x14ac:dyDescent="0.3"/>
    <row r="465" s="771" customFormat="1" x14ac:dyDescent="0.3"/>
    <row r="466" s="771" customFormat="1" x14ac:dyDescent="0.3"/>
    <row r="467" s="771" customFormat="1" x14ac:dyDescent="0.3"/>
    <row r="468" s="771" customFormat="1" x14ac:dyDescent="0.3"/>
  </sheetData>
  <sheetProtection algorithmName="SHA-512" hashValue="cx586VfE2I9o0VPiWYks8wcuJsiPgC/55PKoEryoa+x+eOli5aK+BPcyh28+ZwXOC4BJrjR86qZzqr5Ht3/o0Q==" saltValue="SUEVua5G711lilBlcL0anA==" spinCount="100000" sheet="1" objects="1" scenarios="1"/>
  <mergeCells count="38">
    <mergeCell ref="B1:D1"/>
    <mergeCell ref="I1:K1"/>
    <mergeCell ref="I6:K6"/>
    <mergeCell ref="O6:Q6"/>
    <mergeCell ref="U6:W6"/>
    <mergeCell ref="B2:G2"/>
    <mergeCell ref="O1:Q1"/>
    <mergeCell ref="K4:L4"/>
    <mergeCell ref="Q4:R4"/>
    <mergeCell ref="W4:X4"/>
    <mergeCell ref="AG1:AI1"/>
    <mergeCell ref="AA1:AC1"/>
    <mergeCell ref="U1:W1"/>
    <mergeCell ref="AG2:AK2"/>
    <mergeCell ref="I3:M3"/>
    <mergeCell ref="O3:S3"/>
    <mergeCell ref="U3:Y3"/>
    <mergeCell ref="AA3:AE3"/>
    <mergeCell ref="AG3:AK3"/>
    <mergeCell ref="I2:M2"/>
    <mergeCell ref="O2:S2"/>
    <mergeCell ref="U2:Y2"/>
    <mergeCell ref="AA2:AE2"/>
    <mergeCell ref="AA6:AC6"/>
    <mergeCell ref="AG6:AI6"/>
    <mergeCell ref="AC4:AD4"/>
    <mergeCell ref="AI4:AJ4"/>
    <mergeCell ref="F23:G23"/>
    <mergeCell ref="K5:L5"/>
    <mergeCell ref="Q5:R5"/>
    <mergeCell ref="AI5:AJ5"/>
    <mergeCell ref="AC5:AD5"/>
    <mergeCell ref="W5:X5"/>
    <mergeCell ref="I23:K23"/>
    <mergeCell ref="O23:Q23"/>
    <mergeCell ref="U23:W23"/>
    <mergeCell ref="AA23:AC23"/>
    <mergeCell ref="AG23:AI23"/>
  </mergeCells>
  <conditionalFormatting sqref="M6">
    <cfRule type="cellIs" dxfId="245" priority="16" stopIfTrue="1" operator="equal">
      <formula>0</formula>
    </cfRule>
  </conditionalFormatting>
  <conditionalFormatting sqref="B5:G5 B4:F4 B6:F6">
    <cfRule type="cellIs" dxfId="244" priority="6" operator="equal">
      <formula>0</formula>
    </cfRule>
  </conditionalFormatting>
  <conditionalFormatting sqref="S6">
    <cfRule type="cellIs" dxfId="243" priority="5" stopIfTrue="1" operator="equal">
      <formula>0</formula>
    </cfRule>
  </conditionalFormatting>
  <conditionalFormatting sqref="Y6">
    <cfRule type="cellIs" dxfId="242" priority="4" stopIfTrue="1" operator="equal">
      <formula>0</formula>
    </cfRule>
  </conditionalFormatting>
  <conditionalFormatting sqref="AE6">
    <cfRule type="cellIs" dxfId="241" priority="3" stopIfTrue="1" operator="equal">
      <formula>0</formula>
    </cfRule>
  </conditionalFormatting>
  <conditionalFormatting sqref="AK6">
    <cfRule type="cellIs" dxfId="240" priority="2" stopIfTrue="1" operator="equal">
      <formula>0</formula>
    </cfRule>
  </conditionalFormatting>
  <conditionalFormatting sqref="G4 G6">
    <cfRule type="cellIs" dxfId="239" priority="1" operator="equal">
      <formula>0</formula>
    </cfRule>
  </conditionalFormatting>
  <dataValidations count="1">
    <dataValidation type="list" allowBlank="1" showInputMessage="1" showErrorMessage="1" sqref="L6 R6 X6 AD6 AJ6" xr:uid="{00000000-0002-0000-0C00-000000000000}">
      <formula1>"mensuel,trimestriel,semestriel, annuel"</formula1>
    </dataValidation>
  </dataValidations>
  <hyperlinks>
    <hyperlink ref="B1:C1" location="'plan de financement initial'!H52" display="Retour au plan de financement initial" xr:uid="{00000000-0004-0000-0C00-000000000000}"/>
    <hyperlink ref="B1:D1" location="'Plan de financement'!O44" display="Retour au plan de financement" xr:uid="{00000000-0004-0000-0C00-000001000000}"/>
    <hyperlink ref="I1:K1" location="'Simulation emprunt'!I24" display="Voir tableau de remboursement" xr:uid="{00000000-0004-0000-0C00-000002000000}"/>
    <hyperlink ref="O1:Q1" location="'Simulation emprunt'!O24" display="Voir tableau de remboursement" xr:uid="{00000000-0004-0000-0C00-000003000000}"/>
    <hyperlink ref="AG1:AI1" location="'Simulation emprunt'!AG24" display="Voir tableau de remboursement" xr:uid="{00000000-0004-0000-0C00-000004000000}"/>
    <hyperlink ref="AA1:AC1" location="'Simulation emprunt'!AA24" display="Voir tableau de remboursement" xr:uid="{00000000-0004-0000-0C00-000005000000}"/>
    <hyperlink ref="U1:W1" location="'Simulation emprunt'!U24" display="Voir tableau de remboursement" xr:uid="{00000000-0004-0000-0C00-000006000000}"/>
  </hyperlinks>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tabColor indexed="13"/>
  </sheetPr>
  <dimension ref="B1:J324"/>
  <sheetViews>
    <sheetView showGridLines="0" showRowColHeaders="0" zoomScaleNormal="100" workbookViewId="0">
      <selection activeCell="B92" sqref="B92:J92"/>
    </sheetView>
  </sheetViews>
  <sheetFormatPr baseColWidth="10" defaultColWidth="10.77734375" defaultRowHeight="13.8" x14ac:dyDescent="0.3"/>
  <cols>
    <col min="1" max="1" width="1.77734375" style="70" customWidth="1"/>
    <col min="2" max="2" width="113.77734375" style="80" customWidth="1"/>
    <col min="3" max="10" width="12.33203125" style="70" customWidth="1"/>
    <col min="11" max="16384" width="10.77734375" style="70"/>
  </cols>
  <sheetData>
    <row r="1" spans="2:10" ht="6" customHeight="1" x14ac:dyDescent="0.3"/>
    <row r="2" spans="2:10" ht="24.9" customHeight="1" x14ac:dyDescent="0.3">
      <c r="B2" s="2148" t="s">
        <v>1062</v>
      </c>
      <c r="C2" s="2149"/>
      <c r="D2" s="2149"/>
      <c r="E2" s="2149"/>
      <c r="F2" s="2149"/>
      <c r="G2" s="2149"/>
      <c r="H2" s="2149"/>
      <c r="I2" s="2149"/>
      <c r="J2" s="2150"/>
    </row>
    <row r="3" spans="2:10" ht="20.100000000000001" customHeight="1" x14ac:dyDescent="0.3"/>
    <row r="4" spans="2:10" s="81" customFormat="1" ht="20.100000000000001" customHeight="1" x14ac:dyDescent="0.3">
      <c r="B4" s="3321" t="s">
        <v>34</v>
      </c>
      <c r="C4" s="3354"/>
      <c r="D4" s="3354"/>
      <c r="E4" s="3354"/>
      <c r="F4" s="3354"/>
      <c r="G4" s="3354"/>
      <c r="H4" s="3354"/>
      <c r="I4" s="3354"/>
      <c r="J4" s="3354"/>
    </row>
    <row r="5" spans="2:10" ht="3" customHeight="1" x14ac:dyDescent="0.3"/>
    <row r="6" spans="2:10" s="82" customFormat="1" ht="15" customHeight="1" x14ac:dyDescent="0.25">
      <c r="B6" s="3306" t="s">
        <v>25</v>
      </c>
      <c r="C6" s="3323"/>
      <c r="D6" s="3323"/>
      <c r="E6" s="3323"/>
      <c r="F6" s="3323"/>
      <c r="G6" s="3323"/>
      <c r="H6" s="3323"/>
      <c r="I6" s="3323"/>
      <c r="J6" s="3323"/>
    </row>
    <row r="7" spans="2:10" s="82" customFormat="1" ht="30" customHeight="1" x14ac:dyDescent="0.25">
      <c r="B7" s="3301" t="s">
        <v>41</v>
      </c>
      <c r="C7" s="3323"/>
      <c r="D7" s="3323"/>
      <c r="E7" s="3323"/>
      <c r="F7" s="3323"/>
      <c r="G7" s="3323"/>
      <c r="H7" s="3323"/>
      <c r="I7" s="3323"/>
      <c r="J7" s="3323"/>
    </row>
    <row r="8" spans="2:10" s="82" customFormat="1" ht="20.100000000000001" customHeight="1" x14ac:dyDescent="0.25">
      <c r="B8" s="3301" t="s">
        <v>42</v>
      </c>
      <c r="C8" s="3323"/>
      <c r="D8" s="3323"/>
      <c r="E8" s="3323"/>
      <c r="F8" s="3323"/>
      <c r="G8" s="3323"/>
      <c r="H8" s="3323"/>
      <c r="I8" s="3323"/>
      <c r="J8" s="3323"/>
    </row>
    <row r="9" spans="2:10" s="82" customFormat="1" ht="15" customHeight="1" x14ac:dyDescent="0.25">
      <c r="B9" s="3301" t="s">
        <v>96</v>
      </c>
      <c r="C9" s="3323"/>
      <c r="D9" s="3323"/>
      <c r="E9" s="3323"/>
      <c r="F9" s="3323"/>
      <c r="G9" s="3323"/>
      <c r="H9" s="3323"/>
      <c r="I9" s="3323"/>
      <c r="J9" s="3323"/>
    </row>
    <row r="10" spans="2:10" s="82" customFormat="1" ht="15" customHeight="1" x14ac:dyDescent="0.25">
      <c r="B10" s="3301" t="s">
        <v>57</v>
      </c>
      <c r="C10" s="3323"/>
      <c r="D10" s="3323"/>
      <c r="E10" s="3323"/>
      <c r="F10" s="3323"/>
      <c r="G10" s="3323"/>
      <c r="H10" s="3323"/>
      <c r="I10" s="3323"/>
      <c r="J10" s="3323"/>
    </row>
    <row r="11" spans="2:10" s="84" customFormat="1" ht="3" customHeight="1" x14ac:dyDescent="0.25">
      <c r="B11" s="83"/>
      <c r="C11" s="83"/>
    </row>
    <row r="12" spans="2:10" s="82" customFormat="1" ht="24.9" customHeight="1" x14ac:dyDescent="0.25">
      <c r="B12" s="3358" t="s">
        <v>626</v>
      </c>
      <c r="C12" s="3359"/>
      <c r="D12" s="3359"/>
      <c r="E12" s="3359"/>
      <c r="F12" s="3359"/>
      <c r="G12" s="3359"/>
      <c r="H12" s="3359"/>
      <c r="I12" s="3359"/>
      <c r="J12" s="3360"/>
    </row>
    <row r="13" spans="2:10" s="84" customFormat="1" ht="3" customHeight="1" x14ac:dyDescent="0.25">
      <c r="B13" s="83"/>
      <c r="C13" s="83"/>
    </row>
    <row r="14" spans="2:10" s="82" customFormat="1" ht="15" customHeight="1" x14ac:dyDescent="0.25">
      <c r="B14" s="3301" t="s">
        <v>394</v>
      </c>
      <c r="C14" s="3313"/>
      <c r="D14" s="3313"/>
      <c r="E14" s="3313"/>
      <c r="F14" s="3313"/>
      <c r="G14" s="3313"/>
      <c r="H14" s="3313"/>
      <c r="I14" s="3313"/>
      <c r="J14" s="112"/>
    </row>
    <row r="15" spans="2:10" s="82" customFormat="1" ht="30" customHeight="1" x14ac:dyDescent="0.25">
      <c r="B15" s="3305" t="s">
        <v>437</v>
      </c>
      <c r="C15" s="3323"/>
      <c r="D15" s="3323"/>
      <c r="E15" s="3323"/>
      <c r="F15" s="3323"/>
      <c r="G15" s="3323"/>
      <c r="H15" s="3323"/>
      <c r="I15" s="3323"/>
      <c r="J15" s="3323"/>
    </row>
    <row r="16" spans="2:10" s="82" customFormat="1" ht="15" customHeight="1" x14ac:dyDescent="0.25">
      <c r="B16" s="3305" t="s">
        <v>441</v>
      </c>
      <c r="C16" s="3323"/>
      <c r="D16" s="3323"/>
      <c r="E16" s="3323"/>
      <c r="F16" s="3323"/>
      <c r="G16" s="3323"/>
      <c r="H16" s="3323"/>
      <c r="I16" s="3323"/>
      <c r="J16" s="3323"/>
    </row>
    <row r="17" spans="2:10" s="85" customFormat="1" ht="75" customHeight="1" x14ac:dyDescent="0.3">
      <c r="B17" s="3301" t="s">
        <v>435</v>
      </c>
      <c r="C17" s="3301"/>
      <c r="D17" s="3301"/>
      <c r="E17" s="3301"/>
      <c r="F17" s="3301"/>
      <c r="G17" s="3301"/>
      <c r="H17" s="3301"/>
      <c r="I17" s="3301"/>
      <c r="J17" s="3301"/>
    </row>
    <row r="18" spans="2:10" s="85" customFormat="1" ht="30" customHeight="1" x14ac:dyDescent="0.3">
      <c r="B18" s="3301" t="s">
        <v>64</v>
      </c>
      <c r="C18" s="3323"/>
      <c r="D18" s="3323"/>
      <c r="E18" s="3323"/>
      <c r="F18" s="3323"/>
      <c r="G18" s="3323"/>
      <c r="H18" s="3323"/>
      <c r="I18" s="3323"/>
      <c r="J18" s="3323"/>
    </row>
    <row r="19" spans="2:10" s="85" customFormat="1" ht="30" customHeight="1" x14ac:dyDescent="0.3">
      <c r="B19" s="3301" t="s">
        <v>357</v>
      </c>
      <c r="C19" s="3355"/>
      <c r="D19" s="3355"/>
      <c r="E19" s="3355"/>
      <c r="F19" s="3355"/>
      <c r="G19" s="3355"/>
      <c r="H19" s="3355"/>
      <c r="I19" s="3355"/>
      <c r="J19" s="3355"/>
    </row>
    <row r="20" spans="2:10" ht="6" customHeight="1" x14ac:dyDescent="0.3"/>
    <row r="21" spans="2:10" ht="24.9" customHeight="1" x14ac:dyDescent="0.3">
      <c r="B21" s="3325" t="s">
        <v>298</v>
      </c>
      <c r="C21" s="3356"/>
      <c r="D21" s="3356"/>
      <c r="E21" s="3356"/>
      <c r="F21" s="3356"/>
      <c r="G21" s="3356"/>
      <c r="H21" s="3356"/>
      <c r="I21" s="3356"/>
      <c r="J21" s="3357"/>
    </row>
    <row r="22" spans="2:10" s="823" customFormat="1" ht="16.5" customHeight="1" x14ac:dyDescent="0.3">
      <c r="B22" s="820" t="s">
        <v>835</v>
      </c>
    </row>
    <row r="24" spans="2:10" s="81" customFormat="1" ht="20.100000000000001" customHeight="1" x14ac:dyDescent="0.3">
      <c r="B24" s="3321" t="s">
        <v>243</v>
      </c>
      <c r="C24" s="3322"/>
      <c r="D24" s="3322"/>
      <c r="E24" s="3322"/>
      <c r="F24" s="3322"/>
      <c r="G24" s="3322"/>
      <c r="H24" s="3322"/>
      <c r="I24" s="3322"/>
      <c r="J24" s="3322"/>
    </row>
    <row r="25" spans="2:10" ht="3" customHeight="1" x14ac:dyDescent="0.3"/>
    <row r="26" spans="2:10" s="85" customFormat="1" ht="45" customHeight="1" x14ac:dyDescent="0.3">
      <c r="B26" s="3301" t="s">
        <v>430</v>
      </c>
      <c r="C26" s="3301"/>
      <c r="D26" s="3301"/>
      <c r="E26" s="3301"/>
      <c r="F26" s="3301"/>
      <c r="G26" s="3301"/>
      <c r="H26" s="3301"/>
      <c r="I26" s="3301"/>
      <c r="J26" s="3301"/>
    </row>
    <row r="27" spans="2:10" s="85" customFormat="1" ht="30" customHeight="1" x14ac:dyDescent="0.3">
      <c r="B27" s="3301" t="s">
        <v>62</v>
      </c>
      <c r="C27" s="3301"/>
      <c r="D27" s="3301"/>
      <c r="E27" s="3301"/>
      <c r="F27" s="3301"/>
      <c r="G27" s="3301"/>
      <c r="H27" s="3301"/>
      <c r="I27" s="3301"/>
      <c r="J27" s="3301"/>
    </row>
    <row r="28" spans="2:10" s="85" customFormat="1" ht="30" customHeight="1" x14ac:dyDescent="0.3">
      <c r="B28" s="3301" t="s">
        <v>354</v>
      </c>
      <c r="C28" s="3323"/>
      <c r="D28" s="3323"/>
      <c r="E28" s="3323"/>
      <c r="F28" s="3323"/>
      <c r="G28" s="3323"/>
      <c r="H28" s="3323"/>
      <c r="I28" s="3323"/>
      <c r="J28" s="3323"/>
    </row>
    <row r="29" spans="2:10" s="85" customFormat="1" ht="15" customHeight="1" x14ac:dyDescent="0.3">
      <c r="B29" s="117" t="s">
        <v>157</v>
      </c>
    </row>
    <row r="30" spans="2:10" s="110" customFormat="1" ht="15" customHeight="1" x14ac:dyDescent="0.25">
      <c r="B30" s="3301" t="s">
        <v>261</v>
      </c>
      <c r="C30" s="2166"/>
      <c r="D30" s="2166"/>
      <c r="E30" s="2166"/>
      <c r="F30" s="2166"/>
      <c r="G30" s="2166"/>
      <c r="H30" s="2166"/>
      <c r="I30" s="2166"/>
      <c r="J30" s="2166"/>
    </row>
    <row r="31" spans="2:10" s="110" customFormat="1" ht="15" customHeight="1" x14ac:dyDescent="0.25">
      <c r="B31" s="3301" t="s">
        <v>334</v>
      </c>
      <c r="C31" s="2166"/>
      <c r="D31" s="2166"/>
      <c r="E31" s="2166"/>
      <c r="F31" s="2166"/>
      <c r="G31" s="2166"/>
      <c r="H31" s="2166"/>
      <c r="I31" s="2166"/>
      <c r="J31" s="2166"/>
    </row>
    <row r="32" spans="2:10" s="110" customFormat="1" ht="16.5" customHeight="1" x14ac:dyDescent="0.25">
      <c r="B32" s="117" t="s">
        <v>398</v>
      </c>
    </row>
    <row r="33" spans="2:10" s="110" customFormat="1" ht="16.5" customHeight="1" x14ac:dyDescent="0.25">
      <c r="B33" s="118" t="s">
        <v>23</v>
      </c>
    </row>
    <row r="34" spans="2:10" s="110" customFormat="1" ht="16.5" customHeight="1" x14ac:dyDescent="0.25">
      <c r="B34" s="118" t="s">
        <v>307</v>
      </c>
    </row>
    <row r="35" spans="2:10" s="110" customFormat="1" ht="16.5" customHeight="1" x14ac:dyDescent="0.25">
      <c r="B35" s="118" t="s">
        <v>37</v>
      </c>
    </row>
    <row r="36" spans="2:10" s="110" customFormat="1" ht="16.5" customHeight="1" x14ac:dyDescent="0.25">
      <c r="B36" s="118" t="s">
        <v>59</v>
      </c>
    </row>
    <row r="37" spans="2:10" s="110" customFormat="1" ht="16.5" customHeight="1" x14ac:dyDescent="0.25">
      <c r="B37" s="118" t="s">
        <v>318</v>
      </c>
    </row>
    <row r="38" spans="2:10" s="110" customFormat="1" ht="16.5" customHeight="1" x14ac:dyDescent="0.25">
      <c r="B38" s="118" t="s">
        <v>395</v>
      </c>
    </row>
    <row r="39" spans="2:10" s="110" customFormat="1" ht="16.5" customHeight="1" x14ac:dyDescent="0.25">
      <c r="B39" s="118" t="s">
        <v>103</v>
      </c>
    </row>
    <row r="40" spans="2:10" s="110" customFormat="1" ht="16.5" customHeight="1" x14ac:dyDescent="0.25">
      <c r="B40" s="118" t="s">
        <v>349</v>
      </c>
    </row>
    <row r="41" spans="2:10" s="110" customFormat="1" ht="16.5" customHeight="1" x14ac:dyDescent="0.25">
      <c r="B41" s="118" t="s">
        <v>38</v>
      </c>
    </row>
    <row r="42" spans="2:10" s="110" customFormat="1" ht="16.5" customHeight="1" x14ac:dyDescent="0.25">
      <c r="B42" s="3301" t="s">
        <v>432</v>
      </c>
      <c r="C42" s="3364"/>
      <c r="D42" s="3364"/>
      <c r="E42" s="3364"/>
      <c r="F42" s="3364"/>
      <c r="G42" s="3364"/>
      <c r="H42" s="3364"/>
      <c r="I42" s="3364"/>
      <c r="J42" s="3364"/>
    </row>
    <row r="43" spans="2:10" s="110" customFormat="1" ht="16.5" customHeight="1" x14ac:dyDescent="0.25">
      <c r="B43" s="3301" t="s">
        <v>39</v>
      </c>
      <c r="C43" s="2223"/>
      <c r="D43" s="2223"/>
      <c r="E43" s="2223"/>
      <c r="F43" s="2223"/>
      <c r="G43" s="2223"/>
      <c r="H43" s="2223"/>
      <c r="I43" s="2223"/>
      <c r="J43" s="2223"/>
    </row>
    <row r="44" spans="2:10" s="110" customFormat="1" ht="16.5" customHeight="1" x14ac:dyDescent="0.25">
      <c r="B44" s="3301" t="s">
        <v>461</v>
      </c>
      <c r="C44" s="2223"/>
      <c r="D44" s="2223"/>
      <c r="E44" s="2223"/>
      <c r="F44" s="2223"/>
      <c r="G44" s="2223"/>
      <c r="H44" s="2223"/>
      <c r="I44" s="2223"/>
      <c r="J44" s="2223"/>
    </row>
    <row r="45" spans="2:10" s="110" customFormat="1" ht="15" customHeight="1" x14ac:dyDescent="0.25">
      <c r="B45" s="117" t="s">
        <v>158</v>
      </c>
    </row>
    <row r="46" spans="2:10" s="85" customFormat="1" ht="30" customHeight="1" x14ac:dyDescent="0.3">
      <c r="B46" s="3301" t="s">
        <v>358</v>
      </c>
      <c r="C46" s="2166"/>
      <c r="D46" s="2166"/>
      <c r="E46" s="2166"/>
      <c r="F46" s="2166"/>
      <c r="G46" s="2166"/>
      <c r="H46" s="2166"/>
      <c r="I46" s="2166"/>
      <c r="J46" s="2166"/>
    </row>
    <row r="47" spans="2:10" s="85" customFormat="1" ht="30" customHeight="1" x14ac:dyDescent="0.3">
      <c r="B47" s="3301" t="s">
        <v>316</v>
      </c>
      <c r="C47" s="2166"/>
      <c r="D47" s="2166"/>
      <c r="E47" s="2166"/>
      <c r="F47" s="2166"/>
      <c r="G47" s="2166"/>
      <c r="H47" s="2166"/>
      <c r="I47" s="2166"/>
      <c r="J47" s="2166"/>
    </row>
    <row r="48" spans="2:10" s="110" customFormat="1" ht="15" customHeight="1" x14ac:dyDescent="0.25">
      <c r="B48" s="3301" t="s">
        <v>140</v>
      </c>
      <c r="C48" s="2166"/>
      <c r="D48" s="2166"/>
      <c r="E48" s="2166"/>
      <c r="F48" s="2166"/>
      <c r="G48" s="2166"/>
      <c r="H48" s="2166"/>
      <c r="I48" s="2166"/>
    </row>
    <row r="49" spans="2:10" s="85" customFormat="1" ht="15" customHeight="1" x14ac:dyDescent="0.3">
      <c r="B49" s="118" t="s">
        <v>141</v>
      </c>
    </row>
    <row r="50" spans="2:10" s="85" customFormat="1" ht="15" customHeight="1" x14ac:dyDescent="0.3">
      <c r="B50" s="118" t="s">
        <v>150</v>
      </c>
    </row>
    <row r="51" spans="2:10" s="85" customFormat="1" ht="15" customHeight="1" x14ac:dyDescent="0.3">
      <c r="B51" s="118" t="s">
        <v>26</v>
      </c>
    </row>
    <row r="52" spans="2:10" s="85" customFormat="1" ht="30" customHeight="1" x14ac:dyDescent="0.3">
      <c r="B52" s="3301" t="s">
        <v>27</v>
      </c>
      <c r="C52" s="2166"/>
      <c r="D52" s="2166"/>
      <c r="E52" s="2166"/>
      <c r="F52" s="2166"/>
      <c r="G52" s="2166"/>
      <c r="H52" s="2166"/>
      <c r="I52" s="2166"/>
      <c r="J52" s="2166"/>
    </row>
    <row r="53" spans="2:10" s="85" customFormat="1" ht="15" customHeight="1" x14ac:dyDescent="0.3">
      <c r="B53" s="117" t="s">
        <v>272</v>
      </c>
    </row>
    <row r="54" spans="2:10" s="85" customFormat="1" ht="15" customHeight="1" x14ac:dyDescent="0.3">
      <c r="B54" s="119" t="s">
        <v>431</v>
      </c>
    </row>
    <row r="55" spans="2:10" s="85" customFormat="1" ht="15" customHeight="1" x14ac:dyDescent="0.3">
      <c r="B55" s="119" t="s">
        <v>28</v>
      </c>
    </row>
    <row r="56" spans="2:10" s="110" customFormat="1" ht="15" customHeight="1" x14ac:dyDescent="0.25">
      <c r="B56" s="131" t="s">
        <v>15</v>
      </c>
    </row>
    <row r="57" spans="2:10" s="111" customFormat="1" ht="15" customHeight="1" x14ac:dyDescent="0.25">
      <c r="B57" s="132" t="s">
        <v>233</v>
      </c>
    </row>
    <row r="58" spans="2:10" s="78" customFormat="1" ht="15" customHeight="1" x14ac:dyDescent="0.3">
      <c r="B58" s="3299" t="s">
        <v>113</v>
      </c>
      <c r="C58" s="2166"/>
      <c r="D58" s="2166"/>
      <c r="E58" s="2166"/>
      <c r="F58" s="2166"/>
      <c r="G58" s="2166"/>
      <c r="H58" s="2166"/>
      <c r="I58" s="2166"/>
      <c r="J58" s="2166"/>
    </row>
    <row r="59" spans="2:10" s="78" customFormat="1" ht="15" customHeight="1" x14ac:dyDescent="0.3">
      <c r="B59" s="3365" t="s">
        <v>276</v>
      </c>
      <c r="C59" s="2166"/>
      <c r="D59" s="2166"/>
      <c r="E59" s="2166"/>
      <c r="F59" s="2166"/>
      <c r="G59" s="2166"/>
      <c r="H59" s="2166"/>
      <c r="I59" s="2166"/>
      <c r="J59" s="2166"/>
    </row>
    <row r="60" spans="2:10" s="78" customFormat="1" ht="15" customHeight="1" x14ac:dyDescent="0.3">
      <c r="B60" s="3365" t="s">
        <v>402</v>
      </c>
      <c r="C60" s="2166"/>
      <c r="D60" s="2166"/>
      <c r="E60" s="2166"/>
      <c r="F60" s="2166"/>
      <c r="G60" s="2166"/>
      <c r="H60" s="2166"/>
      <c r="I60" s="2166"/>
      <c r="J60" s="2166"/>
    </row>
    <row r="61" spans="2:10" s="78" customFormat="1" ht="15" customHeight="1" x14ac:dyDescent="0.3">
      <c r="B61" s="3299" t="s">
        <v>46</v>
      </c>
      <c r="C61" s="2166"/>
      <c r="D61" s="2166"/>
      <c r="E61" s="2166"/>
      <c r="F61" s="2166"/>
      <c r="G61" s="2166"/>
      <c r="H61" s="2166"/>
      <c r="I61" s="2166"/>
      <c r="J61" s="2166"/>
    </row>
    <row r="62" spans="2:10" s="754" customFormat="1" ht="16.5" customHeight="1" x14ac:dyDescent="0.3">
      <c r="B62" s="820" t="s">
        <v>216</v>
      </c>
    </row>
    <row r="64" spans="2:10" s="89" customFormat="1" ht="20.100000000000001" customHeight="1" x14ac:dyDescent="0.25">
      <c r="B64" s="3321" t="s">
        <v>433</v>
      </c>
      <c r="C64" s="3363"/>
      <c r="D64" s="3363"/>
      <c r="E64" s="3363"/>
      <c r="F64" s="3363"/>
      <c r="G64" s="3363"/>
      <c r="H64" s="3363"/>
      <c r="I64" s="3363"/>
      <c r="J64" s="3363"/>
    </row>
    <row r="65" spans="2:10" ht="3" customHeight="1" x14ac:dyDescent="0.3"/>
    <row r="66" spans="2:10" s="110" customFormat="1" ht="15" customHeight="1" x14ac:dyDescent="0.25">
      <c r="B66" s="3301" t="s">
        <v>61</v>
      </c>
      <c r="C66" s="2223"/>
      <c r="D66" s="2223"/>
      <c r="E66" s="2223"/>
      <c r="F66" s="2223"/>
      <c r="G66" s="2223"/>
      <c r="H66" s="2223"/>
      <c r="I66" s="2223"/>
      <c r="J66" s="2223"/>
    </row>
    <row r="67" spans="2:10" s="110" customFormat="1" ht="15" customHeight="1" x14ac:dyDescent="0.25">
      <c r="B67" s="129" t="s">
        <v>264</v>
      </c>
    </row>
    <row r="68" spans="2:10" s="110" customFormat="1" ht="15" customHeight="1" x14ac:dyDescent="0.25">
      <c r="B68" s="129" t="s">
        <v>265</v>
      </c>
    </row>
    <row r="69" spans="2:10" s="110" customFormat="1" ht="15" customHeight="1" x14ac:dyDescent="0.25">
      <c r="B69" s="3299" t="s">
        <v>18</v>
      </c>
      <c r="C69" s="2223"/>
      <c r="D69" s="2223"/>
      <c r="E69" s="2223"/>
      <c r="F69" s="2223"/>
      <c r="G69" s="2223"/>
      <c r="H69" s="2223"/>
      <c r="I69" s="2223"/>
      <c r="J69" s="2223"/>
    </row>
    <row r="70" spans="2:10" s="98" customFormat="1" ht="15" customHeight="1" x14ac:dyDescent="0.25">
      <c r="B70" s="3349" t="s">
        <v>266</v>
      </c>
      <c r="C70" s="3350"/>
      <c r="D70" s="3350"/>
      <c r="E70" s="3350"/>
      <c r="F70" s="3350"/>
      <c r="G70" s="3350"/>
      <c r="H70" s="3350"/>
      <c r="I70" s="3350"/>
      <c r="J70" s="3350"/>
    </row>
    <row r="71" spans="2:10" s="110" customFormat="1" ht="15" customHeight="1" x14ac:dyDescent="0.25">
      <c r="B71" s="3349" t="s">
        <v>569</v>
      </c>
      <c r="C71" s="2223"/>
      <c r="D71" s="2223"/>
      <c r="E71" s="2223"/>
      <c r="F71" s="2223"/>
      <c r="G71" s="2223"/>
      <c r="H71" s="2223"/>
      <c r="I71" s="2223"/>
      <c r="J71" s="2223"/>
    </row>
    <row r="72" spans="2:10" s="110" customFormat="1" ht="3" customHeight="1" x14ac:dyDescent="0.25">
      <c r="B72" s="334"/>
      <c r="C72" s="335"/>
      <c r="D72" s="335"/>
      <c r="E72" s="335"/>
      <c r="F72" s="335"/>
      <c r="G72" s="335"/>
      <c r="H72" s="335"/>
      <c r="I72" s="335"/>
      <c r="J72" s="335"/>
    </row>
    <row r="73" spans="2:10" s="110" customFormat="1" ht="50.1" customHeight="1" x14ac:dyDescent="0.25">
      <c r="B73" s="3351" t="s">
        <v>623</v>
      </c>
      <c r="C73" s="3352"/>
      <c r="D73" s="3352"/>
      <c r="E73" s="3352"/>
      <c r="F73" s="3352"/>
      <c r="G73" s="3352"/>
      <c r="H73" s="3352"/>
      <c r="I73" s="3352"/>
      <c r="J73" s="3353"/>
    </row>
    <row r="74" spans="2:10" s="823" customFormat="1" ht="16.5" customHeight="1" x14ac:dyDescent="0.3">
      <c r="B74" s="820" t="s">
        <v>183</v>
      </c>
    </row>
    <row r="75" spans="2:10" s="823" customFormat="1" ht="16.5" customHeight="1" x14ac:dyDescent="0.3">
      <c r="B75" s="820" t="s">
        <v>627</v>
      </c>
    </row>
    <row r="77" spans="2:10" s="89" customFormat="1" ht="20.100000000000001" customHeight="1" x14ac:dyDescent="0.25">
      <c r="B77" s="3321" t="s">
        <v>58</v>
      </c>
      <c r="C77" s="3322"/>
      <c r="D77" s="3322"/>
      <c r="E77" s="3322"/>
      <c r="F77" s="3322"/>
      <c r="G77" s="3322"/>
      <c r="H77" s="3322"/>
      <c r="I77" s="3322"/>
      <c r="J77" s="3322"/>
    </row>
    <row r="78" spans="2:10" ht="3" customHeight="1" x14ac:dyDescent="0.3"/>
    <row r="79" spans="2:10" s="85" customFormat="1" ht="15" customHeight="1" x14ac:dyDescent="0.3">
      <c r="B79" s="3301" t="s">
        <v>927</v>
      </c>
      <c r="C79" s="2166"/>
      <c r="D79" s="2166"/>
      <c r="E79" s="2166"/>
      <c r="F79" s="2166"/>
      <c r="G79" s="2166"/>
      <c r="H79" s="2166"/>
      <c r="I79" s="2166"/>
      <c r="J79" s="2166"/>
    </row>
    <row r="80" spans="2:10" s="85" customFormat="1" ht="45" customHeight="1" x14ac:dyDescent="0.3">
      <c r="B80" s="3301" t="s">
        <v>469</v>
      </c>
      <c r="C80" s="2166"/>
      <c r="D80" s="2166"/>
      <c r="E80" s="2166"/>
      <c r="F80" s="2166"/>
      <c r="G80" s="2166"/>
      <c r="H80" s="2166"/>
      <c r="I80" s="2166"/>
      <c r="J80" s="2166"/>
    </row>
    <row r="81" spans="2:10" s="85" customFormat="1" ht="30" customHeight="1" x14ac:dyDescent="0.3">
      <c r="B81" s="3301" t="s">
        <v>263</v>
      </c>
      <c r="C81" s="2166"/>
      <c r="D81" s="2166"/>
      <c r="E81" s="2166"/>
      <c r="F81" s="2166"/>
      <c r="G81" s="2166"/>
      <c r="H81" s="2166"/>
      <c r="I81" s="2166"/>
      <c r="J81" s="2166"/>
    </row>
    <row r="82" spans="2:10" s="823" customFormat="1" x14ac:dyDescent="0.3">
      <c r="B82" s="820" t="s">
        <v>216</v>
      </c>
    </row>
    <row r="83" spans="2:10" s="823" customFormat="1" ht="16.5" customHeight="1" x14ac:dyDescent="0.3">
      <c r="B83" s="820" t="s">
        <v>627</v>
      </c>
    </row>
    <row r="84" spans="2:10" ht="16.5" customHeight="1" x14ac:dyDescent="0.3">
      <c r="B84" s="86"/>
    </row>
    <row r="85" spans="2:10" s="89" customFormat="1" ht="20.100000000000001" customHeight="1" x14ac:dyDescent="0.25">
      <c r="B85" s="3321" t="s">
        <v>139</v>
      </c>
      <c r="C85" s="3322"/>
      <c r="D85" s="3322"/>
      <c r="E85" s="3322"/>
      <c r="F85" s="3322"/>
      <c r="G85" s="3322"/>
      <c r="H85" s="3322"/>
      <c r="I85" s="3322"/>
      <c r="J85" s="3322"/>
    </row>
    <row r="86" spans="2:10" s="87" customFormat="1" ht="3" customHeight="1" x14ac:dyDescent="0.3">
      <c r="B86" s="88"/>
    </row>
    <row r="87" spans="2:10" s="85" customFormat="1" ht="45" customHeight="1" x14ac:dyDescent="0.3">
      <c r="B87" s="3335" t="s">
        <v>292</v>
      </c>
      <c r="C87" s="2166"/>
      <c r="D87" s="2166"/>
      <c r="E87" s="2166"/>
      <c r="F87" s="2166"/>
      <c r="G87" s="2166"/>
      <c r="H87" s="2166"/>
      <c r="I87" s="2166"/>
      <c r="J87" s="2166"/>
    </row>
    <row r="88" spans="2:10" ht="16.5" customHeight="1" x14ac:dyDescent="0.3">
      <c r="B88" s="133" t="s">
        <v>56</v>
      </c>
    </row>
    <row r="89" spans="2:10" ht="16.5" customHeight="1" x14ac:dyDescent="0.3">
      <c r="B89" s="133" t="s">
        <v>293</v>
      </c>
    </row>
    <row r="90" spans="2:10" s="823" customFormat="1" ht="16.5" customHeight="1" x14ac:dyDescent="0.3">
      <c r="B90" s="820" t="s">
        <v>627</v>
      </c>
    </row>
    <row r="92" spans="2:10" s="89" customFormat="1" ht="20.100000000000001" customHeight="1" x14ac:dyDescent="0.25">
      <c r="B92" s="3321" t="s">
        <v>212</v>
      </c>
      <c r="C92" s="3322"/>
      <c r="D92" s="3322"/>
      <c r="E92" s="3322"/>
      <c r="F92" s="3322"/>
      <c r="G92" s="3322"/>
      <c r="H92" s="3322"/>
      <c r="I92" s="3322"/>
      <c r="J92" s="3322"/>
    </row>
    <row r="93" spans="2:10" s="92" customFormat="1" ht="3" customHeight="1" x14ac:dyDescent="0.25">
      <c r="B93" s="90"/>
      <c r="C93" s="91"/>
      <c r="D93" s="91"/>
      <c r="E93" s="91"/>
      <c r="F93" s="91"/>
      <c r="G93" s="91"/>
      <c r="H93" s="91"/>
      <c r="I93" s="91"/>
      <c r="J93" s="91"/>
    </row>
    <row r="94" spans="2:10" s="85" customFormat="1" ht="20.100000000000001" customHeight="1" x14ac:dyDescent="0.3">
      <c r="B94" s="3301" t="s">
        <v>479</v>
      </c>
      <c r="C94" s="3312"/>
      <c r="D94" s="3312"/>
      <c r="E94" s="3312"/>
      <c r="F94" s="3312"/>
      <c r="G94" s="3312"/>
      <c r="H94" s="3312"/>
      <c r="I94" s="3312"/>
      <c r="J94" s="3312"/>
    </row>
    <row r="95" spans="2:10" s="85" customFormat="1" ht="60" customHeight="1" x14ac:dyDescent="0.3">
      <c r="B95" s="3336" t="s">
        <v>364</v>
      </c>
      <c r="C95" s="3337"/>
      <c r="D95" s="3337"/>
      <c r="E95" s="3337"/>
      <c r="F95" s="3337"/>
      <c r="G95" s="3337"/>
      <c r="H95" s="3337"/>
      <c r="I95" s="3337"/>
      <c r="J95" s="3337"/>
    </row>
    <row r="96" spans="2:10" s="94" customFormat="1" ht="39.9" customHeight="1" x14ac:dyDescent="0.3">
      <c r="B96" s="3332" t="s">
        <v>1063</v>
      </c>
      <c r="C96" s="3333"/>
      <c r="D96" s="3333"/>
      <c r="E96" s="3333"/>
      <c r="F96" s="3333"/>
      <c r="G96" s="3333"/>
      <c r="H96" s="3333"/>
      <c r="I96" s="3333"/>
      <c r="J96" s="3334"/>
    </row>
    <row r="97" spans="2:10" s="97" customFormat="1" ht="6" customHeight="1" x14ac:dyDescent="0.3">
      <c r="B97" s="95"/>
      <c r="C97" s="96"/>
      <c r="D97" s="96"/>
      <c r="E97" s="96"/>
      <c r="F97" s="96"/>
      <c r="G97" s="96"/>
      <c r="H97" s="96"/>
      <c r="I97" s="96"/>
      <c r="J97" s="96"/>
    </row>
    <row r="98" spans="2:10" s="97" customFormat="1" ht="409.5" customHeight="1" x14ac:dyDescent="0.3">
      <c r="B98" s="3338"/>
      <c r="C98" s="3338"/>
      <c r="D98" s="3338"/>
      <c r="E98" s="3338"/>
      <c r="F98" s="3338"/>
      <c r="G98" s="3338"/>
      <c r="H98" s="3338"/>
      <c r="I98" s="3338"/>
      <c r="J98" s="3338"/>
    </row>
    <row r="99" spans="2:10" s="85" customFormat="1" ht="30" customHeight="1" x14ac:dyDescent="0.3">
      <c r="B99" s="3301" t="s">
        <v>480</v>
      </c>
      <c r="C99" s="3301"/>
      <c r="D99" s="3301"/>
      <c r="E99" s="3301"/>
      <c r="F99" s="3301"/>
      <c r="G99" s="3301"/>
      <c r="H99" s="3301"/>
      <c r="I99" s="3301"/>
      <c r="J99" s="3301"/>
    </row>
    <row r="100" spans="2:10" s="85" customFormat="1" ht="30" customHeight="1" x14ac:dyDescent="0.3">
      <c r="B100" s="3301" t="s">
        <v>447</v>
      </c>
      <c r="C100" s="3301"/>
      <c r="D100" s="3301"/>
      <c r="E100" s="3301"/>
      <c r="F100" s="3301"/>
      <c r="G100" s="3301"/>
      <c r="H100" s="3301"/>
      <c r="I100" s="3301"/>
      <c r="J100" s="3301"/>
    </row>
    <row r="101" spans="2:10" ht="6" customHeight="1" x14ac:dyDescent="0.3"/>
    <row r="102" spans="2:10" ht="39.9" customHeight="1" x14ac:dyDescent="0.3">
      <c r="B102" s="3339" t="s">
        <v>1064</v>
      </c>
      <c r="C102" s="3340"/>
      <c r="D102" s="1856"/>
      <c r="E102" s="1857"/>
      <c r="F102" s="1857"/>
      <c r="G102" s="1857"/>
      <c r="H102" s="1857"/>
      <c r="I102" s="1857"/>
      <c r="J102" s="1857"/>
    </row>
    <row r="103" spans="2:10" ht="3" customHeight="1" x14ac:dyDescent="0.3"/>
    <row r="104" spans="2:10" s="85" customFormat="1" ht="15" customHeight="1" x14ac:dyDescent="0.3">
      <c r="B104" s="3301" t="s">
        <v>335</v>
      </c>
      <c r="C104" s="3301"/>
      <c r="D104" s="3301"/>
      <c r="E104" s="3301"/>
      <c r="F104" s="3301"/>
      <c r="G104" s="3301"/>
      <c r="H104" s="3301"/>
      <c r="I104" s="3301"/>
      <c r="J104" s="3301"/>
    </row>
    <row r="105" spans="2:10" s="85" customFormat="1" ht="20.100000000000001" customHeight="1" x14ac:dyDescent="0.3">
      <c r="B105" s="3348" t="s">
        <v>219</v>
      </c>
      <c r="C105" s="3348"/>
      <c r="D105" s="3348"/>
      <c r="E105" s="3348"/>
      <c r="F105" s="3348"/>
      <c r="G105" s="3348"/>
      <c r="H105" s="3348"/>
      <c r="I105" s="3348"/>
      <c r="J105" s="3348"/>
    </row>
    <row r="106" spans="2:10" s="85" customFormat="1" ht="15" customHeight="1" x14ac:dyDescent="0.3">
      <c r="B106" s="3305" t="s">
        <v>177</v>
      </c>
      <c r="C106" s="3305"/>
      <c r="D106" s="3305"/>
      <c r="E106" s="3305"/>
      <c r="F106" s="3305"/>
      <c r="G106" s="3305"/>
      <c r="H106" s="3305"/>
      <c r="I106" s="3305"/>
      <c r="J106" s="3305"/>
    </row>
    <row r="107" spans="2:10" s="85" customFormat="1" ht="15" customHeight="1" x14ac:dyDescent="0.3">
      <c r="B107" s="3305" t="s">
        <v>178</v>
      </c>
      <c r="C107" s="3305"/>
      <c r="D107" s="3305"/>
      <c r="E107" s="3305"/>
      <c r="F107" s="3305"/>
      <c r="G107" s="3305"/>
      <c r="H107" s="3305"/>
      <c r="I107" s="3305"/>
      <c r="J107" s="3305"/>
    </row>
    <row r="108" spans="2:10" s="201" customFormat="1" ht="20.100000000000001" customHeight="1" x14ac:dyDescent="0.3">
      <c r="B108" s="3348" t="s">
        <v>179</v>
      </c>
      <c r="C108" s="3348"/>
      <c r="D108" s="3348"/>
      <c r="E108" s="3348"/>
      <c r="F108" s="3348"/>
      <c r="G108" s="3348"/>
      <c r="H108" s="3348"/>
      <c r="I108" s="3348"/>
      <c r="J108" s="3348"/>
    </row>
    <row r="109" spans="2:10" s="85" customFormat="1" ht="15" customHeight="1" x14ac:dyDescent="0.3">
      <c r="B109" s="3305" t="s">
        <v>440</v>
      </c>
      <c r="C109" s="3305"/>
      <c r="D109" s="3305"/>
      <c r="E109" s="3305"/>
      <c r="F109" s="3305"/>
      <c r="G109" s="3305"/>
      <c r="H109" s="3305"/>
      <c r="I109" s="3305"/>
      <c r="J109" s="3305"/>
    </row>
    <row r="110" spans="2:10" s="85" customFormat="1" ht="3" customHeight="1" x14ac:dyDescent="0.3">
      <c r="B110" s="903"/>
      <c r="C110" s="902"/>
      <c r="D110" s="902"/>
      <c r="E110" s="902"/>
      <c r="F110" s="902"/>
      <c r="G110" s="902"/>
      <c r="H110" s="902"/>
      <c r="I110" s="902"/>
      <c r="J110" s="902"/>
    </row>
    <row r="111" spans="2:10" s="85" customFormat="1" ht="15" customHeight="1" x14ac:dyDescent="0.3">
      <c r="B111" s="3301" t="s">
        <v>226</v>
      </c>
      <c r="C111" s="3301"/>
      <c r="D111" s="3301"/>
      <c r="E111" s="3301"/>
      <c r="F111" s="3301"/>
      <c r="G111" s="3301"/>
      <c r="H111" s="3301"/>
      <c r="I111" s="3301"/>
      <c r="J111" s="3301"/>
    </row>
    <row r="112" spans="2:10" s="85" customFormat="1" ht="15" customHeight="1" x14ac:dyDescent="0.3">
      <c r="B112" s="3316" t="s">
        <v>217</v>
      </c>
      <c r="C112" s="3316"/>
      <c r="D112" s="3316"/>
      <c r="E112" s="3316"/>
      <c r="F112" s="3316"/>
      <c r="G112" s="3316"/>
      <c r="H112" s="3316"/>
      <c r="I112" s="3316"/>
      <c r="J112" s="3316"/>
    </row>
    <row r="113" spans="2:10" s="85" customFormat="1" ht="15" customHeight="1" x14ac:dyDescent="0.3">
      <c r="B113" s="3316" t="s">
        <v>218</v>
      </c>
      <c r="C113" s="3316"/>
      <c r="D113" s="3316"/>
      <c r="E113" s="3316"/>
      <c r="F113" s="3316"/>
      <c r="G113" s="3316"/>
      <c r="H113" s="3316"/>
      <c r="I113" s="3316"/>
      <c r="J113" s="3316"/>
    </row>
    <row r="114" spans="2:10" s="85" customFormat="1" ht="45" customHeight="1" x14ac:dyDescent="0.3">
      <c r="B114" s="3301" t="s">
        <v>277</v>
      </c>
      <c r="C114" s="3301"/>
      <c r="D114" s="3301"/>
      <c r="E114" s="3301"/>
      <c r="F114" s="3301"/>
      <c r="G114" s="3301"/>
      <c r="H114" s="3301"/>
      <c r="I114" s="3301"/>
      <c r="J114" s="3301"/>
    </row>
    <row r="115" spans="2:10" s="85" customFormat="1" ht="15" customHeight="1" x14ac:dyDescent="0.3">
      <c r="B115" s="3301" t="s">
        <v>60</v>
      </c>
      <c r="C115" s="3301"/>
      <c r="D115" s="3301"/>
      <c r="E115" s="3301"/>
      <c r="F115" s="3301"/>
      <c r="G115" s="3301"/>
      <c r="H115" s="3301"/>
      <c r="I115" s="3301"/>
      <c r="J115" s="3301"/>
    </row>
    <row r="116" spans="2:10" s="85" customFormat="1" ht="30" customHeight="1" x14ac:dyDescent="0.3">
      <c r="B116" s="3301" t="s">
        <v>278</v>
      </c>
      <c r="C116" s="3301"/>
      <c r="D116" s="3301"/>
      <c r="E116" s="3301"/>
      <c r="F116" s="3301"/>
      <c r="G116" s="3301"/>
      <c r="H116" s="3301"/>
      <c r="I116" s="3301"/>
      <c r="J116" s="3301"/>
    </row>
    <row r="117" spans="2:10" s="823" customFormat="1" ht="16.5" customHeight="1" x14ac:dyDescent="0.3">
      <c r="B117" s="820" t="s">
        <v>834</v>
      </c>
    </row>
    <row r="118" spans="2:10" ht="16.5" customHeight="1" x14ac:dyDescent="0.3">
      <c r="B118" s="100"/>
    </row>
    <row r="119" spans="2:10" s="81" customFormat="1" ht="20.100000000000001" customHeight="1" x14ac:dyDescent="0.3">
      <c r="B119" s="3321" t="s">
        <v>89</v>
      </c>
      <c r="C119" s="3321"/>
      <c r="D119" s="3321"/>
      <c r="E119" s="3321"/>
      <c r="F119" s="3321"/>
      <c r="G119" s="3321"/>
      <c r="H119" s="3321"/>
      <c r="I119" s="3321"/>
      <c r="J119" s="3321"/>
    </row>
    <row r="120" spans="2:10" ht="3" customHeight="1" x14ac:dyDescent="0.3">
      <c r="B120" s="100"/>
    </row>
    <row r="121" spans="2:10" s="85" customFormat="1" ht="15" customHeight="1" x14ac:dyDescent="0.3">
      <c r="B121" s="3349" t="s">
        <v>222</v>
      </c>
      <c r="C121" s="3349"/>
      <c r="D121" s="3349"/>
      <c r="E121" s="3349"/>
      <c r="F121" s="3349"/>
      <c r="G121" s="3349"/>
      <c r="H121" s="3349"/>
      <c r="I121" s="3349"/>
      <c r="J121" s="3349"/>
    </row>
    <row r="122" spans="2:10" s="85" customFormat="1" ht="15" customHeight="1" x14ac:dyDescent="0.3">
      <c r="B122" s="3349" t="s">
        <v>152</v>
      </c>
      <c r="C122" s="3349"/>
      <c r="D122" s="3349"/>
      <c r="E122" s="3349"/>
      <c r="F122" s="3349"/>
      <c r="G122" s="3349"/>
      <c r="H122" s="3349"/>
      <c r="I122" s="3349"/>
      <c r="J122" s="3349"/>
    </row>
    <row r="123" spans="2:10" s="85" customFormat="1" ht="27.75" customHeight="1" x14ac:dyDescent="0.3">
      <c r="B123" s="3349" t="s">
        <v>151</v>
      </c>
      <c r="C123" s="3349"/>
      <c r="D123" s="3349"/>
      <c r="E123" s="3349"/>
      <c r="F123" s="3349"/>
      <c r="G123" s="3349"/>
      <c r="H123" s="3349"/>
      <c r="I123" s="3349"/>
      <c r="J123" s="3349"/>
    </row>
    <row r="124" spans="2:10" s="823" customFormat="1" ht="16.5" customHeight="1" x14ac:dyDescent="0.3">
      <c r="B124" s="820" t="s">
        <v>627</v>
      </c>
    </row>
    <row r="126" spans="2:10" s="81" customFormat="1" ht="20.100000000000001" customHeight="1" x14ac:dyDescent="0.3">
      <c r="B126" s="3321" t="s">
        <v>20</v>
      </c>
      <c r="C126" s="3321"/>
      <c r="D126" s="3321"/>
      <c r="E126" s="3321"/>
      <c r="F126" s="3321"/>
      <c r="G126" s="3321"/>
      <c r="H126" s="3321"/>
      <c r="I126" s="3321"/>
      <c r="J126" s="3321"/>
    </row>
    <row r="127" spans="2:10" ht="20.100000000000001" customHeight="1" x14ac:dyDescent="0.3">
      <c r="B127" s="123" t="s">
        <v>305</v>
      </c>
      <c r="C127" s="114"/>
      <c r="D127" s="114"/>
      <c r="E127" s="114"/>
      <c r="F127" s="114"/>
      <c r="G127" s="114"/>
      <c r="H127" s="114"/>
      <c r="I127" s="114"/>
      <c r="J127" s="114"/>
    </row>
    <row r="128" spans="2:10" s="85" customFormat="1" ht="45" customHeight="1" x14ac:dyDescent="0.3">
      <c r="B128" s="3301" t="s">
        <v>471</v>
      </c>
      <c r="C128" s="3301"/>
      <c r="D128" s="3301"/>
      <c r="E128" s="3301"/>
      <c r="F128" s="3301"/>
      <c r="G128" s="3301"/>
      <c r="H128" s="3301"/>
      <c r="I128" s="3301"/>
      <c r="J128" s="3301"/>
    </row>
    <row r="129" spans="2:10" s="85" customFormat="1" ht="30" customHeight="1" x14ac:dyDescent="0.3">
      <c r="B129" s="3347" t="s">
        <v>472</v>
      </c>
      <c r="C129" s="3347"/>
      <c r="D129" s="3347"/>
      <c r="E129" s="3347"/>
      <c r="F129" s="3347"/>
      <c r="G129" s="3347"/>
      <c r="H129" s="3347"/>
      <c r="I129" s="3347"/>
      <c r="J129" s="3347"/>
    </row>
    <row r="130" spans="2:10" s="85" customFormat="1" ht="3" customHeight="1" x14ac:dyDescent="0.3">
      <c r="B130" s="99"/>
      <c r="C130" s="93"/>
      <c r="D130" s="93"/>
      <c r="E130" s="93"/>
      <c r="F130" s="93"/>
      <c r="G130" s="93"/>
      <c r="H130" s="93"/>
      <c r="I130" s="93"/>
      <c r="J130" s="93"/>
    </row>
    <row r="131" spans="2:10" s="102" customFormat="1" ht="30" customHeight="1" x14ac:dyDescent="0.3">
      <c r="B131" s="3366" t="s">
        <v>625</v>
      </c>
      <c r="C131" s="3367"/>
      <c r="D131" s="3367"/>
      <c r="E131" s="3367"/>
      <c r="F131" s="3367"/>
      <c r="G131" s="3367"/>
      <c r="H131" s="3367"/>
      <c r="I131" s="3367"/>
      <c r="J131" s="3368"/>
    </row>
    <row r="132" spans="2:10" s="105" customFormat="1" ht="3" customHeight="1" x14ac:dyDescent="0.3">
      <c r="B132" s="103"/>
      <c r="C132" s="104"/>
      <c r="D132" s="104"/>
      <c r="E132" s="104"/>
      <c r="F132" s="104"/>
      <c r="G132" s="104"/>
      <c r="H132" s="104"/>
      <c r="I132" s="104"/>
      <c r="J132" s="104"/>
    </row>
    <row r="133" spans="2:10" s="85" customFormat="1" ht="15" customHeight="1" x14ac:dyDescent="0.3">
      <c r="B133" s="118" t="s">
        <v>306</v>
      </c>
      <c r="C133" s="116"/>
      <c r="D133" s="116"/>
      <c r="E133" s="116"/>
      <c r="F133" s="116"/>
      <c r="G133" s="116"/>
      <c r="H133" s="116"/>
      <c r="I133" s="116"/>
      <c r="J133" s="116"/>
    </row>
    <row r="134" spans="2:10" s="85" customFormat="1" ht="15" customHeight="1" x14ac:dyDescent="0.3">
      <c r="B134" s="119" t="s">
        <v>418</v>
      </c>
      <c r="C134" s="116"/>
      <c r="D134" s="116"/>
      <c r="E134" s="116"/>
      <c r="F134" s="116"/>
      <c r="G134" s="116"/>
      <c r="H134" s="116"/>
      <c r="I134" s="116"/>
      <c r="J134" s="116"/>
    </row>
    <row r="135" spans="2:10" s="85" customFormat="1" ht="15" customHeight="1" x14ac:dyDescent="0.3">
      <c r="B135" s="119" t="s">
        <v>224</v>
      </c>
      <c r="C135" s="116"/>
      <c r="D135" s="116"/>
      <c r="E135" s="116"/>
      <c r="F135" s="116"/>
      <c r="G135" s="116"/>
      <c r="H135" s="116"/>
      <c r="I135" s="116"/>
      <c r="J135" s="116"/>
    </row>
    <row r="136" spans="2:10" s="85" customFormat="1" ht="15" customHeight="1" x14ac:dyDescent="0.3">
      <c r="B136" s="119" t="s">
        <v>225</v>
      </c>
      <c r="C136" s="116"/>
      <c r="D136" s="116"/>
      <c r="E136" s="116"/>
      <c r="F136" s="116"/>
      <c r="G136" s="116"/>
      <c r="H136" s="116"/>
      <c r="I136" s="116"/>
      <c r="J136" s="116"/>
    </row>
    <row r="137" spans="2:10" s="85" customFormat="1" ht="15" customHeight="1" x14ac:dyDescent="0.3">
      <c r="B137" s="118" t="s">
        <v>473</v>
      </c>
      <c r="C137" s="116"/>
      <c r="D137" s="116"/>
      <c r="E137" s="116"/>
      <c r="F137" s="116"/>
      <c r="G137" s="116"/>
      <c r="H137" s="116"/>
      <c r="I137" s="116"/>
      <c r="J137" s="116"/>
    </row>
    <row r="138" spans="2:10" s="85" customFormat="1" ht="30" customHeight="1" x14ac:dyDescent="0.3">
      <c r="B138" s="3301" t="s">
        <v>474</v>
      </c>
      <c r="C138" s="3301"/>
      <c r="D138" s="3301"/>
      <c r="E138" s="3301"/>
      <c r="F138" s="3301"/>
      <c r="G138" s="3301"/>
      <c r="H138" s="3301"/>
      <c r="I138" s="3301"/>
      <c r="J138" s="3301"/>
    </row>
    <row r="139" spans="2:10" s="85" customFormat="1" ht="15" customHeight="1" x14ac:dyDescent="0.3">
      <c r="B139" s="3301" t="s">
        <v>235</v>
      </c>
      <c r="C139" s="3301"/>
      <c r="D139" s="3301"/>
      <c r="E139" s="3301"/>
      <c r="F139" s="3301"/>
      <c r="G139" s="3301"/>
      <c r="H139" s="3301"/>
      <c r="I139" s="3301"/>
      <c r="J139" s="3301"/>
    </row>
    <row r="140" spans="2:10" s="85" customFormat="1" ht="15" customHeight="1" x14ac:dyDescent="0.3">
      <c r="B140" s="3305" t="s">
        <v>63</v>
      </c>
      <c r="C140" s="3305"/>
      <c r="D140" s="3305"/>
      <c r="E140" s="3305"/>
      <c r="F140" s="3305"/>
      <c r="G140" s="3305"/>
      <c r="H140" s="3305"/>
      <c r="I140" s="3305"/>
      <c r="J140" s="3305"/>
    </row>
    <row r="141" spans="2:10" s="85" customFormat="1" ht="15" customHeight="1" x14ac:dyDescent="0.3">
      <c r="B141" s="3305" t="s">
        <v>475</v>
      </c>
      <c r="C141" s="3305"/>
      <c r="D141" s="3305"/>
      <c r="E141" s="3305"/>
      <c r="F141" s="3305"/>
      <c r="G141" s="3305"/>
      <c r="H141" s="3305"/>
      <c r="I141" s="3305"/>
      <c r="J141" s="3305"/>
    </row>
    <row r="142" spans="2:10" s="85" customFormat="1" ht="30" customHeight="1" x14ac:dyDescent="0.3">
      <c r="B142" s="3301" t="s">
        <v>491</v>
      </c>
      <c r="C142" s="3301"/>
      <c r="D142" s="3301"/>
      <c r="E142" s="3301"/>
      <c r="F142" s="3301"/>
      <c r="G142" s="3301"/>
      <c r="H142" s="3301"/>
      <c r="I142" s="3301"/>
      <c r="J142" s="3301"/>
    </row>
    <row r="143" spans="2:10" s="85" customFormat="1" ht="3" customHeight="1" x14ac:dyDescent="0.3">
      <c r="B143" s="79"/>
      <c r="C143" s="82"/>
      <c r="D143" s="82"/>
      <c r="E143" s="82"/>
      <c r="F143" s="82"/>
      <c r="G143" s="82"/>
      <c r="H143" s="82"/>
      <c r="I143" s="82"/>
      <c r="J143" s="82"/>
    </row>
    <row r="144" spans="2:10" ht="24.9" customHeight="1" x14ac:dyDescent="0.3">
      <c r="B144" s="3318" t="s">
        <v>624</v>
      </c>
      <c r="C144" s="3319"/>
      <c r="D144" s="3319"/>
      <c r="E144" s="3319"/>
      <c r="F144" s="3319"/>
      <c r="G144" s="3319"/>
      <c r="H144" s="3319"/>
      <c r="I144" s="3319"/>
      <c r="J144" s="3320"/>
    </row>
    <row r="145" spans="2:10" s="85" customFormat="1" ht="3" customHeight="1" x14ac:dyDescent="0.3">
      <c r="B145" s="79"/>
      <c r="C145" s="82"/>
      <c r="D145" s="82"/>
      <c r="E145" s="82"/>
      <c r="F145" s="82"/>
      <c r="G145" s="82"/>
      <c r="H145" s="82"/>
      <c r="I145" s="82"/>
      <c r="J145" s="82"/>
    </row>
    <row r="146" spans="2:10" s="85" customFormat="1" ht="30" customHeight="1" x14ac:dyDescent="0.3">
      <c r="B146" s="3301" t="s">
        <v>223</v>
      </c>
      <c r="C146" s="3301"/>
      <c r="D146" s="3301"/>
      <c r="E146" s="3301"/>
      <c r="F146" s="3301"/>
      <c r="G146" s="3301"/>
      <c r="H146" s="3301"/>
      <c r="I146" s="3301"/>
      <c r="J146" s="3301"/>
    </row>
    <row r="147" spans="2:10" s="85" customFormat="1" ht="20.100000000000001" customHeight="1" x14ac:dyDescent="0.3">
      <c r="B147" s="3301" t="s">
        <v>227</v>
      </c>
      <c r="C147" s="3301"/>
      <c r="D147" s="3301"/>
      <c r="E147" s="3301"/>
      <c r="F147" s="3301"/>
      <c r="G147" s="3301"/>
      <c r="H147" s="3301"/>
      <c r="I147" s="3301"/>
      <c r="J147" s="3301"/>
    </row>
    <row r="148" spans="2:10" s="85" customFormat="1" ht="24.9" customHeight="1" x14ac:dyDescent="0.3">
      <c r="B148" s="3344" t="s">
        <v>1065</v>
      </c>
      <c r="C148" s="3345"/>
      <c r="D148" s="3345"/>
      <c r="E148" s="3345"/>
      <c r="F148" s="3345"/>
      <c r="G148" s="3345"/>
      <c r="H148" s="3345"/>
      <c r="I148" s="3345"/>
      <c r="J148" s="3346"/>
    </row>
    <row r="149" spans="2:10" s="823" customFormat="1" ht="16.5" customHeight="1" x14ac:dyDescent="0.3">
      <c r="B149" s="820" t="s">
        <v>181</v>
      </c>
    </row>
    <row r="151" spans="2:10" ht="20.100000000000001" customHeight="1" x14ac:dyDescent="0.3">
      <c r="B151" s="3321" t="s">
        <v>44</v>
      </c>
      <c r="C151" s="3321"/>
      <c r="D151" s="3321"/>
      <c r="E151" s="3321"/>
      <c r="F151" s="3321"/>
      <c r="G151" s="3321"/>
      <c r="H151" s="3321"/>
      <c r="I151" s="3321"/>
      <c r="J151" s="3321"/>
    </row>
    <row r="152" spans="2:10" ht="3" customHeight="1" x14ac:dyDescent="0.3"/>
    <row r="153" spans="2:10" ht="12.75" customHeight="1" x14ac:dyDescent="0.3">
      <c r="B153" s="3301" t="s">
        <v>192</v>
      </c>
      <c r="C153" s="3301"/>
      <c r="D153" s="3301"/>
      <c r="E153" s="3301"/>
      <c r="F153" s="3301"/>
      <c r="G153" s="3301"/>
      <c r="H153" s="3301"/>
      <c r="I153" s="3301"/>
      <c r="J153" s="3301"/>
    </row>
    <row r="154" spans="2:10" ht="15" customHeight="1" x14ac:dyDescent="0.3">
      <c r="B154" s="3301" t="s">
        <v>393</v>
      </c>
      <c r="C154" s="3301"/>
      <c r="D154" s="3301"/>
      <c r="E154" s="3301"/>
      <c r="F154" s="3301"/>
      <c r="G154" s="3301"/>
      <c r="H154" s="3301"/>
      <c r="I154" s="3301"/>
      <c r="J154" s="3301"/>
    </row>
    <row r="155" spans="2:10" ht="3" customHeight="1" x14ac:dyDescent="0.3">
      <c r="B155" s="118"/>
      <c r="C155" s="98"/>
      <c r="D155" s="98"/>
      <c r="E155" s="98"/>
      <c r="F155" s="98"/>
      <c r="G155" s="98"/>
      <c r="H155" s="98"/>
      <c r="I155" s="98"/>
      <c r="J155" s="98"/>
    </row>
    <row r="156" spans="2:10" ht="20.100000000000001" customHeight="1" x14ac:dyDescent="0.3">
      <c r="B156" s="117" t="s">
        <v>482</v>
      </c>
      <c r="C156" s="114"/>
      <c r="D156" s="114"/>
      <c r="E156" s="114"/>
      <c r="F156" s="114"/>
      <c r="G156" s="114"/>
      <c r="H156" s="114"/>
      <c r="I156" s="114"/>
      <c r="J156" s="114"/>
    </row>
    <row r="157" spans="2:10" ht="30" customHeight="1" x14ac:dyDescent="0.3">
      <c r="B157" s="3301" t="s">
        <v>82</v>
      </c>
      <c r="C157" s="3301"/>
      <c r="D157" s="3301"/>
      <c r="E157" s="3301"/>
      <c r="F157" s="3301"/>
      <c r="G157" s="3301"/>
      <c r="H157" s="3301"/>
      <c r="I157" s="3301"/>
      <c r="J157" s="3301"/>
    </row>
    <row r="158" spans="2:10" ht="15" customHeight="1" x14ac:dyDescent="0.3">
      <c r="B158" s="3301" t="s">
        <v>142</v>
      </c>
      <c r="C158" s="3301"/>
      <c r="D158" s="3301"/>
      <c r="E158" s="3301"/>
      <c r="F158" s="3301"/>
      <c r="G158" s="3301"/>
      <c r="H158" s="3301"/>
      <c r="I158" s="3301"/>
      <c r="J158" s="3301"/>
    </row>
    <row r="159" spans="2:10" ht="45" customHeight="1" x14ac:dyDescent="0.3">
      <c r="B159" s="3301" t="s">
        <v>445</v>
      </c>
      <c r="C159" s="3301"/>
      <c r="D159" s="3301"/>
      <c r="E159" s="3301"/>
      <c r="F159" s="3301"/>
      <c r="G159" s="3301"/>
      <c r="H159" s="3301"/>
      <c r="I159" s="3301"/>
      <c r="J159" s="3301"/>
    </row>
    <row r="160" spans="2:10" ht="15" customHeight="1" x14ac:dyDescent="0.3">
      <c r="B160" s="3301" t="s">
        <v>446</v>
      </c>
      <c r="C160" s="3301"/>
      <c r="D160" s="3301"/>
      <c r="E160" s="3301"/>
      <c r="F160" s="3301"/>
      <c r="G160" s="3301"/>
      <c r="H160" s="3301"/>
      <c r="I160" s="3301"/>
      <c r="J160" s="3301"/>
    </row>
    <row r="161" spans="2:10" ht="30" customHeight="1" x14ac:dyDescent="0.3">
      <c r="B161" s="3301" t="s">
        <v>10</v>
      </c>
      <c r="C161" s="3312"/>
      <c r="D161" s="3312"/>
      <c r="E161" s="3312"/>
      <c r="F161" s="3312"/>
      <c r="G161" s="3312"/>
      <c r="H161" s="3312"/>
      <c r="I161" s="3312"/>
      <c r="J161" s="3312"/>
    </row>
    <row r="162" spans="2:10" ht="30" customHeight="1" x14ac:dyDescent="0.3">
      <c r="B162" s="3301" t="s">
        <v>81</v>
      </c>
      <c r="C162" s="3312"/>
      <c r="D162" s="3312"/>
      <c r="E162" s="3312"/>
      <c r="F162" s="3312"/>
      <c r="G162" s="3312"/>
      <c r="H162" s="3312"/>
      <c r="I162" s="3312"/>
      <c r="J162" s="3312"/>
    </row>
    <row r="163" spans="2:10" ht="15" customHeight="1" x14ac:dyDescent="0.3">
      <c r="B163" s="3301" t="s">
        <v>143</v>
      </c>
      <c r="C163" s="3312"/>
      <c r="D163" s="3312"/>
      <c r="E163" s="3312"/>
      <c r="F163" s="3312"/>
      <c r="G163" s="3312"/>
      <c r="H163" s="3312"/>
      <c r="I163" s="3312"/>
      <c r="J163" s="3312"/>
    </row>
    <row r="164" spans="2:10" ht="30" customHeight="1" x14ac:dyDescent="0.3">
      <c r="B164" s="3341" t="s">
        <v>622</v>
      </c>
      <c r="C164" s="3342"/>
      <c r="D164" s="3342"/>
      <c r="E164" s="3342"/>
      <c r="F164" s="3342"/>
      <c r="G164" s="3342"/>
      <c r="H164" s="3342"/>
      <c r="I164" s="3342"/>
      <c r="J164" s="3343"/>
    </row>
    <row r="165" spans="2:10" ht="3" customHeight="1" x14ac:dyDescent="0.3">
      <c r="B165" s="118"/>
      <c r="C165" s="98"/>
      <c r="D165" s="98"/>
      <c r="E165" s="98"/>
      <c r="F165" s="98"/>
      <c r="G165" s="98"/>
      <c r="H165" s="98"/>
      <c r="I165" s="98"/>
      <c r="J165" s="98"/>
    </row>
    <row r="166" spans="2:10" ht="20.100000000000001" customHeight="1" x14ac:dyDescent="0.3">
      <c r="B166" s="117" t="s">
        <v>52</v>
      </c>
      <c r="C166" s="114"/>
      <c r="D166" s="114"/>
      <c r="E166" s="114"/>
      <c r="F166" s="114"/>
      <c r="G166" s="114"/>
      <c r="H166" s="114"/>
      <c r="I166" s="114"/>
      <c r="J166" s="114"/>
    </row>
    <row r="167" spans="2:10" ht="15" customHeight="1" x14ac:dyDescent="0.3">
      <c r="B167" s="3301" t="s">
        <v>476</v>
      </c>
      <c r="C167" s="3312"/>
      <c r="D167" s="3312"/>
      <c r="E167" s="3312"/>
      <c r="F167" s="3312"/>
      <c r="G167" s="3312"/>
      <c r="H167" s="3312"/>
      <c r="I167" s="3312"/>
      <c r="J167" s="3312"/>
    </row>
    <row r="168" spans="2:10" ht="45" customHeight="1" x14ac:dyDescent="0.3">
      <c r="B168" s="3301" t="s">
        <v>428</v>
      </c>
      <c r="C168" s="3312"/>
      <c r="D168" s="3312"/>
      <c r="E168" s="3312"/>
      <c r="F168" s="3312"/>
      <c r="G168" s="3312"/>
      <c r="H168" s="3312"/>
      <c r="I168" s="3312"/>
      <c r="J168" s="3312"/>
    </row>
    <row r="169" spans="2:10" ht="30" customHeight="1" x14ac:dyDescent="0.3">
      <c r="B169" s="3301" t="s">
        <v>429</v>
      </c>
      <c r="C169" s="3312"/>
      <c r="D169" s="3312"/>
      <c r="E169" s="3312"/>
      <c r="F169" s="3312"/>
      <c r="G169" s="3312"/>
      <c r="H169" s="3312"/>
      <c r="I169" s="3312"/>
      <c r="J169" s="3312"/>
    </row>
    <row r="170" spans="2:10" ht="15" customHeight="1" x14ac:dyDescent="0.3">
      <c r="B170" s="3301" t="s">
        <v>462</v>
      </c>
      <c r="C170" s="3312"/>
      <c r="D170" s="3312"/>
      <c r="E170" s="3312"/>
      <c r="F170" s="3312"/>
      <c r="G170" s="3312"/>
      <c r="H170" s="3312"/>
      <c r="I170" s="3312"/>
      <c r="J170" s="3312"/>
    </row>
    <row r="171" spans="2:10" ht="30" customHeight="1" x14ac:dyDescent="0.3">
      <c r="B171" s="3301" t="s">
        <v>481</v>
      </c>
      <c r="C171" s="3312"/>
      <c r="D171" s="3312"/>
      <c r="E171" s="3312"/>
      <c r="F171" s="3312"/>
      <c r="G171" s="3312"/>
      <c r="H171" s="3312"/>
      <c r="I171" s="3312"/>
      <c r="J171" s="3312"/>
    </row>
    <row r="172" spans="2:10" ht="30" customHeight="1" x14ac:dyDescent="0.3">
      <c r="B172" s="3301" t="s">
        <v>80</v>
      </c>
      <c r="C172" s="3312"/>
      <c r="D172" s="3312"/>
      <c r="E172" s="3312"/>
      <c r="F172" s="3312"/>
      <c r="G172" s="3312"/>
      <c r="H172" s="3312"/>
      <c r="I172" s="3312"/>
      <c r="J172" s="3312"/>
    </row>
    <row r="173" spans="2:10" ht="30" customHeight="1" x14ac:dyDescent="0.3">
      <c r="B173" s="3301" t="s">
        <v>421</v>
      </c>
      <c r="C173" s="3312"/>
      <c r="D173" s="3312"/>
      <c r="E173" s="3312"/>
      <c r="F173" s="3312"/>
      <c r="G173" s="3312"/>
      <c r="H173" s="3312"/>
      <c r="I173" s="3312"/>
      <c r="J173" s="3312"/>
    </row>
    <row r="174" spans="2:10" ht="30" customHeight="1" x14ac:dyDescent="0.3">
      <c r="B174" s="3301" t="s">
        <v>422</v>
      </c>
      <c r="C174" s="3312"/>
      <c r="D174" s="3312"/>
      <c r="E174" s="3312"/>
      <c r="F174" s="3312"/>
      <c r="G174" s="3312"/>
      <c r="H174" s="3312"/>
      <c r="I174" s="3312"/>
      <c r="J174" s="3312"/>
    </row>
    <row r="175" spans="2:10" ht="30" customHeight="1" x14ac:dyDescent="0.3">
      <c r="B175" s="3301" t="s">
        <v>390</v>
      </c>
      <c r="C175" s="3312"/>
      <c r="D175" s="3312"/>
      <c r="E175" s="3312"/>
      <c r="F175" s="3312"/>
      <c r="G175" s="3312"/>
      <c r="H175" s="3312"/>
      <c r="I175" s="3312"/>
      <c r="J175" s="3312"/>
    </row>
    <row r="176" spans="2:10" ht="30" customHeight="1" x14ac:dyDescent="0.3">
      <c r="B176" s="3301" t="s">
        <v>423</v>
      </c>
      <c r="C176" s="3312"/>
      <c r="D176" s="3312"/>
      <c r="E176" s="3312"/>
      <c r="F176" s="3312"/>
      <c r="G176" s="3312"/>
      <c r="H176" s="3312"/>
      <c r="I176" s="3312"/>
      <c r="J176" s="3312"/>
    </row>
    <row r="177" spans="2:10" ht="20.100000000000001" customHeight="1" x14ac:dyDescent="0.3">
      <c r="B177" s="3347" t="s">
        <v>424</v>
      </c>
      <c r="C177" s="3312"/>
      <c r="D177" s="3312"/>
      <c r="E177" s="3312"/>
      <c r="F177" s="3312"/>
      <c r="G177" s="3312"/>
      <c r="H177" s="3312"/>
      <c r="I177" s="3312"/>
      <c r="J177" s="3312"/>
    </row>
    <row r="178" spans="2:10" ht="3" customHeight="1" x14ac:dyDescent="0.3">
      <c r="B178" s="126"/>
      <c r="C178" s="114"/>
      <c r="D178" s="114"/>
      <c r="E178" s="114"/>
      <c r="F178" s="114"/>
      <c r="G178" s="114"/>
      <c r="H178" s="114"/>
      <c r="I178" s="114"/>
      <c r="J178" s="114"/>
    </row>
    <row r="179" spans="2:10" s="82" customFormat="1" ht="24.9" customHeight="1" x14ac:dyDescent="0.25">
      <c r="B179" s="3309" t="s">
        <v>403</v>
      </c>
      <c r="C179" s="3310"/>
      <c r="D179" s="3310"/>
      <c r="E179" s="3310"/>
      <c r="F179" s="3310"/>
      <c r="G179" s="3310"/>
      <c r="H179" s="3310"/>
      <c r="I179" s="3310"/>
      <c r="J179" s="3311"/>
    </row>
    <row r="180" spans="2:10" ht="16.5" customHeight="1" x14ac:dyDescent="0.3">
      <c r="B180" s="283" t="s">
        <v>628</v>
      </c>
    </row>
    <row r="182" spans="2:10" ht="20.100000000000001" customHeight="1" x14ac:dyDescent="0.3">
      <c r="B182" s="3321" t="s">
        <v>343</v>
      </c>
      <c r="C182" s="3322"/>
      <c r="D182" s="3322"/>
      <c r="E182" s="3322"/>
      <c r="F182" s="3322"/>
      <c r="G182" s="3322"/>
      <c r="H182" s="3322"/>
      <c r="I182" s="3322"/>
      <c r="J182" s="3322"/>
    </row>
    <row r="183" spans="2:10" ht="3" customHeight="1" x14ac:dyDescent="0.3"/>
    <row r="184" spans="2:10" ht="30" customHeight="1" x14ac:dyDescent="0.3">
      <c r="B184" s="3301" t="s">
        <v>331</v>
      </c>
      <c r="C184" s="3312"/>
      <c r="D184" s="3312"/>
      <c r="E184" s="3312"/>
      <c r="F184" s="3312"/>
      <c r="G184" s="3312"/>
      <c r="H184" s="3312"/>
      <c r="I184" s="3312"/>
      <c r="J184" s="3312"/>
    </row>
    <row r="185" spans="2:10" ht="45" customHeight="1" x14ac:dyDescent="0.3">
      <c r="B185" s="3301" t="s">
        <v>341</v>
      </c>
      <c r="C185" s="3312"/>
      <c r="D185" s="3312"/>
      <c r="E185" s="3312"/>
      <c r="F185" s="3312"/>
      <c r="G185" s="3312"/>
      <c r="H185" s="3312"/>
      <c r="I185" s="3312"/>
      <c r="J185" s="3312"/>
    </row>
    <row r="186" spans="2:10" ht="15" customHeight="1" x14ac:dyDescent="0.3">
      <c r="B186" s="3301" t="s">
        <v>244</v>
      </c>
      <c r="C186" s="3312"/>
      <c r="D186" s="3312"/>
      <c r="E186" s="3312"/>
      <c r="F186" s="3312"/>
      <c r="G186" s="3312"/>
      <c r="H186" s="3312"/>
      <c r="I186" s="3312"/>
      <c r="J186" s="3312"/>
    </row>
    <row r="187" spans="2:10" ht="30" customHeight="1" x14ac:dyDescent="0.3">
      <c r="B187" s="3299" t="s">
        <v>310</v>
      </c>
      <c r="C187" s="3312"/>
      <c r="D187" s="3312"/>
      <c r="E187" s="3312"/>
      <c r="F187" s="3312"/>
      <c r="G187" s="3312"/>
      <c r="H187" s="3312"/>
      <c r="I187" s="3312"/>
      <c r="J187" s="3312"/>
    </row>
    <row r="188" spans="2:10" s="87" customFormat="1" ht="15" customHeight="1" x14ac:dyDescent="0.3">
      <c r="B188" s="124" t="s">
        <v>466</v>
      </c>
      <c r="C188" s="115"/>
      <c r="D188" s="115"/>
      <c r="E188" s="115"/>
      <c r="F188" s="115"/>
      <c r="G188" s="115"/>
      <c r="H188" s="115"/>
      <c r="I188" s="115"/>
      <c r="J188" s="115"/>
    </row>
    <row r="189" spans="2:10" s="87" customFormat="1" ht="15" customHeight="1" x14ac:dyDescent="0.3">
      <c r="B189" s="3299" t="s">
        <v>467</v>
      </c>
      <c r="C189" s="2166"/>
      <c r="D189" s="2166"/>
      <c r="E189" s="2166"/>
      <c r="F189" s="2166"/>
      <c r="G189" s="2166"/>
      <c r="H189" s="2166"/>
      <c r="I189" s="2166"/>
      <c r="J189" s="2166"/>
    </row>
    <row r="190" spans="2:10" s="87" customFormat="1" ht="15" customHeight="1" x14ac:dyDescent="0.3">
      <c r="B190" s="3299" t="s">
        <v>468</v>
      </c>
      <c r="C190" s="2166"/>
      <c r="D190" s="2166"/>
      <c r="E190" s="2166"/>
      <c r="F190" s="2166"/>
      <c r="G190" s="2166"/>
      <c r="H190" s="2166"/>
      <c r="I190" s="2166"/>
      <c r="J190" s="2166"/>
    </row>
    <row r="191" spans="2:10" ht="15" customHeight="1" x14ac:dyDescent="0.3">
      <c r="B191" s="3301" t="s">
        <v>148</v>
      </c>
      <c r="C191" s="3312"/>
      <c r="D191" s="3312"/>
      <c r="E191" s="3312"/>
      <c r="F191" s="3312"/>
      <c r="G191" s="3312"/>
      <c r="H191" s="3312"/>
      <c r="I191" s="3312"/>
      <c r="J191" s="3312"/>
    </row>
    <row r="192" spans="2:10" ht="15" customHeight="1" x14ac:dyDescent="0.3">
      <c r="B192" s="3301" t="s">
        <v>409</v>
      </c>
      <c r="C192" s="3312"/>
      <c r="D192" s="3312"/>
      <c r="E192" s="3312"/>
      <c r="F192" s="3312"/>
      <c r="G192" s="3312"/>
      <c r="H192" s="3312"/>
      <c r="I192" s="3312"/>
      <c r="J192" s="3312"/>
    </row>
    <row r="193" spans="2:10" ht="15" customHeight="1" x14ac:dyDescent="0.3">
      <c r="B193" s="3301" t="s">
        <v>340</v>
      </c>
      <c r="C193" s="3312"/>
      <c r="D193" s="3312"/>
      <c r="E193" s="3312"/>
      <c r="F193" s="3312"/>
      <c r="G193" s="3312"/>
      <c r="H193" s="3312"/>
      <c r="I193" s="3312"/>
      <c r="J193" s="3312"/>
    </row>
    <row r="194" spans="2:10" s="102" customFormat="1" ht="20.100000000000001" customHeight="1" x14ac:dyDescent="0.3">
      <c r="B194" s="117" t="s">
        <v>301</v>
      </c>
      <c r="C194" s="125"/>
      <c r="D194" s="125"/>
      <c r="E194" s="125"/>
      <c r="F194" s="125"/>
      <c r="G194" s="125"/>
      <c r="H194" s="125"/>
      <c r="I194" s="125"/>
      <c r="J194" s="125"/>
    </row>
    <row r="195" spans="2:10" ht="15" customHeight="1" x14ac:dyDescent="0.3">
      <c r="B195" s="3301" t="s">
        <v>1</v>
      </c>
      <c r="C195" s="3312"/>
      <c r="D195" s="3312"/>
      <c r="E195" s="3312"/>
      <c r="F195" s="3312"/>
      <c r="G195" s="3312"/>
      <c r="H195" s="3312"/>
      <c r="I195" s="3312"/>
      <c r="J195" s="3312"/>
    </row>
    <row r="196" spans="2:10" ht="15" customHeight="1" x14ac:dyDescent="0.3">
      <c r="B196" s="3301" t="s">
        <v>153</v>
      </c>
      <c r="C196" s="3312"/>
      <c r="D196" s="3312"/>
      <c r="E196" s="3312"/>
      <c r="F196" s="3312"/>
      <c r="G196" s="3312"/>
      <c r="H196" s="3312"/>
      <c r="I196" s="3312"/>
      <c r="J196" s="3312"/>
    </row>
    <row r="197" spans="2:10" s="102" customFormat="1" ht="20.100000000000001" customHeight="1" x14ac:dyDescent="0.3">
      <c r="B197" s="117" t="s">
        <v>345</v>
      </c>
      <c r="C197" s="125"/>
      <c r="D197" s="125"/>
      <c r="E197" s="125"/>
      <c r="F197" s="125"/>
      <c r="G197" s="125"/>
      <c r="H197" s="125"/>
      <c r="I197" s="125"/>
      <c r="J197" s="125"/>
    </row>
    <row r="198" spans="2:10" ht="30" customHeight="1" x14ac:dyDescent="0.3">
      <c r="B198" s="3301" t="s">
        <v>19</v>
      </c>
      <c r="C198" s="3312"/>
      <c r="D198" s="3312"/>
      <c r="E198" s="3312"/>
      <c r="F198" s="3312"/>
      <c r="G198" s="3312"/>
      <c r="H198" s="3312"/>
      <c r="I198" s="3312"/>
      <c r="J198" s="3312"/>
    </row>
    <row r="199" spans="2:10" ht="16.5" customHeight="1" x14ac:dyDescent="0.3">
      <c r="B199" s="3299" t="s">
        <v>342</v>
      </c>
      <c r="C199" s="3312"/>
      <c r="D199" s="3312"/>
      <c r="E199" s="3312"/>
      <c r="F199" s="3312"/>
      <c r="G199" s="3312"/>
      <c r="H199" s="3312"/>
      <c r="I199" s="3312"/>
      <c r="J199" s="3312"/>
    </row>
    <row r="200" spans="2:10" s="87" customFormat="1" ht="15" customHeight="1" x14ac:dyDescent="0.3">
      <c r="B200" s="131" t="s">
        <v>311</v>
      </c>
      <c r="C200" s="115"/>
      <c r="D200" s="115"/>
      <c r="E200" s="115"/>
      <c r="F200" s="115"/>
      <c r="G200" s="115"/>
      <c r="H200" s="115"/>
      <c r="I200" s="115"/>
      <c r="J200" s="115"/>
    </row>
    <row r="201" spans="2:10" s="87" customFormat="1" ht="15" customHeight="1" x14ac:dyDescent="0.3">
      <c r="B201" s="3317" t="s">
        <v>312</v>
      </c>
      <c r="C201" s="2166"/>
      <c r="D201" s="2166"/>
      <c r="E201" s="2166"/>
      <c r="F201" s="2166"/>
      <c r="G201" s="2166"/>
      <c r="H201" s="2166"/>
      <c r="I201" s="2166"/>
      <c r="J201" s="2166"/>
    </row>
    <row r="202" spans="2:10" s="87" customFormat="1" ht="15" customHeight="1" x14ac:dyDescent="0.3">
      <c r="B202" s="124" t="s">
        <v>55</v>
      </c>
      <c r="C202" s="115"/>
      <c r="D202" s="115"/>
      <c r="E202" s="115"/>
      <c r="F202" s="115"/>
      <c r="G202" s="115"/>
      <c r="H202" s="115"/>
      <c r="I202" s="115"/>
      <c r="J202" s="115"/>
    </row>
    <row r="203" spans="2:10" ht="30" customHeight="1" x14ac:dyDescent="0.3">
      <c r="B203" s="3301" t="s">
        <v>129</v>
      </c>
      <c r="C203" s="3312"/>
      <c r="D203" s="3312"/>
      <c r="E203" s="3312"/>
      <c r="F203" s="3312"/>
      <c r="G203" s="3312"/>
      <c r="H203" s="3312"/>
      <c r="I203" s="3312"/>
      <c r="J203" s="3312"/>
    </row>
    <row r="204" spans="2:10" ht="30" customHeight="1" x14ac:dyDescent="0.3">
      <c r="B204" s="3347" t="s">
        <v>425</v>
      </c>
      <c r="C204" s="3312"/>
      <c r="D204" s="3312"/>
      <c r="E204" s="3312"/>
      <c r="F204" s="3312"/>
      <c r="G204" s="3312"/>
      <c r="H204" s="3312"/>
      <c r="I204" s="3312"/>
      <c r="J204" s="3312"/>
    </row>
    <row r="205" spans="2:10" ht="24.9" customHeight="1" x14ac:dyDescent="0.3">
      <c r="B205" s="3318" t="s">
        <v>315</v>
      </c>
      <c r="C205" s="3319"/>
      <c r="D205" s="3319"/>
      <c r="E205" s="3319"/>
      <c r="F205" s="3319"/>
      <c r="G205" s="3319"/>
      <c r="H205" s="3319"/>
      <c r="I205" s="3319"/>
      <c r="J205" s="3320"/>
    </row>
    <row r="206" spans="2:10" s="823" customFormat="1" ht="16.5" customHeight="1" x14ac:dyDescent="0.3">
      <c r="B206" s="820" t="s">
        <v>627</v>
      </c>
    </row>
    <row r="208" spans="2:10" s="101" customFormat="1" ht="20.100000000000001" customHeight="1" x14ac:dyDescent="0.3">
      <c r="B208" s="3321" t="s">
        <v>101</v>
      </c>
      <c r="C208" s="3322"/>
      <c r="D208" s="3322"/>
      <c r="E208" s="3322"/>
      <c r="F208" s="3322"/>
      <c r="G208" s="3322"/>
      <c r="H208" s="3322"/>
      <c r="I208" s="3322"/>
      <c r="J208" s="3322"/>
    </row>
    <row r="209" spans="2:10" s="101" customFormat="1" ht="3" customHeight="1" x14ac:dyDescent="0.3"/>
    <row r="210" spans="2:10" s="101" customFormat="1" ht="30" customHeight="1" x14ac:dyDescent="0.3">
      <c r="B210" s="3301" t="s">
        <v>493</v>
      </c>
      <c r="C210" s="3301"/>
      <c r="D210" s="3301"/>
      <c r="E210" s="3301"/>
      <c r="F210" s="3301"/>
      <c r="G210" s="3301"/>
      <c r="H210" s="3301"/>
      <c r="I210" s="3301"/>
      <c r="J210" s="3301"/>
    </row>
    <row r="211" spans="2:10" s="101" customFormat="1" ht="15" customHeight="1" x14ac:dyDescent="0.3">
      <c r="B211" s="3301" t="s">
        <v>279</v>
      </c>
      <c r="C211" s="3301"/>
      <c r="D211" s="3301"/>
      <c r="E211" s="3301"/>
      <c r="F211" s="3301"/>
      <c r="G211" s="3301"/>
      <c r="H211" s="3301"/>
      <c r="I211" s="3301"/>
      <c r="J211" s="3301"/>
    </row>
    <row r="212" spans="2:10" s="101" customFormat="1" ht="15" customHeight="1" x14ac:dyDescent="0.3">
      <c r="B212" s="118" t="s">
        <v>492</v>
      </c>
      <c r="C212" s="118"/>
      <c r="D212" s="118"/>
      <c r="E212" s="118"/>
      <c r="F212" s="118"/>
      <c r="G212" s="118"/>
      <c r="H212" s="118"/>
      <c r="I212" s="118"/>
      <c r="J212" s="118"/>
    </row>
    <row r="213" spans="2:10" s="101" customFormat="1" ht="30" customHeight="1" x14ac:dyDescent="0.3">
      <c r="B213" s="3301" t="s">
        <v>494</v>
      </c>
      <c r="C213" s="3301"/>
      <c r="D213" s="3301"/>
      <c r="E213" s="3301"/>
      <c r="F213" s="3301"/>
      <c r="G213" s="3301"/>
      <c r="H213" s="3301"/>
      <c r="I213" s="3301"/>
      <c r="J213" s="3301"/>
    </row>
    <row r="214" spans="2:10" s="821" customFormat="1" ht="15.6" x14ac:dyDescent="0.3">
      <c r="B214" s="822" t="s">
        <v>391</v>
      </c>
    </row>
    <row r="215" spans="2:10" s="821" customFormat="1" ht="15.6" x14ac:dyDescent="0.3">
      <c r="B215" s="820" t="s">
        <v>182</v>
      </c>
    </row>
    <row r="216" spans="2:10" s="821" customFormat="1" ht="15.6" x14ac:dyDescent="0.3">
      <c r="B216" s="822" t="s">
        <v>627</v>
      </c>
    </row>
    <row r="217" spans="2:10" s="101" customFormat="1" ht="20.100000000000001" customHeight="1" x14ac:dyDescent="0.3">
      <c r="B217" s="3321" t="s">
        <v>33</v>
      </c>
      <c r="C217" s="3322"/>
      <c r="D217" s="3322"/>
      <c r="E217" s="3322"/>
      <c r="F217" s="3322"/>
      <c r="G217" s="3322"/>
      <c r="H217" s="3322"/>
      <c r="I217" s="3322"/>
      <c r="J217" s="3322"/>
    </row>
    <row r="218" spans="2:10" s="101" customFormat="1" ht="3" customHeight="1" x14ac:dyDescent="0.3"/>
    <row r="219" spans="2:10" s="101" customFormat="1" ht="30" customHeight="1" x14ac:dyDescent="0.3">
      <c r="B219" s="3301" t="s">
        <v>229</v>
      </c>
      <c r="C219" s="3301"/>
      <c r="D219" s="3301"/>
      <c r="E219" s="3301"/>
      <c r="F219" s="3301"/>
      <c r="G219" s="3301"/>
      <c r="H219" s="3301"/>
      <c r="I219" s="3301"/>
      <c r="J219" s="3301"/>
    </row>
    <row r="220" spans="2:10" s="101" customFormat="1" ht="15" customHeight="1" x14ac:dyDescent="0.3">
      <c r="B220" s="3305" t="s">
        <v>287</v>
      </c>
      <c r="C220" s="3369"/>
      <c r="D220" s="3369"/>
      <c r="E220" s="3369"/>
      <c r="F220" s="3369"/>
      <c r="G220" s="3369"/>
      <c r="H220" s="3369"/>
      <c r="I220" s="3369"/>
      <c r="J220" s="3369"/>
    </row>
    <row r="221" spans="2:10" s="101" customFormat="1" ht="15" customHeight="1" x14ac:dyDescent="0.3">
      <c r="B221" s="3305" t="s">
        <v>464</v>
      </c>
      <c r="C221" s="3302"/>
      <c r="D221" s="3302"/>
      <c r="E221" s="3302"/>
      <c r="F221" s="3302"/>
      <c r="G221" s="3302"/>
      <c r="H221" s="3302"/>
      <c r="I221" s="3302"/>
      <c r="J221" s="121"/>
    </row>
    <row r="222" spans="2:10" s="101" customFormat="1" ht="15" customHeight="1" x14ac:dyDescent="0.3">
      <c r="B222" s="3305" t="s">
        <v>5</v>
      </c>
      <c r="C222" s="3302"/>
      <c r="D222" s="3302"/>
      <c r="E222" s="3302"/>
      <c r="F222" s="3302"/>
      <c r="G222" s="3302"/>
      <c r="H222" s="3302"/>
      <c r="I222" s="3302"/>
      <c r="J222" s="121"/>
    </row>
    <row r="223" spans="2:10" s="101" customFormat="1" ht="15" customHeight="1" x14ac:dyDescent="0.3">
      <c r="B223" s="3301" t="s">
        <v>132</v>
      </c>
      <c r="C223" s="3302"/>
      <c r="D223" s="3302"/>
      <c r="E223" s="3302"/>
      <c r="F223" s="3302"/>
      <c r="G223" s="3302"/>
      <c r="H223" s="3302"/>
      <c r="I223" s="3302"/>
      <c r="J223" s="3302"/>
    </row>
    <row r="224" spans="2:10" s="101" customFormat="1" ht="20.100000000000001" customHeight="1" x14ac:dyDescent="0.3">
      <c r="B224" s="3303" t="s">
        <v>242</v>
      </c>
      <c r="C224" s="3304"/>
      <c r="D224" s="3304"/>
      <c r="E224" s="3304"/>
      <c r="F224" s="3304"/>
      <c r="G224" s="3304"/>
      <c r="H224" s="3304"/>
      <c r="I224" s="3304"/>
      <c r="J224" s="121"/>
    </row>
    <row r="225" spans="2:10" s="101" customFormat="1" ht="15" customHeight="1" x14ac:dyDescent="0.3">
      <c r="B225" s="3301" t="s">
        <v>213</v>
      </c>
      <c r="C225" s="3302"/>
      <c r="D225" s="3302"/>
      <c r="E225" s="3302"/>
      <c r="F225" s="3302"/>
      <c r="G225" s="3302"/>
      <c r="H225" s="3302"/>
      <c r="I225" s="3302"/>
      <c r="J225" s="3302"/>
    </row>
    <row r="226" spans="2:10" s="101" customFormat="1" ht="15" customHeight="1" x14ac:dyDescent="0.3">
      <c r="B226" s="3301" t="s">
        <v>356</v>
      </c>
      <c r="C226" s="3302"/>
      <c r="D226" s="3302"/>
      <c r="E226" s="3302"/>
      <c r="F226" s="3302"/>
      <c r="G226" s="3302"/>
      <c r="H226" s="3302"/>
      <c r="I226" s="3302"/>
      <c r="J226" s="3302"/>
    </row>
    <row r="227" spans="2:10" s="101" customFormat="1" ht="16.5" customHeight="1" x14ac:dyDescent="0.3">
      <c r="B227" s="3347" t="s">
        <v>214</v>
      </c>
      <c r="C227" s="3302"/>
      <c r="D227" s="3302"/>
      <c r="E227" s="3302"/>
      <c r="F227" s="3302"/>
      <c r="G227" s="3302"/>
      <c r="H227" s="3302"/>
      <c r="I227" s="3302"/>
      <c r="J227" s="3302"/>
    </row>
    <row r="228" spans="2:10" s="101" customFormat="1" ht="20.100000000000001" customHeight="1" x14ac:dyDescent="0.3">
      <c r="B228" s="3303" t="s">
        <v>241</v>
      </c>
      <c r="C228" s="3304"/>
      <c r="D228" s="3304"/>
      <c r="E228" s="3304"/>
      <c r="F228" s="3304"/>
      <c r="G228" s="3304"/>
      <c r="H228" s="3304"/>
      <c r="I228" s="3304"/>
      <c r="J228" s="3304"/>
    </row>
    <row r="229" spans="2:10" s="101" customFormat="1" ht="15" customHeight="1" x14ac:dyDescent="0.3">
      <c r="B229" s="3301" t="s">
        <v>442</v>
      </c>
      <c r="C229" s="3302"/>
      <c r="D229" s="3302"/>
      <c r="E229" s="3302"/>
      <c r="F229" s="3302"/>
      <c r="G229" s="3302"/>
      <c r="H229" s="3302"/>
      <c r="I229" s="3302"/>
      <c r="J229" s="3302"/>
    </row>
    <row r="230" spans="2:10" s="101" customFormat="1" ht="20.100000000000001" customHeight="1" x14ac:dyDescent="0.3">
      <c r="B230" s="3303" t="s">
        <v>240</v>
      </c>
      <c r="C230" s="3304"/>
      <c r="D230" s="3304"/>
      <c r="E230" s="3304"/>
      <c r="F230" s="3304"/>
      <c r="G230" s="3304"/>
      <c r="H230" s="3304"/>
      <c r="I230" s="3304"/>
      <c r="J230" s="3304"/>
    </row>
    <row r="231" spans="2:10" s="101" customFormat="1" ht="15" customHeight="1" x14ac:dyDescent="0.3">
      <c r="B231" s="3301" t="s">
        <v>54</v>
      </c>
      <c r="C231" s="3302"/>
      <c r="D231" s="3302"/>
      <c r="E231" s="3302"/>
      <c r="F231" s="3302"/>
      <c r="G231" s="3302"/>
      <c r="H231" s="3302"/>
      <c r="I231" s="3302"/>
      <c r="J231" s="3302"/>
    </row>
    <row r="232" spans="2:10" s="101" customFormat="1" ht="15" customHeight="1" x14ac:dyDescent="0.3">
      <c r="B232" s="3301" t="s">
        <v>234</v>
      </c>
      <c r="C232" s="3302"/>
      <c r="D232" s="3302"/>
      <c r="E232" s="3302"/>
      <c r="F232" s="3302"/>
      <c r="G232" s="3302"/>
      <c r="H232" s="3302"/>
      <c r="I232" s="3302"/>
      <c r="J232" s="3302"/>
    </row>
    <row r="233" spans="2:10" s="101" customFormat="1" ht="20.100000000000001" customHeight="1" x14ac:dyDescent="0.3">
      <c r="B233" s="3314" t="s">
        <v>359</v>
      </c>
      <c r="C233" s="3315"/>
      <c r="D233" s="3315"/>
      <c r="E233" s="3315"/>
      <c r="F233" s="3315"/>
      <c r="G233" s="3315"/>
      <c r="H233" s="3315"/>
      <c r="I233" s="3315"/>
      <c r="J233" s="3315"/>
    </row>
    <row r="234" spans="2:10" s="101" customFormat="1" ht="15" customHeight="1" x14ac:dyDescent="0.3">
      <c r="B234" s="3301" t="s">
        <v>12</v>
      </c>
      <c r="C234" s="3369"/>
      <c r="D234" s="3369"/>
      <c r="E234" s="3369"/>
      <c r="F234" s="3369"/>
      <c r="G234" s="3369"/>
      <c r="H234" s="3369"/>
      <c r="I234" s="3369"/>
      <c r="J234" s="3369"/>
    </row>
    <row r="235" spans="2:10" s="101" customFormat="1" ht="30" customHeight="1" x14ac:dyDescent="0.3">
      <c r="B235" s="3301" t="s">
        <v>11</v>
      </c>
      <c r="C235" s="3302"/>
      <c r="D235" s="3302"/>
      <c r="E235" s="3302"/>
      <c r="F235" s="3302"/>
      <c r="G235" s="3302"/>
      <c r="H235" s="3302"/>
      <c r="I235" s="3302"/>
      <c r="J235" s="3302"/>
    </row>
    <row r="236" spans="2:10" s="101" customFormat="1" ht="30" customHeight="1" x14ac:dyDescent="0.3">
      <c r="B236" s="3301" t="s">
        <v>470</v>
      </c>
      <c r="C236" s="3302"/>
      <c r="D236" s="3302"/>
      <c r="E236" s="3302"/>
      <c r="F236" s="3302"/>
      <c r="G236" s="3302"/>
      <c r="H236" s="3302"/>
      <c r="I236" s="3302"/>
      <c r="J236" s="3302"/>
    </row>
    <row r="237" spans="2:10" s="101" customFormat="1" ht="15" customHeight="1" x14ac:dyDescent="0.3">
      <c r="B237" s="3301" t="s">
        <v>193</v>
      </c>
      <c r="C237" s="3302"/>
      <c r="D237" s="3302"/>
      <c r="E237" s="3302"/>
      <c r="F237" s="3302"/>
      <c r="G237" s="3302"/>
      <c r="H237" s="3302"/>
      <c r="I237" s="3302"/>
      <c r="J237" s="3302"/>
    </row>
    <row r="238" spans="2:10" s="101" customFormat="1" ht="16.5" customHeight="1" x14ac:dyDescent="0.3">
      <c r="B238" s="134" t="s">
        <v>185</v>
      </c>
    </row>
    <row r="239" spans="2:10" s="101" customFormat="1" ht="20.100000000000001" customHeight="1" x14ac:dyDescent="0.3">
      <c r="B239" s="3314" t="s">
        <v>360</v>
      </c>
      <c r="C239" s="3315"/>
      <c r="D239" s="3315"/>
      <c r="E239" s="3315"/>
      <c r="F239" s="3315"/>
      <c r="G239" s="3315"/>
      <c r="H239" s="3315"/>
      <c r="I239" s="3315"/>
      <c r="J239" s="3315"/>
    </row>
    <row r="240" spans="2:10" s="107" customFormat="1" ht="27.75" customHeight="1" x14ac:dyDescent="0.3">
      <c r="B240" s="3301" t="s">
        <v>48</v>
      </c>
      <c r="C240" s="3302"/>
      <c r="D240" s="3302"/>
      <c r="E240" s="3302"/>
      <c r="F240" s="3302"/>
      <c r="G240" s="3302"/>
      <c r="H240" s="3302"/>
      <c r="I240" s="3302"/>
      <c r="J240" s="3302"/>
    </row>
    <row r="241" spans="2:10" s="101" customFormat="1" ht="15" customHeight="1" x14ac:dyDescent="0.3">
      <c r="B241" s="3301" t="s">
        <v>210</v>
      </c>
      <c r="C241" s="3302"/>
      <c r="D241" s="3302"/>
      <c r="E241" s="3302"/>
      <c r="F241" s="3302"/>
      <c r="G241" s="3302"/>
      <c r="H241" s="3302"/>
      <c r="I241" s="3302"/>
      <c r="J241" s="122"/>
    </row>
    <row r="242" spans="2:10" s="101" customFormat="1" ht="15" customHeight="1" x14ac:dyDescent="0.3">
      <c r="B242" s="3301" t="s">
        <v>220</v>
      </c>
      <c r="C242" s="3302"/>
      <c r="D242" s="3302"/>
      <c r="E242" s="3302"/>
      <c r="F242" s="3302"/>
      <c r="G242" s="3302"/>
      <c r="H242" s="3302"/>
      <c r="I242" s="3302"/>
      <c r="J242" s="3302"/>
    </row>
    <row r="243" spans="2:10" s="101" customFormat="1" ht="20.100000000000001" customHeight="1" x14ac:dyDescent="0.3">
      <c r="B243" s="3314" t="s">
        <v>361</v>
      </c>
      <c r="C243" s="3315"/>
      <c r="D243" s="3315"/>
      <c r="E243" s="3315"/>
      <c r="F243" s="3315"/>
      <c r="G243" s="3315"/>
      <c r="H243" s="3315"/>
      <c r="I243" s="3315"/>
    </row>
    <row r="244" spans="2:10" s="101" customFormat="1" ht="30" customHeight="1" x14ac:dyDescent="0.3">
      <c r="B244" s="3301" t="s">
        <v>228</v>
      </c>
      <c r="C244" s="3302"/>
      <c r="D244" s="3302"/>
      <c r="E244" s="3302"/>
      <c r="F244" s="3302"/>
      <c r="G244" s="3302"/>
      <c r="H244" s="3302"/>
      <c r="I244" s="3302"/>
      <c r="J244" s="3302"/>
    </row>
    <row r="245" spans="2:10" s="101" customFormat="1" ht="30" customHeight="1" x14ac:dyDescent="0.3">
      <c r="B245" s="3301" t="s">
        <v>45</v>
      </c>
      <c r="C245" s="3302"/>
      <c r="D245" s="3302"/>
      <c r="E245" s="3302"/>
      <c r="F245" s="3302"/>
      <c r="G245" s="3302"/>
      <c r="H245" s="3302"/>
      <c r="I245" s="3302"/>
      <c r="J245" s="3302"/>
    </row>
    <row r="246" spans="2:10" s="101" customFormat="1" ht="16.5" customHeight="1" x14ac:dyDescent="0.3">
      <c r="B246" s="3301" t="s">
        <v>385</v>
      </c>
      <c r="C246" s="3302"/>
      <c r="D246" s="3302"/>
      <c r="E246" s="3302"/>
      <c r="F246" s="3302"/>
      <c r="G246" s="3302"/>
      <c r="H246" s="3302"/>
      <c r="I246" s="3302"/>
      <c r="J246" s="3302"/>
    </row>
    <row r="247" spans="2:10" s="101" customFormat="1" ht="16.5" customHeight="1" x14ac:dyDescent="0.3">
      <c r="B247" s="3301" t="s">
        <v>386</v>
      </c>
      <c r="C247" s="3302"/>
      <c r="D247" s="3302"/>
      <c r="E247" s="3302"/>
      <c r="F247" s="3302"/>
      <c r="G247" s="3302"/>
      <c r="H247" s="3302"/>
      <c r="I247" s="3302"/>
      <c r="J247" s="3302"/>
    </row>
    <row r="248" spans="2:10" s="101" customFormat="1" ht="15" customHeight="1" x14ac:dyDescent="0.3">
      <c r="B248" s="3305" t="s">
        <v>230</v>
      </c>
      <c r="C248" s="3302"/>
      <c r="D248" s="3302"/>
      <c r="E248" s="3302"/>
      <c r="F248" s="3302"/>
      <c r="G248" s="3302"/>
      <c r="H248" s="3302"/>
      <c r="I248" s="3302"/>
      <c r="J248" s="3302"/>
    </row>
    <row r="249" spans="2:10" s="101" customFormat="1" ht="30" customHeight="1" x14ac:dyDescent="0.3">
      <c r="B249" s="3305" t="s">
        <v>448</v>
      </c>
      <c r="C249" s="3302"/>
      <c r="D249" s="3302"/>
      <c r="E249" s="3302"/>
      <c r="F249" s="3302"/>
      <c r="G249" s="3302"/>
      <c r="H249" s="3302"/>
      <c r="I249" s="3302"/>
      <c r="J249" s="3302"/>
    </row>
    <row r="250" spans="2:10" s="101" customFormat="1" ht="15" customHeight="1" x14ac:dyDescent="0.3">
      <c r="B250" s="3305" t="s">
        <v>231</v>
      </c>
      <c r="C250" s="3302"/>
      <c r="D250" s="3302"/>
      <c r="E250" s="3302"/>
      <c r="F250" s="3302"/>
      <c r="G250" s="3302"/>
      <c r="H250" s="3302"/>
      <c r="I250" s="3302"/>
      <c r="J250" s="122"/>
    </row>
    <row r="251" spans="2:10" s="101" customFormat="1" ht="15" customHeight="1" x14ac:dyDescent="0.3">
      <c r="B251" s="3305" t="s">
        <v>232</v>
      </c>
      <c r="C251" s="3302"/>
      <c r="D251" s="3302"/>
      <c r="E251" s="3302"/>
      <c r="F251" s="3302"/>
      <c r="G251" s="3302"/>
      <c r="H251" s="3302"/>
      <c r="I251" s="3302"/>
      <c r="J251" s="3302"/>
    </row>
    <row r="252" spans="2:10" s="101" customFormat="1" ht="15" customHeight="1" x14ac:dyDescent="0.3">
      <c r="B252" s="3301" t="s">
        <v>347</v>
      </c>
      <c r="C252" s="3302"/>
      <c r="D252" s="3302"/>
      <c r="E252" s="3302"/>
      <c r="F252" s="3302"/>
      <c r="G252" s="3302"/>
      <c r="H252" s="3302"/>
      <c r="I252" s="3302"/>
      <c r="J252" s="3302"/>
    </row>
    <row r="253" spans="2:10" s="101" customFormat="1" ht="30" customHeight="1" x14ac:dyDescent="0.3">
      <c r="B253" s="3301" t="s">
        <v>465</v>
      </c>
      <c r="C253" s="3302"/>
      <c r="D253" s="3302"/>
      <c r="E253" s="3302"/>
      <c r="F253" s="3302"/>
      <c r="G253" s="3302"/>
      <c r="H253" s="3302"/>
      <c r="I253" s="3302"/>
      <c r="J253" s="3302"/>
    </row>
    <row r="254" spans="2:10" s="101" customFormat="1" ht="3" customHeight="1" x14ac:dyDescent="0.3">
      <c r="B254" s="118"/>
      <c r="C254" s="120"/>
      <c r="D254" s="120"/>
      <c r="E254" s="120"/>
      <c r="F254" s="120"/>
      <c r="G254" s="120"/>
      <c r="H254" s="120"/>
      <c r="I254" s="120"/>
      <c r="J254" s="120"/>
    </row>
    <row r="255" spans="2:10" s="101" customFormat="1" ht="16.5" customHeight="1" x14ac:dyDescent="0.3">
      <c r="B255" s="3303" t="s">
        <v>161</v>
      </c>
      <c r="C255" s="3304"/>
      <c r="D255" s="3304"/>
      <c r="E255" s="3304"/>
      <c r="F255" s="3304"/>
      <c r="G255" s="3304"/>
      <c r="H255" s="3304"/>
      <c r="I255" s="3304"/>
      <c r="J255" s="3304"/>
    </row>
    <row r="256" spans="2:10" s="107" customFormat="1" ht="16.5" customHeight="1" x14ac:dyDescent="0.3">
      <c r="B256" s="3301" t="s">
        <v>348</v>
      </c>
      <c r="C256" s="3302"/>
      <c r="D256" s="3302"/>
      <c r="E256" s="3302"/>
      <c r="F256" s="3302"/>
      <c r="G256" s="3302"/>
      <c r="H256" s="3302"/>
      <c r="I256" s="3302"/>
      <c r="J256" s="3302"/>
    </row>
    <row r="257" spans="2:10" s="107" customFormat="1" ht="16.5" customHeight="1" x14ac:dyDescent="0.3">
      <c r="B257" s="3316" t="s">
        <v>159</v>
      </c>
      <c r="C257" s="3302"/>
      <c r="D257" s="3302"/>
      <c r="E257" s="3302"/>
      <c r="F257" s="3302"/>
      <c r="G257" s="3302"/>
      <c r="H257" s="3302"/>
      <c r="I257" s="3302"/>
      <c r="J257" s="3302"/>
    </row>
    <row r="258" spans="2:10" s="107" customFormat="1" ht="16.5" customHeight="1" x14ac:dyDescent="0.3">
      <c r="B258" s="3316" t="s">
        <v>160</v>
      </c>
      <c r="C258" s="3302"/>
      <c r="D258" s="3302"/>
      <c r="E258" s="3302"/>
      <c r="F258" s="3302"/>
      <c r="G258" s="3302"/>
      <c r="H258" s="3302"/>
      <c r="I258" s="3302"/>
      <c r="J258" s="3302"/>
    </row>
    <row r="259" spans="2:10" s="107" customFormat="1" ht="16.5" customHeight="1" x14ac:dyDescent="0.3">
      <c r="B259" s="134" t="s">
        <v>216</v>
      </c>
    </row>
    <row r="260" spans="2:10" s="102" customFormat="1" ht="12.75" customHeight="1" x14ac:dyDescent="0.3">
      <c r="B260" s="106"/>
    </row>
    <row r="261" spans="2:10" s="108" customFormat="1" ht="20.100000000000001" customHeight="1" x14ac:dyDescent="0.25">
      <c r="B261" s="3321" t="s">
        <v>21</v>
      </c>
      <c r="C261" s="3322"/>
      <c r="D261" s="3322"/>
      <c r="E261" s="3322"/>
      <c r="F261" s="3322"/>
      <c r="G261" s="3322"/>
      <c r="H261" s="3322"/>
      <c r="I261" s="3322"/>
      <c r="J261" s="3322"/>
    </row>
    <row r="262" spans="2:10" ht="3" customHeight="1" x14ac:dyDescent="0.3"/>
    <row r="263" spans="2:10" x14ac:dyDescent="0.3">
      <c r="B263" s="3301" t="s">
        <v>252</v>
      </c>
      <c r="C263" s="3313"/>
      <c r="D263" s="3313"/>
      <c r="E263" s="3313"/>
      <c r="F263" s="3313"/>
      <c r="G263" s="3313"/>
      <c r="H263" s="3313"/>
      <c r="I263" s="3313"/>
      <c r="J263" s="3313"/>
    </row>
    <row r="264" spans="2:10" ht="30" customHeight="1" x14ac:dyDescent="0.3">
      <c r="B264" s="3301" t="s">
        <v>284</v>
      </c>
      <c r="C264" s="3323"/>
      <c r="D264" s="3323"/>
      <c r="E264" s="3323"/>
      <c r="F264" s="3323"/>
      <c r="G264" s="3323"/>
      <c r="H264" s="3323"/>
      <c r="I264" s="3323"/>
      <c r="J264" s="3323"/>
    </row>
    <row r="265" spans="2:10" ht="15" customHeight="1" x14ac:dyDescent="0.3">
      <c r="B265" s="3301" t="s">
        <v>450</v>
      </c>
      <c r="C265" s="3312"/>
      <c r="D265" s="3312"/>
      <c r="E265" s="3312"/>
      <c r="F265" s="3312"/>
      <c r="G265" s="3312"/>
      <c r="H265" s="3312"/>
      <c r="I265" s="3312"/>
      <c r="J265" s="3312"/>
    </row>
    <row r="266" spans="2:10" ht="30" customHeight="1" x14ac:dyDescent="0.3">
      <c r="B266" s="3330" t="s">
        <v>449</v>
      </c>
      <c r="C266" s="3331"/>
      <c r="D266" s="3331"/>
      <c r="E266" s="3331"/>
      <c r="F266" s="3331"/>
      <c r="G266" s="3331"/>
      <c r="H266" s="3331"/>
      <c r="I266" s="3331"/>
      <c r="J266" s="3331"/>
    </row>
    <row r="267" spans="2:10" s="114" customFormat="1" ht="15" customHeight="1" x14ac:dyDescent="0.3">
      <c r="B267" s="3330" t="s">
        <v>286</v>
      </c>
      <c r="C267" s="3331"/>
      <c r="D267" s="3331"/>
      <c r="E267" s="3331"/>
      <c r="F267" s="3331"/>
      <c r="G267" s="3331"/>
      <c r="H267" s="3331"/>
      <c r="I267" s="3331"/>
      <c r="J267" s="3331"/>
    </row>
    <row r="268" spans="2:10" ht="15" customHeight="1" x14ac:dyDescent="0.3">
      <c r="B268" s="3301" t="s">
        <v>383</v>
      </c>
      <c r="C268" s="3312"/>
      <c r="D268" s="3312"/>
      <c r="E268" s="3312"/>
      <c r="F268" s="3312"/>
      <c r="G268" s="3312"/>
      <c r="H268" s="3312"/>
      <c r="I268" s="3312"/>
      <c r="J268" s="3312"/>
    </row>
    <row r="269" spans="2:10" ht="30" customHeight="1" x14ac:dyDescent="0.3">
      <c r="B269" s="3301" t="s">
        <v>314</v>
      </c>
      <c r="C269" s="3312"/>
      <c r="D269" s="3312"/>
      <c r="E269" s="3312"/>
      <c r="F269" s="3312"/>
      <c r="G269" s="3312"/>
      <c r="H269" s="3312"/>
      <c r="I269" s="3312"/>
      <c r="J269" s="3312"/>
    </row>
    <row r="270" spans="2:10" ht="15" customHeight="1" x14ac:dyDescent="0.3">
      <c r="B270" s="3301" t="s">
        <v>313</v>
      </c>
      <c r="C270" s="3312"/>
      <c r="D270" s="3312"/>
      <c r="E270" s="3312"/>
      <c r="F270" s="3312"/>
      <c r="G270" s="3312"/>
      <c r="H270" s="3312"/>
      <c r="I270" s="3312"/>
      <c r="J270" s="3312"/>
    </row>
    <row r="271" spans="2:10" ht="15" customHeight="1" x14ac:dyDescent="0.3">
      <c r="B271" s="3301" t="s">
        <v>304</v>
      </c>
      <c r="C271" s="3312"/>
      <c r="D271" s="3312"/>
      <c r="E271" s="3312"/>
      <c r="F271" s="3312"/>
      <c r="G271" s="3312"/>
      <c r="H271" s="3312"/>
      <c r="I271" s="3312"/>
      <c r="J271" s="3312"/>
    </row>
    <row r="272" spans="2:10" ht="30" customHeight="1" x14ac:dyDescent="0.3">
      <c r="B272" s="3301" t="s">
        <v>47</v>
      </c>
      <c r="C272" s="3312"/>
      <c r="D272" s="3312"/>
      <c r="E272" s="3312"/>
      <c r="F272" s="3312"/>
      <c r="G272" s="3312"/>
      <c r="H272" s="3312"/>
      <c r="I272" s="3312"/>
      <c r="J272" s="3312"/>
    </row>
    <row r="273" spans="2:10" ht="30" customHeight="1" x14ac:dyDescent="0.3">
      <c r="B273" s="3301" t="s">
        <v>382</v>
      </c>
      <c r="C273" s="3312"/>
      <c r="D273" s="3312"/>
      <c r="E273" s="3312"/>
      <c r="F273" s="3312"/>
      <c r="G273" s="3312"/>
      <c r="H273" s="3312"/>
      <c r="I273" s="3312"/>
      <c r="J273" s="3312"/>
    </row>
    <row r="274" spans="2:10" ht="30" customHeight="1" x14ac:dyDescent="0.3">
      <c r="B274" s="3301" t="s">
        <v>400</v>
      </c>
      <c r="C274" s="3312"/>
      <c r="D274" s="3312"/>
      <c r="E274" s="3312"/>
      <c r="F274" s="3312"/>
      <c r="G274" s="3312"/>
      <c r="H274" s="3312"/>
      <c r="I274" s="3312"/>
      <c r="J274" s="3312"/>
    </row>
    <row r="275" spans="2:10" ht="6" customHeight="1" x14ac:dyDescent="0.3"/>
    <row r="276" spans="2:10" ht="24.9" customHeight="1" x14ac:dyDescent="0.3">
      <c r="B276" s="3318" t="s">
        <v>108</v>
      </c>
      <c r="C276" s="3361"/>
      <c r="D276" s="3361"/>
      <c r="E276" s="3361"/>
      <c r="F276" s="3361"/>
      <c r="G276" s="3361"/>
      <c r="H276" s="3361"/>
      <c r="I276" s="3361"/>
      <c r="J276" s="3362"/>
    </row>
    <row r="277" spans="2:10" ht="16.5" customHeight="1" x14ac:dyDescent="0.3">
      <c r="B277" s="3347" t="s">
        <v>392</v>
      </c>
      <c r="C277" s="3312"/>
      <c r="D277" s="3312"/>
      <c r="E277" s="3312"/>
      <c r="F277" s="3312"/>
      <c r="G277" s="3312"/>
      <c r="H277" s="3312"/>
      <c r="I277" s="3312"/>
      <c r="J277" s="3312"/>
    </row>
    <row r="278" spans="2:10" ht="45" customHeight="1" x14ac:dyDescent="0.3">
      <c r="B278" s="3301" t="s">
        <v>105</v>
      </c>
      <c r="C278" s="3312"/>
      <c r="D278" s="3312"/>
      <c r="E278" s="3312"/>
      <c r="F278" s="3312"/>
      <c r="G278" s="3312"/>
      <c r="H278" s="3312"/>
      <c r="I278" s="3312"/>
      <c r="J278" s="3312"/>
    </row>
    <row r="279" spans="2:10" ht="30" customHeight="1" x14ac:dyDescent="0.3">
      <c r="B279" s="3305" t="s">
        <v>434</v>
      </c>
      <c r="C279" s="3312"/>
      <c r="D279" s="3312"/>
      <c r="E279" s="3312"/>
      <c r="F279" s="3312"/>
      <c r="G279" s="3312"/>
      <c r="H279" s="3312"/>
      <c r="I279" s="3312"/>
      <c r="J279" s="3312"/>
    </row>
    <row r="280" spans="2:10" ht="16.5" customHeight="1" x14ac:dyDescent="0.3">
      <c r="B280" s="134" t="s">
        <v>415</v>
      </c>
    </row>
    <row r="281" spans="2:10" ht="16.5" customHeight="1" x14ac:dyDescent="0.3">
      <c r="B281" s="134" t="s">
        <v>391</v>
      </c>
    </row>
    <row r="282" spans="2:10" ht="16.5" customHeight="1" x14ac:dyDescent="0.3">
      <c r="B282" s="134" t="s">
        <v>627</v>
      </c>
    </row>
    <row r="284" spans="2:10" ht="20.100000000000001" customHeight="1" x14ac:dyDescent="0.3">
      <c r="B284" s="3321" t="s">
        <v>332</v>
      </c>
      <c r="C284" s="3363"/>
      <c r="D284" s="3363"/>
      <c r="E284" s="3363"/>
      <c r="F284" s="3363"/>
      <c r="G284" s="3363"/>
      <c r="H284" s="3363"/>
      <c r="I284" s="3363"/>
      <c r="J284" s="3363"/>
    </row>
    <row r="285" spans="2:10" ht="6" customHeight="1" x14ac:dyDescent="0.3"/>
    <row r="286" spans="2:10" s="81" customFormat="1" ht="24.9" customHeight="1" x14ac:dyDescent="0.3">
      <c r="B286" s="3325" t="s">
        <v>333</v>
      </c>
      <c r="C286" s="3326"/>
      <c r="D286" s="3326"/>
      <c r="E286" s="3328"/>
      <c r="F286" s="3328"/>
      <c r="G286" s="3328"/>
      <c r="H286" s="3328"/>
      <c r="I286" s="3328"/>
      <c r="J286" s="3329"/>
    </row>
    <row r="287" spans="2:10" s="113" customFormat="1" ht="30" customHeight="1" x14ac:dyDescent="0.25">
      <c r="B287" s="3306" t="s">
        <v>187</v>
      </c>
      <c r="C287" s="3306"/>
      <c r="D287" s="3306"/>
      <c r="E287" s="3306"/>
      <c r="F287" s="3306"/>
      <c r="G287" s="3306"/>
      <c r="H287" s="3306"/>
      <c r="I287" s="3306"/>
      <c r="J287" s="3306"/>
    </row>
    <row r="288" spans="2:10" s="110" customFormat="1" ht="15" customHeight="1" x14ac:dyDescent="0.25">
      <c r="B288" s="3306" t="s">
        <v>123</v>
      </c>
      <c r="C288" s="3306"/>
      <c r="D288" s="3306"/>
      <c r="E288" s="3306"/>
      <c r="F288" s="3306"/>
      <c r="G288" s="3306"/>
      <c r="H288" s="3306"/>
      <c r="I288" s="3306"/>
      <c r="J288" s="3306"/>
    </row>
    <row r="289" spans="2:10" s="110" customFormat="1" ht="16.5" customHeight="1" x14ac:dyDescent="0.25">
      <c r="B289" s="117" t="s">
        <v>124</v>
      </c>
      <c r="C289" s="113"/>
      <c r="D289" s="113"/>
      <c r="E289" s="113"/>
      <c r="F289" s="113"/>
      <c r="G289" s="113"/>
      <c r="H289" s="113"/>
      <c r="I289" s="113"/>
      <c r="J289" s="113"/>
    </row>
    <row r="290" spans="2:10" s="110" customFormat="1" ht="20.100000000000001" customHeight="1" x14ac:dyDescent="0.25">
      <c r="B290" s="3306" t="s">
        <v>274</v>
      </c>
      <c r="C290" s="3307"/>
      <c r="D290" s="3307"/>
      <c r="E290" s="3307"/>
      <c r="F290" s="3307"/>
      <c r="G290" s="3307"/>
      <c r="H290" s="3307"/>
      <c r="I290" s="3307"/>
      <c r="J290" s="3307"/>
    </row>
    <row r="291" spans="2:10" s="110" customFormat="1" ht="16.5" customHeight="1" x14ac:dyDescent="0.25">
      <c r="B291" s="117" t="s">
        <v>125</v>
      </c>
      <c r="C291" s="113"/>
      <c r="D291" s="113"/>
      <c r="E291" s="113"/>
      <c r="F291" s="113"/>
      <c r="G291" s="113"/>
      <c r="H291" s="113"/>
      <c r="I291" s="113"/>
      <c r="J291" s="113"/>
    </row>
    <row r="292" spans="2:10" s="110" customFormat="1" ht="15" customHeight="1" x14ac:dyDescent="0.25">
      <c r="B292" s="3306" t="s">
        <v>404</v>
      </c>
      <c r="C292" s="3307"/>
      <c r="D292" s="3307"/>
      <c r="E292" s="3307"/>
      <c r="F292" s="3307"/>
      <c r="G292" s="3307"/>
      <c r="H292" s="3307"/>
      <c r="I292" s="3307"/>
      <c r="J292" s="3307"/>
    </row>
    <row r="293" spans="2:10" s="110" customFormat="1" ht="31.5" customHeight="1" x14ac:dyDescent="0.25">
      <c r="B293" s="127"/>
      <c r="C293" s="130"/>
      <c r="D293" s="130"/>
      <c r="E293" s="130"/>
      <c r="F293" s="130"/>
      <c r="G293" s="130"/>
      <c r="H293" s="130"/>
      <c r="I293" s="130"/>
      <c r="J293" s="130"/>
    </row>
    <row r="294" spans="2:10" s="110" customFormat="1" ht="16.5" customHeight="1" x14ac:dyDescent="0.25">
      <c r="B294" s="117" t="s">
        <v>126</v>
      </c>
      <c r="C294" s="113"/>
      <c r="D294" s="113"/>
      <c r="E294" s="113"/>
      <c r="F294" s="113"/>
      <c r="G294" s="113"/>
      <c r="H294" s="113"/>
      <c r="I294" s="113"/>
      <c r="J294" s="113"/>
    </row>
    <row r="295" spans="2:10" s="110" customFormat="1" ht="25.5" customHeight="1" x14ac:dyDescent="0.25">
      <c r="B295" s="3306" t="s">
        <v>104</v>
      </c>
      <c r="C295" s="3307"/>
      <c r="D295" s="3307"/>
      <c r="E295" s="3307"/>
      <c r="F295" s="3307"/>
      <c r="G295" s="3307"/>
      <c r="H295" s="3307"/>
      <c r="I295" s="3307"/>
      <c r="J295" s="3307"/>
    </row>
    <row r="296" spans="2:10" s="110" customFormat="1" ht="31.5" customHeight="1" x14ac:dyDescent="0.25">
      <c r="B296" s="127"/>
      <c r="C296" s="130"/>
      <c r="D296" s="130"/>
      <c r="E296" s="130"/>
      <c r="F296" s="130"/>
      <c r="G296" s="130"/>
      <c r="H296" s="130"/>
      <c r="I296" s="130"/>
      <c r="J296" s="130"/>
    </row>
    <row r="297" spans="2:10" s="110" customFormat="1" ht="15" customHeight="1" x14ac:dyDescent="0.25">
      <c r="B297" s="117" t="s">
        <v>127</v>
      </c>
      <c r="C297" s="113"/>
      <c r="D297" s="113"/>
      <c r="E297" s="113"/>
      <c r="F297" s="113"/>
      <c r="G297" s="113"/>
      <c r="H297" s="113"/>
      <c r="I297" s="113"/>
      <c r="J297" s="113"/>
    </row>
    <row r="298" spans="2:10" s="110" customFormat="1" ht="14.4" customHeight="1" x14ac:dyDescent="0.25">
      <c r="B298" s="127" t="s">
        <v>273</v>
      </c>
      <c r="C298" s="113"/>
      <c r="D298" s="113"/>
      <c r="E298" s="113"/>
      <c r="F298" s="113"/>
      <c r="G298" s="113"/>
      <c r="H298" s="113"/>
      <c r="I298" s="113"/>
      <c r="J298" s="113"/>
    </row>
    <row r="299" spans="2:10" s="110" customFormat="1" ht="31.5" customHeight="1" x14ac:dyDescent="0.25">
      <c r="B299" s="127"/>
      <c r="C299" s="113"/>
      <c r="D299" s="113"/>
      <c r="E299" s="113"/>
      <c r="F299" s="113"/>
      <c r="G299" s="113"/>
      <c r="H299" s="113"/>
      <c r="I299" s="113"/>
      <c r="J299" s="113"/>
    </row>
    <row r="300" spans="2:10" s="110" customFormat="1" ht="16.5" customHeight="1" x14ac:dyDescent="0.25">
      <c r="B300" s="117" t="s">
        <v>275</v>
      </c>
      <c r="C300" s="113"/>
      <c r="D300" s="113"/>
      <c r="E300" s="113"/>
      <c r="F300" s="113"/>
      <c r="G300" s="113"/>
      <c r="H300" s="113"/>
      <c r="I300" s="113"/>
      <c r="J300" s="113"/>
    </row>
    <row r="301" spans="2:10" s="110" customFormat="1" ht="45" customHeight="1" x14ac:dyDescent="0.25">
      <c r="B301" s="3306" t="s">
        <v>128</v>
      </c>
      <c r="C301" s="3307"/>
      <c r="D301" s="3307"/>
      <c r="E301" s="3307"/>
      <c r="F301" s="3307"/>
      <c r="G301" s="3307"/>
      <c r="H301" s="3307"/>
      <c r="I301" s="3307"/>
      <c r="J301" s="3307"/>
    </row>
    <row r="302" spans="2:10" s="110" customFormat="1" ht="15" customHeight="1" x14ac:dyDescent="0.25">
      <c r="B302" s="3306" t="s">
        <v>262</v>
      </c>
      <c r="C302" s="3307"/>
      <c r="D302" s="3307"/>
      <c r="E302" s="3307"/>
      <c r="F302" s="3307"/>
      <c r="G302" s="3307"/>
      <c r="H302" s="3307"/>
      <c r="I302" s="3307"/>
      <c r="J302" s="3307"/>
    </row>
    <row r="303" spans="2:10" s="110" customFormat="1" ht="15" customHeight="1" x14ac:dyDescent="0.25">
      <c r="B303" s="3308" t="s">
        <v>250</v>
      </c>
      <c r="C303" s="3307"/>
      <c r="D303" s="3307"/>
      <c r="E303" s="3307"/>
      <c r="F303" s="3307"/>
      <c r="G303" s="3307"/>
      <c r="H303" s="3307"/>
      <c r="I303" s="3307"/>
      <c r="J303" s="3307"/>
    </row>
    <row r="304" spans="2:10" s="110" customFormat="1" ht="15" customHeight="1" x14ac:dyDescent="0.25">
      <c r="B304" s="3308" t="s">
        <v>251</v>
      </c>
      <c r="C304" s="3307"/>
      <c r="D304" s="3307"/>
      <c r="E304" s="3307"/>
      <c r="F304" s="3307"/>
      <c r="G304" s="3307"/>
      <c r="H304" s="3307"/>
      <c r="I304" s="3307"/>
      <c r="J304" s="3307"/>
    </row>
    <row r="305" spans="2:10" s="110" customFormat="1" ht="15" customHeight="1" x14ac:dyDescent="0.25">
      <c r="B305" s="3308" t="s">
        <v>426</v>
      </c>
      <c r="C305" s="3307"/>
      <c r="D305" s="3307"/>
      <c r="E305" s="3307"/>
      <c r="F305" s="3307"/>
      <c r="G305" s="3307"/>
      <c r="H305" s="3307"/>
      <c r="I305" s="3307"/>
      <c r="J305" s="3307"/>
    </row>
    <row r="306" spans="2:10" s="110" customFormat="1" ht="12.75" customHeight="1" x14ac:dyDescent="0.25">
      <c r="B306" s="3306" t="s">
        <v>387</v>
      </c>
      <c r="C306" s="3307"/>
      <c r="D306" s="3307"/>
      <c r="E306" s="3307"/>
      <c r="F306" s="3307"/>
      <c r="G306" s="3307"/>
      <c r="H306" s="3307"/>
      <c r="I306" s="3307"/>
      <c r="J306" s="3307"/>
    </row>
    <row r="307" spans="2:10" s="110" customFormat="1" ht="45" customHeight="1" x14ac:dyDescent="0.25">
      <c r="B307" s="3306" t="s">
        <v>253</v>
      </c>
      <c r="C307" s="3307"/>
      <c r="D307" s="3307"/>
      <c r="E307" s="3307"/>
      <c r="F307" s="3307"/>
      <c r="G307" s="3307"/>
      <c r="H307" s="3307"/>
      <c r="I307" s="3307"/>
      <c r="J307" s="3307"/>
    </row>
    <row r="308" spans="2:10" s="110" customFormat="1" ht="30" customHeight="1" x14ac:dyDescent="0.25">
      <c r="B308" s="3306" t="s">
        <v>208</v>
      </c>
      <c r="C308" s="3307"/>
      <c r="D308" s="3307"/>
      <c r="E308" s="3307"/>
      <c r="F308" s="3307"/>
      <c r="G308" s="3307"/>
      <c r="H308" s="3307"/>
      <c r="I308" s="3307"/>
      <c r="J308" s="3307"/>
    </row>
    <row r="309" spans="2:10" ht="3" customHeight="1" x14ac:dyDescent="0.3"/>
    <row r="310" spans="2:10" ht="24.9" customHeight="1" x14ac:dyDescent="0.3">
      <c r="B310" s="3309" t="s">
        <v>53</v>
      </c>
      <c r="C310" s="3310"/>
      <c r="D310" s="3310"/>
      <c r="E310" s="3310"/>
      <c r="F310" s="3310"/>
      <c r="G310" s="3310"/>
      <c r="H310" s="3310"/>
      <c r="I310" s="3310"/>
      <c r="J310" s="3311"/>
    </row>
    <row r="311" spans="2:10" s="87" customFormat="1" ht="16.5" customHeight="1" x14ac:dyDescent="0.3">
      <c r="B311" s="283" t="s">
        <v>184</v>
      </c>
    </row>
    <row r="312" spans="2:10" ht="16.5" customHeight="1" x14ac:dyDescent="0.3">
      <c r="B312" s="283" t="s">
        <v>627</v>
      </c>
    </row>
    <row r="314" spans="2:10" s="87" customFormat="1" ht="6" customHeight="1" x14ac:dyDescent="0.3">
      <c r="B314" s="101"/>
    </row>
    <row r="315" spans="2:10" s="87" customFormat="1" ht="24.9" customHeight="1" x14ac:dyDescent="0.3">
      <c r="B315" s="3325" t="s">
        <v>344</v>
      </c>
      <c r="C315" s="3326"/>
      <c r="D315" s="3326"/>
      <c r="E315" s="3326"/>
      <c r="F315" s="3326"/>
      <c r="G315" s="3326"/>
      <c r="H315" s="3326"/>
      <c r="I315" s="3326"/>
      <c r="J315" s="3327"/>
    </row>
    <row r="316" spans="2:10" s="87" customFormat="1" ht="3" customHeight="1" x14ac:dyDescent="0.3">
      <c r="B316" s="109"/>
    </row>
    <row r="317" spans="2:10" s="87" customFormat="1" ht="20.100000000000001" customHeight="1" x14ac:dyDescent="0.3">
      <c r="B317" s="3324" t="s">
        <v>285</v>
      </c>
      <c r="C317" s="2166"/>
      <c r="D317" s="2166"/>
      <c r="E317" s="2166"/>
      <c r="F317" s="2166"/>
      <c r="G317" s="2166"/>
      <c r="H317" s="2166"/>
      <c r="I317" s="2166"/>
      <c r="J317" s="2166"/>
    </row>
    <row r="318" spans="2:10" s="87" customFormat="1" ht="15" customHeight="1" x14ac:dyDescent="0.3">
      <c r="B318" s="3299" t="s">
        <v>362</v>
      </c>
      <c r="C318" s="3300"/>
      <c r="D318" s="3300"/>
      <c r="E318" s="3300"/>
      <c r="F318" s="3300"/>
      <c r="G318" s="3300"/>
      <c r="H318" s="3300"/>
      <c r="I318" s="3300"/>
      <c r="J318" s="3300"/>
    </row>
    <row r="319" spans="2:10" s="87" customFormat="1" ht="15" customHeight="1" x14ac:dyDescent="0.3">
      <c r="B319" s="3299" t="s">
        <v>363</v>
      </c>
      <c r="C319" s="3300"/>
      <c r="D319" s="3300"/>
      <c r="E319" s="3300"/>
      <c r="F319" s="3300"/>
      <c r="G319" s="3300"/>
      <c r="H319" s="3300"/>
      <c r="I319" s="3300"/>
      <c r="J319" s="3300"/>
    </row>
    <row r="320" spans="2:10" s="87" customFormat="1" ht="15" customHeight="1" x14ac:dyDescent="0.3">
      <c r="B320" s="3299" t="s">
        <v>309</v>
      </c>
      <c r="C320" s="3300"/>
      <c r="D320" s="3300"/>
      <c r="E320" s="3300"/>
      <c r="F320" s="3300"/>
      <c r="G320" s="3300"/>
      <c r="H320" s="3300"/>
      <c r="I320" s="3300"/>
      <c r="J320" s="3300"/>
    </row>
    <row r="321" spans="2:10" s="87" customFormat="1" ht="15" customHeight="1" x14ac:dyDescent="0.3">
      <c r="B321" s="3299" t="s">
        <v>254</v>
      </c>
      <c r="C321" s="3300"/>
      <c r="D321" s="3300"/>
      <c r="E321" s="3300"/>
      <c r="F321" s="3300"/>
      <c r="G321" s="3300"/>
      <c r="H321" s="3300"/>
      <c r="I321" s="3300"/>
      <c r="J321" s="3300"/>
    </row>
    <row r="322" spans="2:10" s="87" customFormat="1" ht="15" customHeight="1" x14ac:dyDescent="0.3">
      <c r="B322" s="3299" t="s">
        <v>388</v>
      </c>
      <c r="C322" s="3300"/>
      <c r="D322" s="3300"/>
      <c r="E322" s="3300"/>
      <c r="F322" s="3300"/>
      <c r="G322" s="3300"/>
      <c r="H322" s="3300"/>
      <c r="I322" s="3300"/>
      <c r="J322" s="3300"/>
    </row>
    <row r="323" spans="2:10" s="87" customFormat="1" ht="30" customHeight="1" x14ac:dyDescent="0.3">
      <c r="B323" s="3317" t="s">
        <v>384</v>
      </c>
      <c r="C323" s="3300"/>
      <c r="D323" s="3300"/>
      <c r="E323" s="3300"/>
      <c r="F323" s="3300"/>
      <c r="G323" s="3300"/>
      <c r="H323" s="3300"/>
      <c r="I323" s="3300"/>
      <c r="J323" s="3300"/>
    </row>
    <row r="324" spans="2:10" s="87" customFormat="1" ht="15" customHeight="1" x14ac:dyDescent="0.3">
      <c r="B324" s="135" t="s">
        <v>299</v>
      </c>
    </row>
  </sheetData>
  <sheetProtection algorithmName="SHA-512" hashValue="bJzkl3wj3zqajCnr2eJS4O1FA0uimu8ld10wOHCQZfiyqXZQ99+m3Vwr70zCXNs19xjqbE2GbUmuq86Rlp3Ayw==" saltValue="iAujWDdjs5VFAGByjMwzZg==" spinCount="100000" sheet="1" objects="1" scenarios="1"/>
  <mergeCells count="206">
    <mergeCell ref="B251:J251"/>
    <mergeCell ref="B245:J245"/>
    <mergeCell ref="B246:J246"/>
    <mergeCell ref="B248:J248"/>
    <mergeCell ref="B234:J234"/>
    <mergeCell ref="B241:I241"/>
    <mergeCell ref="B237:J237"/>
    <mergeCell ref="B240:J240"/>
    <mergeCell ref="B185:J185"/>
    <mergeCell ref="B182:J182"/>
    <mergeCell ref="B224:I224"/>
    <mergeCell ref="B227:J227"/>
    <mergeCell ref="B221:I221"/>
    <mergeCell ref="B222:I222"/>
    <mergeCell ref="B223:J223"/>
    <mergeCell ref="B191:J191"/>
    <mergeCell ref="B196:J196"/>
    <mergeCell ref="B204:J204"/>
    <mergeCell ref="B203:J203"/>
    <mergeCell ref="B195:J195"/>
    <mergeCell ref="B198:J198"/>
    <mergeCell ref="B175:J175"/>
    <mergeCell ref="B193:J193"/>
    <mergeCell ref="B186:J186"/>
    <mergeCell ref="B189:J189"/>
    <mergeCell ref="B176:J176"/>
    <mergeCell ref="B184:J184"/>
    <mergeCell ref="B232:J232"/>
    <mergeCell ref="B273:J273"/>
    <mergeCell ref="B131:J131"/>
    <mergeCell ref="B187:J187"/>
    <mergeCell ref="B217:J217"/>
    <mergeCell ref="B225:J225"/>
    <mergeCell ref="B192:J192"/>
    <mergeCell ref="B179:J179"/>
    <mergeCell ref="B177:J177"/>
    <mergeCell ref="B226:J226"/>
    <mergeCell ref="B219:J219"/>
    <mergeCell ref="B213:J213"/>
    <mergeCell ref="B208:J208"/>
    <mergeCell ref="B211:J211"/>
    <mergeCell ref="B210:J210"/>
    <mergeCell ref="B220:J220"/>
    <mergeCell ref="B199:J199"/>
    <mergeCell ref="B255:J255"/>
    <mergeCell ref="B274:J274"/>
    <mergeCell ref="B269:J269"/>
    <mergeCell ref="B271:J271"/>
    <mergeCell ref="B272:J272"/>
    <mergeCell ref="B301:J301"/>
    <mergeCell ref="B302:J302"/>
    <mergeCell ref="B303:J303"/>
    <mergeCell ref="B288:J288"/>
    <mergeCell ref="B284:J284"/>
    <mergeCell ref="B287:J287"/>
    <mergeCell ref="B270:J270"/>
    <mergeCell ref="B307:J307"/>
    <mergeCell ref="B276:J276"/>
    <mergeCell ref="B277:J277"/>
    <mergeCell ref="B140:J140"/>
    <mergeCell ref="B146:J146"/>
    <mergeCell ref="B141:J141"/>
    <mergeCell ref="B142:J142"/>
    <mergeCell ref="B144:J144"/>
    <mergeCell ref="B30:J30"/>
    <mergeCell ref="B31:J31"/>
    <mergeCell ref="B44:J44"/>
    <mergeCell ref="B46:J46"/>
    <mergeCell ref="B92:J92"/>
    <mergeCell ref="B94:J94"/>
    <mergeCell ref="B85:J85"/>
    <mergeCell ref="B64:J64"/>
    <mergeCell ref="B42:J42"/>
    <mergeCell ref="B59:J59"/>
    <mergeCell ref="B126:J126"/>
    <mergeCell ref="B109:J109"/>
    <mergeCell ref="B105:J105"/>
    <mergeCell ref="B139:J139"/>
    <mergeCell ref="B138:J138"/>
    <mergeCell ref="B60:J60"/>
    <mergeCell ref="B61:J61"/>
    <mergeCell ref="B48:I48"/>
    <mergeCell ref="B2:J2"/>
    <mergeCell ref="B26:J26"/>
    <mergeCell ref="B27:J27"/>
    <mergeCell ref="B28:J28"/>
    <mergeCell ref="B10:J10"/>
    <mergeCell ref="B4:J4"/>
    <mergeCell ref="B6:J6"/>
    <mergeCell ref="B19:J19"/>
    <mergeCell ref="B21:J21"/>
    <mergeCell ref="B17:J17"/>
    <mergeCell ref="B52:J52"/>
    <mergeCell ref="B7:J7"/>
    <mergeCell ref="B8:J8"/>
    <mergeCell ref="B12:J12"/>
    <mergeCell ref="B24:J24"/>
    <mergeCell ref="B18:J18"/>
    <mergeCell ref="B14:I14"/>
    <mergeCell ref="B9:J9"/>
    <mergeCell ref="B15:J15"/>
    <mergeCell ref="B16:J16"/>
    <mergeCell ref="B128:J128"/>
    <mergeCell ref="B129:J129"/>
    <mergeCell ref="B107:J107"/>
    <mergeCell ref="B100:J100"/>
    <mergeCell ref="B104:J104"/>
    <mergeCell ref="B108:J108"/>
    <mergeCell ref="B43:J43"/>
    <mergeCell ref="B47:J47"/>
    <mergeCell ref="B70:J70"/>
    <mergeCell ref="B77:J77"/>
    <mergeCell ref="B71:J71"/>
    <mergeCell ref="B66:J66"/>
    <mergeCell ref="B69:J69"/>
    <mergeCell ref="B123:J123"/>
    <mergeCell ref="B119:J119"/>
    <mergeCell ref="B115:J115"/>
    <mergeCell ref="B121:J121"/>
    <mergeCell ref="B122:J122"/>
    <mergeCell ref="B81:J81"/>
    <mergeCell ref="B116:J116"/>
    <mergeCell ref="B73:J73"/>
    <mergeCell ref="B114:J114"/>
    <mergeCell ref="B58:J58"/>
    <mergeCell ref="B113:J113"/>
    <mergeCell ref="B147:J147"/>
    <mergeCell ref="B174:J174"/>
    <mergeCell ref="B172:J172"/>
    <mergeCell ref="B170:J170"/>
    <mergeCell ref="B159:J159"/>
    <mergeCell ref="B160:J160"/>
    <mergeCell ref="B163:J163"/>
    <mergeCell ref="B164:J164"/>
    <mergeCell ref="B167:J167"/>
    <mergeCell ref="B173:J173"/>
    <mergeCell ref="B171:J171"/>
    <mergeCell ref="B157:J157"/>
    <mergeCell ref="B153:J153"/>
    <mergeCell ref="B148:J148"/>
    <mergeCell ref="B168:J168"/>
    <mergeCell ref="B169:J169"/>
    <mergeCell ref="B151:J151"/>
    <mergeCell ref="B162:J162"/>
    <mergeCell ref="B158:J158"/>
    <mergeCell ref="B161:J161"/>
    <mergeCell ref="B154:J154"/>
    <mergeCell ref="B79:J79"/>
    <mergeCell ref="B96:J96"/>
    <mergeCell ref="B112:J112"/>
    <mergeCell ref="B87:J87"/>
    <mergeCell ref="B99:J99"/>
    <mergeCell ref="B106:J106"/>
    <mergeCell ref="B111:J111"/>
    <mergeCell ref="B80:J80"/>
    <mergeCell ref="B95:J95"/>
    <mergeCell ref="B98:J98"/>
    <mergeCell ref="B102:C102"/>
    <mergeCell ref="B323:J323"/>
    <mergeCell ref="B190:J190"/>
    <mergeCell ref="B201:J201"/>
    <mergeCell ref="B205:J205"/>
    <mergeCell ref="B318:J318"/>
    <mergeCell ref="B319:J319"/>
    <mergeCell ref="B258:J258"/>
    <mergeCell ref="B261:J261"/>
    <mergeCell ref="B256:J256"/>
    <mergeCell ref="B235:J235"/>
    <mergeCell ref="B236:J236"/>
    <mergeCell ref="B320:J320"/>
    <mergeCell ref="B239:J239"/>
    <mergeCell ref="B243:I243"/>
    <mergeCell ref="B264:J264"/>
    <mergeCell ref="B265:J265"/>
    <mergeCell ref="B317:J317"/>
    <mergeCell ref="B278:J278"/>
    <mergeCell ref="B279:J279"/>
    <mergeCell ref="B315:J315"/>
    <mergeCell ref="B286:J286"/>
    <mergeCell ref="B267:J267"/>
    <mergeCell ref="B266:J266"/>
    <mergeCell ref="B250:I250"/>
    <mergeCell ref="B321:J321"/>
    <mergeCell ref="B322:J322"/>
    <mergeCell ref="B244:J244"/>
    <mergeCell ref="B228:J228"/>
    <mergeCell ref="B229:J229"/>
    <mergeCell ref="B231:J231"/>
    <mergeCell ref="B242:J242"/>
    <mergeCell ref="B252:J252"/>
    <mergeCell ref="B247:J247"/>
    <mergeCell ref="B249:J249"/>
    <mergeCell ref="B253:J253"/>
    <mergeCell ref="B290:J290"/>
    <mergeCell ref="B304:J304"/>
    <mergeCell ref="B292:J292"/>
    <mergeCell ref="B295:J295"/>
    <mergeCell ref="B310:J310"/>
    <mergeCell ref="B305:J305"/>
    <mergeCell ref="B308:J308"/>
    <mergeCell ref="B306:J306"/>
    <mergeCell ref="B268:J268"/>
    <mergeCell ref="B230:J230"/>
    <mergeCell ref="B263:J263"/>
    <mergeCell ref="B233:J233"/>
    <mergeCell ref="B257:J257"/>
  </mergeCells>
  <phoneticPr fontId="0" type="noConversion"/>
  <hyperlinks>
    <hyperlink ref="B281" location="Comprendre!B89" display="voir définition du besoin en fonds de roulement" xr:uid="{00000000-0004-0000-0D00-000000000000}"/>
    <hyperlink ref="B280" location="Comprendre!B205" display="voir définition du  fonds de roulement" xr:uid="{00000000-0004-0000-0D00-000001000000}"/>
    <hyperlink ref="B22" location="'Chiffre d''affaires'!E1" display="retour au chiffre d'affaires prévu" xr:uid="{00000000-0004-0000-0D00-000002000000}"/>
    <hyperlink ref="B215" location="Comprendre!B261" display="voir définition du plan de financement de départ" xr:uid="{00000000-0004-0000-0D00-000003000000}"/>
    <hyperlink ref="B214" location="Comprendre!B91" display="voir définition du besoin en fonds de roulement" xr:uid="{00000000-0004-0000-0D00-000004000000}"/>
    <hyperlink ref="B62" location="'Moyens d''exploitation'!D1" display="Retour aux moyens d'exploitation" xr:uid="{00000000-0004-0000-0D00-000005000000}"/>
    <hyperlink ref="B83" location="'Plan de financement'!H35" display="Retour au plan de financement" xr:uid="{00000000-0004-0000-0D00-000006000000}"/>
    <hyperlink ref="B82" location="'Moyens d''exploitation'!D1" display="Retour aux moyens d'exploitation" xr:uid="{00000000-0004-0000-0D00-000007000000}"/>
    <hyperlink ref="B149" location="'Compte de résulat prévisionnel'!C1" display="Retour au compte de résultat prévisionnel" xr:uid="{00000000-0004-0000-0D00-000008000000}"/>
    <hyperlink ref="B180" location="'plan de financement'!J79" display="Retour au détail des concours bancaires du plan de financement" xr:uid="{00000000-0004-0000-0D00-000009000000}"/>
    <hyperlink ref="B88" r:id="rId1" xr:uid="{00000000-0004-0000-0D00-00000A000000}"/>
    <hyperlink ref="B282" location="'plan de financement'!B1" display="Retour au plan de financement" xr:uid="{00000000-0004-0000-0D00-00000B000000}"/>
    <hyperlink ref="B259" location="'Moyens d''exploitation'!A1" display="Retour aux moyens d'exploitation" xr:uid="{00000000-0004-0000-0D00-00000C000000}"/>
    <hyperlink ref="B238" location="Comprendre!B23" display="voir définition des amortissements" xr:uid="{00000000-0004-0000-0D00-00000D000000}"/>
    <hyperlink ref="B312" location="'plan de financement'!B1" display="Retour au plan de financement" xr:uid="{00000000-0004-0000-0D00-00000E000000}"/>
    <hyperlink ref="B311" location="Comprendre!B147" display="Voir définition des crédits bancaires à court terme" xr:uid="{00000000-0004-0000-0D00-00000F000000}"/>
    <hyperlink ref="B89" r:id="rId2" xr:uid="{00000000-0004-0000-0D00-000010000000}"/>
    <hyperlink ref="B324" location="'plan de financement initial'!B35" display="Retour" xr:uid="{00000000-0004-0000-0D00-000011000000}"/>
    <hyperlink ref="B124" location="'Plan de financement'!C49" display="Retour au plan de financement" xr:uid="{00000000-0004-0000-0D00-000012000000}"/>
    <hyperlink ref="B90" location="'Plan de financement'!C49" display="Retour au plan de financement" xr:uid="{00000000-0004-0000-0D00-000013000000}"/>
    <hyperlink ref="B206" location="'Plan de financement'!C49" display="Retour au plan de financement" xr:uid="{00000000-0004-0000-0D00-000014000000}"/>
    <hyperlink ref="B75" location="'Plan de financement'!G34" display="Retour au plan de financement" xr:uid="{00000000-0004-0000-0D00-000015000000}"/>
    <hyperlink ref="B74" location="Comprendre!B118" display="voir définition du compte courant d'associé" xr:uid="{00000000-0004-0000-0D00-000016000000}"/>
    <hyperlink ref="B216" location="'plan de financement'!B1" display="Retour au plan de financement" xr:uid="{00000000-0004-0000-0D00-000017000000}"/>
    <hyperlink ref="B117" location="Bfr!E1" display="Retour au calcul du BFR" xr:uid="{00000000-0004-0000-0D00-000018000000}"/>
  </hyperlinks>
  <pageMargins left="0" right="0" top="0" bottom="0" header="0" footer="0"/>
  <headerFooter alignWithMargins="0"/>
  <drawing r:id="rId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2">
    <tabColor theme="1"/>
    <pageSetUpPr fitToPage="1"/>
  </sheetPr>
  <dimension ref="B1:AI43"/>
  <sheetViews>
    <sheetView showGridLines="0" showRowColHeaders="0" workbookViewId="0">
      <selection activeCell="B2" sqref="B2:R2"/>
    </sheetView>
  </sheetViews>
  <sheetFormatPr baseColWidth="10" defaultColWidth="10.77734375" defaultRowHeight="13.8" x14ac:dyDescent="0.3"/>
  <cols>
    <col min="1" max="1" width="1.77734375" style="14" customWidth="1"/>
    <col min="2" max="2" width="12.77734375" style="14" customWidth="1"/>
    <col min="3" max="3" width="21.77734375" style="14" customWidth="1"/>
    <col min="4" max="11" width="13.77734375" style="14" customWidth="1"/>
    <col min="12" max="12" width="1" style="15" customWidth="1"/>
    <col min="13" max="13" width="12.77734375" style="14" customWidth="1"/>
    <col min="14" max="17" width="13.77734375" style="14" customWidth="1"/>
    <col min="18" max="33" width="10.77734375" style="363"/>
    <col min="34" max="16384" width="10.77734375" style="14"/>
  </cols>
  <sheetData>
    <row r="1" spans="2:34" ht="6" customHeight="1" x14ac:dyDescent="0.3"/>
    <row r="2" spans="2:34" s="203" customFormat="1" ht="21.9" customHeight="1" x14ac:dyDescent="0.35">
      <c r="B2" s="3370" t="s">
        <v>135</v>
      </c>
      <c r="C2" s="3371"/>
      <c r="D2" s="3371"/>
      <c r="E2" s="3371"/>
      <c r="F2" s="3371"/>
      <c r="G2" s="3371"/>
      <c r="H2" s="3371"/>
      <c r="I2" s="3371"/>
      <c r="J2" s="3371"/>
      <c r="K2" s="3371"/>
      <c r="L2" s="3371"/>
      <c r="M2" s="3371"/>
      <c r="N2" s="3371"/>
      <c r="O2" s="3371"/>
      <c r="P2" s="3371"/>
      <c r="Q2" s="3371"/>
      <c r="R2" s="3372"/>
      <c r="S2" s="901"/>
      <c r="T2" s="901"/>
      <c r="U2" s="901"/>
      <c r="V2" s="901"/>
      <c r="W2" s="901"/>
      <c r="X2" s="901"/>
      <c r="Y2" s="901"/>
      <c r="Z2" s="901"/>
      <c r="AA2" s="901"/>
      <c r="AB2" s="901"/>
      <c r="AC2" s="901"/>
      <c r="AD2" s="901"/>
      <c r="AE2" s="901"/>
      <c r="AF2" s="901"/>
      <c r="AG2" s="901"/>
      <c r="AH2" s="901"/>
    </row>
    <row r="3" spans="2:34" ht="13.5" customHeight="1" x14ac:dyDescent="0.3"/>
    <row r="4" spans="2:34" ht="21.9" customHeight="1" x14ac:dyDescent="0.3">
      <c r="B4" s="900" t="s">
        <v>136</v>
      </c>
      <c r="C4" s="3453" t="str">
        <f>IF(ISBLANK(dossier)," ",dossier)</f>
        <v xml:space="preserve"> </v>
      </c>
      <c r="D4" s="3454"/>
      <c r="E4" s="3454"/>
      <c r="F4" s="3455"/>
      <c r="I4" s="1867" t="s">
        <v>518</v>
      </c>
      <c r="J4" s="3467" t="str">
        <f>IF(ISBLANK(commune)," ",commune)</f>
        <v xml:space="preserve"> </v>
      </c>
      <c r="K4" s="3468"/>
      <c r="L4" s="3468"/>
      <c r="M4" s="3468"/>
      <c r="N4" s="3469"/>
      <c r="R4" s="14"/>
      <c r="AH4" s="363"/>
    </row>
    <row r="5" spans="2:34" s="15" customFormat="1" ht="9.9" customHeight="1" x14ac:dyDescent="0.3">
      <c r="B5" s="327"/>
      <c r="C5" s="327"/>
      <c r="D5" s="327"/>
      <c r="S5" s="364"/>
      <c r="T5" s="364"/>
      <c r="U5" s="364"/>
      <c r="V5" s="364"/>
      <c r="W5" s="364"/>
      <c r="X5" s="364"/>
      <c r="Y5" s="364"/>
      <c r="Z5" s="364"/>
      <c r="AA5" s="364"/>
      <c r="AB5" s="364"/>
      <c r="AC5" s="364"/>
      <c r="AD5" s="364"/>
      <c r="AE5" s="364"/>
      <c r="AF5" s="364"/>
      <c r="AG5" s="364"/>
      <c r="AH5" s="364"/>
    </row>
    <row r="6" spans="2:34" ht="20.100000000000001" customHeight="1" x14ac:dyDescent="0.3">
      <c r="B6" s="3456" t="s">
        <v>513</v>
      </c>
      <c r="C6" s="3457"/>
      <c r="D6" s="1405" t="s">
        <v>339</v>
      </c>
      <c r="E6" s="3473" t="s">
        <v>137</v>
      </c>
      <c r="F6" s="3473"/>
      <c r="G6" s="3428" t="s">
        <v>745</v>
      </c>
      <c r="H6" s="3489" t="s">
        <v>83</v>
      </c>
      <c r="I6" s="3490"/>
      <c r="J6" s="3491"/>
      <c r="K6" s="3497" t="s">
        <v>43</v>
      </c>
      <c r="L6" s="3498"/>
      <c r="M6" s="3498"/>
      <c r="N6" s="3498"/>
      <c r="O6" s="3498"/>
      <c r="P6" s="3498"/>
      <c r="Q6" s="3498"/>
      <c r="R6" s="3499"/>
      <c r="AH6" s="363"/>
    </row>
    <row r="7" spans="2:34" ht="30" customHeight="1" x14ac:dyDescent="0.3">
      <c r="B7" s="3458"/>
      <c r="C7" s="3459"/>
      <c r="D7" s="1785" t="s">
        <v>85</v>
      </c>
      <c r="E7" s="1740" t="s">
        <v>319</v>
      </c>
      <c r="F7" s="1783" t="s">
        <v>29</v>
      </c>
      <c r="G7" s="3429"/>
      <c r="H7" s="3492"/>
      <c r="I7" s="3379"/>
      <c r="J7" s="3493"/>
      <c r="K7" s="1412" t="s">
        <v>452</v>
      </c>
      <c r="L7" s="3463" t="s">
        <v>290</v>
      </c>
      <c r="M7" s="3463"/>
      <c r="N7" s="1784" t="s">
        <v>138</v>
      </c>
      <c r="O7" s="1784" t="s">
        <v>84</v>
      </c>
      <c r="P7" s="3379" t="s">
        <v>83</v>
      </c>
      <c r="Q7" s="3379"/>
      <c r="R7" s="3380"/>
      <c r="T7" s="1027">
        <f>(F10-E10)</f>
        <v>0</v>
      </c>
      <c r="U7" s="862">
        <v>0</v>
      </c>
      <c r="V7" s="862">
        <v>0</v>
      </c>
      <c r="W7" s="862">
        <v>0</v>
      </c>
      <c r="X7" s="862">
        <v>0</v>
      </c>
      <c r="Y7" s="862">
        <v>0</v>
      </c>
      <c r="Z7" s="862">
        <v>0</v>
      </c>
      <c r="AA7" s="862">
        <v>1</v>
      </c>
      <c r="AB7" s="1028">
        <v>2</v>
      </c>
      <c r="AC7" s="862">
        <v>3</v>
      </c>
      <c r="AD7" s="862">
        <v>4</v>
      </c>
      <c r="AE7" s="862">
        <v>5</v>
      </c>
      <c r="AH7" s="363"/>
    </row>
    <row r="8" spans="2:34" ht="20.100000000000001" customHeight="1" x14ac:dyDescent="0.3">
      <c r="B8" s="3462" t="s">
        <v>320</v>
      </c>
      <c r="C8" s="2147"/>
      <c r="D8" s="3483">
        <f>k_herrikoa</f>
        <v>0</v>
      </c>
      <c r="E8" s="1410" t="s">
        <v>746</v>
      </c>
      <c r="F8" s="1781"/>
      <c r="G8" s="1411"/>
      <c r="H8" s="3381"/>
      <c r="I8" s="3494"/>
      <c r="J8" s="3494"/>
      <c r="K8" s="3478"/>
      <c r="L8" s="3464"/>
      <c r="M8" s="3464"/>
      <c r="N8" s="3386"/>
      <c r="O8" s="3389"/>
      <c r="P8" s="3381"/>
      <c r="Q8" s="3381"/>
      <c r="R8" s="3382"/>
      <c r="T8" s="1029"/>
      <c r="U8" s="1030">
        <f t="shared" ref="U8:Z8" si="0">V8-1</f>
        <v>-5</v>
      </c>
      <c r="V8" s="1030">
        <f t="shared" si="0"/>
        <v>-4</v>
      </c>
      <c r="W8" s="1030">
        <f t="shared" si="0"/>
        <v>-3</v>
      </c>
      <c r="X8" s="1030">
        <f t="shared" si="0"/>
        <v>-2</v>
      </c>
      <c r="Y8" s="1030">
        <f t="shared" si="0"/>
        <v>-1</v>
      </c>
      <c r="Z8" s="1030">
        <f t="shared" si="0"/>
        <v>0</v>
      </c>
      <c r="AA8" s="1030">
        <f>F10-(T7-1)</f>
        <v>1</v>
      </c>
      <c r="AB8" s="1030">
        <f>IF(AB7&lt;=$T$7,AA8+1,0)</f>
        <v>0</v>
      </c>
      <c r="AC8" s="1030">
        <f>IF(AC7&lt;=$T$7,AB8+1,0)</f>
        <v>0</v>
      </c>
      <c r="AD8" s="1030">
        <f>IF(AD7&lt;=$T$7,AC8+1,0)</f>
        <v>0</v>
      </c>
      <c r="AE8" s="1030">
        <f>IF(AE7&lt;=$T$7,AD8+1,0)</f>
        <v>0</v>
      </c>
      <c r="AH8" s="363"/>
    </row>
    <row r="9" spans="2:34" ht="20.100000000000001" customHeight="1" x14ac:dyDescent="0.3">
      <c r="B9" s="3461"/>
      <c r="C9" s="2174"/>
      <c r="D9" s="3484"/>
      <c r="E9" s="1406" t="s">
        <v>747</v>
      </c>
      <c r="F9" s="1782"/>
      <c r="G9" s="1407"/>
      <c r="H9" s="3495"/>
      <c r="I9" s="3495"/>
      <c r="J9" s="3495"/>
      <c r="K9" s="3478"/>
      <c r="L9" s="3465"/>
      <c r="M9" s="3465"/>
      <c r="N9" s="3386"/>
      <c r="O9" s="3389"/>
      <c r="P9" s="3253"/>
      <c r="Q9" s="3253"/>
      <c r="R9" s="3382"/>
      <c r="T9" s="1031" t="s">
        <v>908</v>
      </c>
      <c r="U9" s="1032">
        <f t="shared" ref="U9:AA9" si="1">$D$10</f>
        <v>0</v>
      </c>
      <c r="V9" s="1032">
        <f t="shared" si="1"/>
        <v>0</v>
      </c>
      <c r="W9" s="1032">
        <f t="shared" si="1"/>
        <v>0</v>
      </c>
      <c r="X9" s="1032">
        <f t="shared" si="1"/>
        <v>0</v>
      </c>
      <c r="Y9" s="1032">
        <f t="shared" si="1"/>
        <v>0</v>
      </c>
      <c r="Z9" s="1032">
        <f t="shared" si="1"/>
        <v>0</v>
      </c>
      <c r="AA9" s="1033">
        <f t="shared" si="1"/>
        <v>0</v>
      </c>
      <c r="AB9" s="1033">
        <f>AA9-AA11</f>
        <v>0</v>
      </c>
      <c r="AC9" s="1033">
        <f>AB9-AB11</f>
        <v>0</v>
      </c>
      <c r="AD9" s="1033">
        <f>AC9-AC11</f>
        <v>0</v>
      </c>
      <c r="AE9" s="1033">
        <f>AD9-AD11</f>
        <v>0</v>
      </c>
      <c r="AH9" s="363"/>
    </row>
    <row r="10" spans="2:34" ht="20.100000000000001" customHeight="1" x14ac:dyDescent="0.3">
      <c r="B10" s="3460" t="str">
        <f>IF(ISBLANK('Plan de financement'!C59)," ",'Plan de financement'!C59)</f>
        <v xml:space="preserve"> </v>
      </c>
      <c r="C10" s="3043"/>
      <c r="D10" s="3481">
        <f>HK</f>
        <v>0</v>
      </c>
      <c r="E10" s="3485">
        <f>différé_HK</f>
        <v>0</v>
      </c>
      <c r="F10" s="3487">
        <f>Durée_HK</f>
        <v>0</v>
      </c>
      <c r="G10" s="1408">
        <f>Taux_HK</f>
        <v>0</v>
      </c>
      <c r="H10" s="3383"/>
      <c r="I10" s="3496"/>
      <c r="J10" s="3496"/>
      <c r="K10" s="3479"/>
      <c r="L10" s="3466"/>
      <c r="M10" s="3466"/>
      <c r="N10" s="3387"/>
      <c r="O10" s="3390"/>
      <c r="P10" s="3383"/>
      <c r="Q10" s="3383"/>
      <c r="R10" s="3384"/>
      <c r="T10" s="1031" t="s">
        <v>906</v>
      </c>
      <c r="U10" s="1032">
        <f t="shared" ref="U10:AE10" si="2">U9*$G$10</f>
        <v>0</v>
      </c>
      <c r="V10" s="1032">
        <f t="shared" si="2"/>
        <v>0</v>
      </c>
      <c r="W10" s="1032">
        <f t="shared" si="2"/>
        <v>0</v>
      </c>
      <c r="X10" s="1032">
        <f t="shared" si="2"/>
        <v>0</v>
      </c>
      <c r="Y10" s="1032">
        <f t="shared" si="2"/>
        <v>0</v>
      </c>
      <c r="Z10" s="1032">
        <f t="shared" si="2"/>
        <v>0</v>
      </c>
      <c r="AA10" s="1032">
        <f t="shared" si="2"/>
        <v>0</v>
      </c>
      <c r="AB10" s="1032">
        <f t="shared" si="2"/>
        <v>0</v>
      </c>
      <c r="AC10" s="1032">
        <f t="shared" si="2"/>
        <v>0</v>
      </c>
      <c r="AD10" s="1032">
        <f t="shared" si="2"/>
        <v>0</v>
      </c>
      <c r="AE10" s="1032">
        <f t="shared" si="2"/>
        <v>0</v>
      </c>
      <c r="AH10" s="363"/>
    </row>
    <row r="11" spans="2:34" ht="20.100000000000001" customHeight="1" x14ac:dyDescent="0.3">
      <c r="B11" s="3461"/>
      <c r="C11" s="2174"/>
      <c r="D11" s="3482"/>
      <c r="E11" s="3486"/>
      <c r="F11" s="3488"/>
      <c r="G11" s="1409"/>
      <c r="H11" s="3495"/>
      <c r="I11" s="3495"/>
      <c r="J11" s="3495"/>
      <c r="K11" s="3480"/>
      <c r="L11" s="3465"/>
      <c r="M11" s="3465"/>
      <c r="N11" s="3388"/>
      <c r="O11" s="3391"/>
      <c r="P11" s="2904"/>
      <c r="Q11" s="2904"/>
      <c r="R11" s="3385"/>
      <c r="T11" s="1031" t="s">
        <v>907</v>
      </c>
      <c r="U11" s="1034"/>
      <c r="V11" s="1034"/>
      <c r="W11" s="1034"/>
      <c r="X11" s="1034"/>
      <c r="Y11" s="1034"/>
      <c r="Z11" s="1034"/>
      <c r="AA11" s="1032">
        <f>ROUND(IF(AA7&lt;$T$7,$D$10/$T$7,AA9),2)</f>
        <v>0</v>
      </c>
      <c r="AB11" s="1032">
        <f>ROUND(IF(AB7&lt;$T$7,$D$10/$T$7,AB9),2)</f>
        <v>0</v>
      </c>
      <c r="AC11" s="1032">
        <f>ROUND(IF(AC7&lt;$T$7,$D$10/$T$7,AC9),2)</f>
        <v>0</v>
      </c>
      <c r="AD11" s="1032">
        <f>ROUND(IF(AD7&lt;$T$7,$D$10/$T$7,AD9),2)</f>
        <v>0</v>
      </c>
      <c r="AE11" s="1032">
        <f>ROUND(IF(AE7&lt;$T$7,$D$10/$T$7,AE9),2)</f>
        <v>0</v>
      </c>
      <c r="AH11" s="363"/>
    </row>
    <row r="12" spans="2:34" ht="3" customHeight="1" x14ac:dyDescent="0.3">
      <c r="B12" s="58"/>
      <c r="C12" s="58"/>
      <c r="D12" s="235"/>
      <c r="E12" s="329"/>
      <c r="F12" s="329"/>
      <c r="G12" s="329"/>
      <c r="H12" s="15"/>
      <c r="I12" s="15"/>
      <c r="J12" s="15"/>
      <c r="K12" s="15"/>
      <c r="M12" s="15"/>
      <c r="N12" s="15"/>
      <c r="O12" s="15"/>
      <c r="P12" s="15"/>
      <c r="R12" s="14"/>
      <c r="T12" s="1034"/>
      <c r="U12" s="1034"/>
      <c r="V12" s="1034"/>
      <c r="W12" s="1034"/>
      <c r="X12" s="1034"/>
      <c r="Y12" s="1034"/>
      <c r="Z12" s="1034"/>
      <c r="AA12" s="1034"/>
      <c r="AB12" s="1034"/>
      <c r="AC12" s="1034"/>
      <c r="AD12" s="1034"/>
      <c r="AE12" s="1029"/>
      <c r="AH12" s="363"/>
    </row>
    <row r="13" spans="2:34" ht="20.100000000000001" customHeight="1" x14ac:dyDescent="0.3">
      <c r="C13" s="1780" t="s">
        <v>205</v>
      </c>
      <c r="D13" s="1413">
        <f>SUM(D8:D10)</f>
        <v>0</v>
      </c>
      <c r="K13" s="15"/>
      <c r="L13" s="14"/>
      <c r="R13" s="14"/>
      <c r="S13" s="755"/>
      <c r="T13" s="1032">
        <f t="shared" ref="T13:Y13" si="3">U10</f>
        <v>0</v>
      </c>
      <c r="U13" s="1032">
        <f t="shared" si="3"/>
        <v>0</v>
      </c>
      <c r="V13" s="1032">
        <f t="shared" si="3"/>
        <v>0</v>
      </c>
      <c r="W13" s="1032">
        <f t="shared" si="3"/>
        <v>0</v>
      </c>
      <c r="X13" s="1032">
        <f t="shared" si="3"/>
        <v>0</v>
      </c>
      <c r="Y13" s="1032">
        <f t="shared" si="3"/>
        <v>0</v>
      </c>
      <c r="Z13" s="1035">
        <f>IF(AA11=0,0,AA11*(POWER((1+$G$11),AA8))+AA10)</f>
        <v>0</v>
      </c>
      <c r="AA13" s="1035">
        <f>IF(AB11=0,0,AB11*(POWER((1+$G$11),AB8))+AB10)</f>
        <v>0</v>
      </c>
      <c r="AB13" s="1035">
        <f>IF(AC11=0,0,AC11*(POWER((1+$G$11),AC8))+AC10)</f>
        <v>0</v>
      </c>
      <c r="AC13" s="1035">
        <f>IF(AD11=0,0,AD11*(POWER((1+$G$11),AD8))+AD10)</f>
        <v>0</v>
      </c>
      <c r="AD13" s="1035">
        <f>IF(AE11=0,0,AE11*(POWER((1+$G$11),AE8))+AE10)</f>
        <v>0</v>
      </c>
      <c r="AE13" s="1029"/>
      <c r="AH13" s="363"/>
    </row>
    <row r="14" spans="2:34" ht="20.100000000000001" customHeight="1" x14ac:dyDescent="0.3">
      <c r="M14" s="15"/>
      <c r="R14" s="14"/>
      <c r="AH14" s="363"/>
    </row>
    <row r="15" spans="2:34" ht="21.9" customHeight="1" x14ac:dyDescent="0.3">
      <c r="B15" s="3474" t="s">
        <v>512</v>
      </c>
      <c r="C15" s="3475"/>
      <c r="D15" s="1414" t="s">
        <v>453</v>
      </c>
      <c r="E15" s="1414" t="s">
        <v>454</v>
      </c>
      <c r="F15" s="1415" t="s">
        <v>455</v>
      </c>
      <c r="H15" s="3204" t="s">
        <v>1000</v>
      </c>
      <c r="I15" s="3205"/>
      <c r="J15" s="3378"/>
      <c r="K15" s="743" t="s">
        <v>663</v>
      </c>
      <c r="L15" s="3470" t="s">
        <v>453</v>
      </c>
      <c r="M15" s="3471"/>
      <c r="N15" s="1059" t="s">
        <v>454</v>
      </c>
      <c r="O15" s="1426" t="s">
        <v>455</v>
      </c>
      <c r="P15" s="15"/>
      <c r="R15" s="14"/>
      <c r="AH15" s="363"/>
    </row>
    <row r="16" spans="2:34" ht="21.9" customHeight="1" x14ac:dyDescent="0.3">
      <c r="B16" s="3476"/>
      <c r="C16" s="3477"/>
      <c r="D16" s="1417" t="str">
        <f>IF(durée_1=0," ",durée_1)</f>
        <v xml:space="preserve"> </v>
      </c>
      <c r="E16" s="1417" t="str">
        <f>IF(durée_2=0," ",durée_2)</f>
        <v xml:space="preserve"> </v>
      </c>
      <c r="F16" s="1418" t="str">
        <f>IF(durée_3=0," ",durée_3)</f>
        <v xml:space="preserve"> </v>
      </c>
      <c r="H16" s="3392" t="s">
        <v>669</v>
      </c>
      <c r="I16" s="3451"/>
      <c r="J16" s="3393"/>
      <c r="K16" s="1786">
        <f>invest_0</f>
        <v>0</v>
      </c>
      <c r="L16" s="3472">
        <f>invest_0+invest_1</f>
        <v>0</v>
      </c>
      <c r="M16" s="3472"/>
      <c r="N16" s="1786">
        <f>invest_2</f>
        <v>0</v>
      </c>
      <c r="O16" s="1428">
        <f>invest_3</f>
        <v>0</v>
      </c>
      <c r="P16" s="15"/>
      <c r="R16" s="14"/>
      <c r="AH16" s="363"/>
    </row>
    <row r="17" spans="2:35" ht="21.9" customHeight="1" x14ac:dyDescent="0.3">
      <c r="B17" s="3430" t="s">
        <v>378</v>
      </c>
      <c r="C17" s="2147"/>
      <c r="D17" s="1774" t="str">
        <f>IF(ISBLANK(ca_1)," ",effectif_1)</f>
        <v xml:space="preserve"> </v>
      </c>
      <c r="E17" s="1774" t="str">
        <f>IF(ISBLANK(ca_2)," ",effectif_2)</f>
        <v xml:space="preserve"> </v>
      </c>
      <c r="F17" s="1420" t="str">
        <f>IF(ISBLANK(ca_3)," ",effectif_3)</f>
        <v xml:space="preserve"> </v>
      </c>
      <c r="G17" s="426"/>
      <c r="H17" s="3425" t="s">
        <v>670</v>
      </c>
      <c r="I17" s="3426"/>
      <c r="J17" s="3427"/>
      <c r="K17" s="1787">
        <f>FR_Initial</f>
        <v>0</v>
      </c>
      <c r="L17" s="3506"/>
      <c r="M17" s="3507"/>
      <c r="N17" s="669"/>
      <c r="O17" s="1425"/>
      <c r="P17" s="15"/>
      <c r="R17" s="14"/>
      <c r="AH17" s="363"/>
    </row>
    <row r="18" spans="2:35" ht="21.9" customHeight="1" x14ac:dyDescent="0.3">
      <c r="B18" s="3374" t="s">
        <v>682</v>
      </c>
      <c r="C18" s="3375"/>
      <c r="D18" s="3376"/>
      <c r="E18" s="3376"/>
      <c r="F18" s="3377"/>
      <c r="G18" s="426"/>
      <c r="H18" s="3425" t="s">
        <v>684</v>
      </c>
      <c r="I18" s="3426"/>
      <c r="J18" s="3427"/>
      <c r="K18" s="1788"/>
      <c r="L18" s="3396">
        <f>BFR_1</f>
        <v>0</v>
      </c>
      <c r="M18" s="3396"/>
      <c r="N18" s="1787">
        <f>BFR_2-BFR_1</f>
        <v>0</v>
      </c>
      <c r="O18" s="1429">
        <f>BFR_3-BFR_2</f>
        <v>0</v>
      </c>
      <c r="P18" s="15"/>
      <c r="R18" s="682"/>
      <c r="AH18" s="363"/>
      <c r="AI18" s="682"/>
    </row>
    <row r="19" spans="2:35" ht="21.9" customHeight="1" x14ac:dyDescent="0.3">
      <c r="B19" s="3373" t="s">
        <v>507</v>
      </c>
      <c r="C19" s="2258"/>
      <c r="D19" s="1775" t="str">
        <f>IF(ISBLANK(ca_1)," ",ca_1)</f>
        <v xml:space="preserve"> </v>
      </c>
      <c r="E19" s="1775" t="str">
        <f>IF(ISBLANK(ca_2)," ",ca_2)</f>
        <v xml:space="preserve"> </v>
      </c>
      <c r="F19" s="1421" t="str">
        <f>IF(ISBLANK(ca_3)," ",ca_3)</f>
        <v xml:space="preserve"> </v>
      </c>
      <c r="G19" s="426"/>
      <c r="H19" s="3425" t="s">
        <v>685</v>
      </c>
      <c r="I19" s="3426"/>
      <c r="J19" s="3427"/>
      <c r="K19" s="1789"/>
      <c r="L19" s="3396">
        <f>IF(caf_1&gt;0,0,caf_1/-1)</f>
        <v>0</v>
      </c>
      <c r="M19" s="3396"/>
      <c r="N19" s="1787">
        <f>IF(caf_2&gt;0,0,caf_2/-1)</f>
        <v>0</v>
      </c>
      <c r="O19" s="1429">
        <f>IF(caf_3&gt;0,0,caf_3/-1)</f>
        <v>0</v>
      </c>
      <c r="P19" s="15"/>
      <c r="R19" s="682"/>
      <c r="AH19" s="363"/>
      <c r="AI19" s="682"/>
    </row>
    <row r="20" spans="2:35" ht="21.9" customHeight="1" x14ac:dyDescent="0.3">
      <c r="B20" s="2749" t="s">
        <v>67</v>
      </c>
      <c r="C20" s="2244"/>
      <c r="D20" s="1776" t="str">
        <f>IF(ISBLANK(ca_1)," ",ebe_1)</f>
        <v xml:space="preserve"> </v>
      </c>
      <c r="E20" s="1776" t="str">
        <f>IF(ISBLANK(ca_2)," ",ebe_2)</f>
        <v xml:space="preserve"> </v>
      </c>
      <c r="F20" s="1422" t="str">
        <f>IF(ISBLANK(ca_3)," ",ebe_3)</f>
        <v xml:space="preserve"> </v>
      </c>
      <c r="G20" s="426"/>
      <c r="H20" s="3425" t="s">
        <v>671</v>
      </c>
      <c r="I20" s="3426"/>
      <c r="J20" s="3427"/>
      <c r="K20" s="1789"/>
      <c r="L20" s="3396">
        <f>remb1_emprunt</f>
        <v>0</v>
      </c>
      <c r="M20" s="3396"/>
      <c r="N20" s="1787">
        <f>remb2_emprunt</f>
        <v>0</v>
      </c>
      <c r="O20" s="1429">
        <f>remb3_emprunt</f>
        <v>0</v>
      </c>
      <c r="P20" s="15"/>
      <c r="Q20" s="681"/>
      <c r="R20" s="682"/>
      <c r="AH20" s="363"/>
      <c r="AI20" s="682"/>
    </row>
    <row r="21" spans="2:35" ht="21.9" customHeight="1" x14ac:dyDescent="0.3">
      <c r="B21" s="2749" t="s">
        <v>508</v>
      </c>
      <c r="C21" s="2244"/>
      <c r="D21" s="1776" t="str">
        <f>IF(ISBLANK(ca_1)," ",re_1)</f>
        <v xml:space="preserve"> </v>
      </c>
      <c r="E21" s="1776" t="str">
        <f>IF(ISBLANK(ca_2)," ",re_2)</f>
        <v xml:space="preserve"> </v>
      </c>
      <c r="F21" s="1422" t="str">
        <f>IF(ISBLANK(ca_3)," ",re_3)</f>
        <v xml:space="preserve"> </v>
      </c>
      <c r="G21" s="426"/>
      <c r="H21" s="3392" t="s">
        <v>672</v>
      </c>
      <c r="I21" s="3451"/>
      <c r="J21" s="3393"/>
      <c r="K21" s="1789"/>
      <c r="L21" s="3397">
        <f>dividende_1</f>
        <v>0</v>
      </c>
      <c r="M21" s="3397"/>
      <c r="N21" s="1790">
        <f>dividende_2</f>
        <v>0</v>
      </c>
      <c r="O21" s="1430">
        <f>dividende_3</f>
        <v>0</v>
      </c>
      <c r="P21" s="15"/>
      <c r="Q21" s="681"/>
      <c r="R21" s="682"/>
      <c r="AH21" s="363"/>
      <c r="AI21" s="682"/>
    </row>
    <row r="22" spans="2:35" ht="21.9" customHeight="1" x14ac:dyDescent="0.3">
      <c r="B22" s="1416" t="s">
        <v>514</v>
      </c>
      <c r="C22" s="1419"/>
      <c r="D22" s="1776" t="str">
        <f>IF(ISBLANK(ca_1)," ",rc_1)</f>
        <v xml:space="preserve"> </v>
      </c>
      <c r="E22" s="1776" t="str">
        <f>IF(ISBLANK(ca_2)," ",rc_2)</f>
        <v xml:space="preserve"> </v>
      </c>
      <c r="F22" s="1422" t="str">
        <f>IF(ISBLANK(ca_3)," ",rc_3)</f>
        <v xml:space="preserve"> </v>
      </c>
      <c r="G22" s="426"/>
      <c r="H22" s="3439" t="s">
        <v>673</v>
      </c>
      <c r="I22" s="3452"/>
      <c r="J22" s="3452"/>
      <c r="K22" s="1791">
        <f>SUM(K16:K21)</f>
        <v>0</v>
      </c>
      <c r="L22" s="3398">
        <f>SUM(L16:L21)</f>
        <v>0</v>
      </c>
      <c r="M22" s="3398"/>
      <c r="N22" s="1791">
        <f>SUM(N16:N21)</f>
        <v>0</v>
      </c>
      <c r="O22" s="1431">
        <f>SUM(O16:O21)</f>
        <v>0</v>
      </c>
      <c r="P22" s="15"/>
      <c r="Q22" s="681"/>
      <c r="R22" s="682"/>
      <c r="AH22" s="363"/>
      <c r="AI22" s="682"/>
    </row>
    <row r="23" spans="2:35" ht="21.9" customHeight="1" x14ac:dyDescent="0.3">
      <c r="B23" s="2749" t="s">
        <v>509</v>
      </c>
      <c r="C23" s="2244"/>
      <c r="D23" s="1776" t="str">
        <f>IF(ISBLANK(ca_1)," ",rn_1)</f>
        <v xml:space="preserve"> </v>
      </c>
      <c r="E23" s="1776" t="str">
        <f>IF(ISBLANK(ca_2)," ",rn_2)</f>
        <v xml:space="preserve"> </v>
      </c>
      <c r="F23" s="1422" t="str">
        <f>IF(ISBLANK(ca_3)," ",rn_3)</f>
        <v xml:space="preserve"> </v>
      </c>
      <c r="G23" s="426"/>
      <c r="H23" s="3204" t="s">
        <v>1001</v>
      </c>
      <c r="I23" s="3205"/>
      <c r="J23" s="3378"/>
      <c r="K23" s="743" t="s">
        <v>663</v>
      </c>
      <c r="L23" s="3470" t="s">
        <v>453</v>
      </c>
      <c r="M23" s="3471"/>
      <c r="N23" s="1059" t="s">
        <v>454</v>
      </c>
      <c r="O23" s="1426" t="s">
        <v>455</v>
      </c>
      <c r="P23" s="15"/>
      <c r="Q23" s="681"/>
      <c r="R23" s="682"/>
      <c r="AH23" s="363"/>
      <c r="AI23" s="682"/>
    </row>
    <row r="24" spans="2:35" ht="21.9" customHeight="1" x14ac:dyDescent="0.3">
      <c r="B24" s="2744" t="s">
        <v>510</v>
      </c>
      <c r="C24" s="2147"/>
      <c r="D24" s="1777" t="str">
        <f>IF(ISBLANK(ca_1)," ",caf_1)</f>
        <v xml:space="preserve"> </v>
      </c>
      <c r="E24" s="1777" t="str">
        <f>IF(ISBLANK(ca_2)," ",caf_2)</f>
        <v xml:space="preserve"> </v>
      </c>
      <c r="F24" s="1421" t="str">
        <f>IF(ISBLANK(ca_3)," ",rn_3)</f>
        <v xml:space="preserve"> </v>
      </c>
      <c r="G24" s="426"/>
      <c r="H24" s="3392" t="s">
        <v>674</v>
      </c>
      <c r="I24" s="3393"/>
      <c r="J24" s="3393"/>
      <c r="K24" s="1792"/>
      <c r="L24" s="3472">
        <f>DFR_1/-1</f>
        <v>0</v>
      </c>
      <c r="M24" s="3472"/>
      <c r="N24" s="1786">
        <f>DFR_2/-1</f>
        <v>0</v>
      </c>
      <c r="O24" s="1428">
        <f>DFR_3/-1</f>
        <v>0</v>
      </c>
      <c r="P24" s="15"/>
      <c r="Q24" s="681"/>
      <c r="R24" s="682"/>
      <c r="AH24" s="363"/>
      <c r="AI24" s="682"/>
    </row>
    <row r="25" spans="2:35" ht="21.9" customHeight="1" x14ac:dyDescent="0.3">
      <c r="B25" s="3374" t="s">
        <v>683</v>
      </c>
      <c r="C25" s="3375"/>
      <c r="D25" s="3376"/>
      <c r="E25" s="3376"/>
      <c r="F25" s="3377"/>
      <c r="G25" s="426"/>
      <c r="H25" s="3449" t="s">
        <v>675</v>
      </c>
      <c r="I25" s="3450"/>
      <c r="J25" s="3450"/>
      <c r="K25" s="1793"/>
      <c r="L25" s="3396">
        <f>IF(caf_1&gt;0,caf_1,0)</f>
        <v>0</v>
      </c>
      <c r="M25" s="3396"/>
      <c r="N25" s="1787">
        <f>IF(caf_2&gt;0,caf_2,0)</f>
        <v>0</v>
      </c>
      <c r="O25" s="1429">
        <f>IF(caf_3&gt;0,caf_3,0)</f>
        <v>0</v>
      </c>
      <c r="P25" s="15"/>
      <c r="Q25" s="681"/>
      <c r="R25" s="682"/>
      <c r="AH25" s="363"/>
      <c r="AI25" s="682"/>
    </row>
    <row r="26" spans="2:35" ht="21.9" customHeight="1" x14ac:dyDescent="0.3">
      <c r="B26" s="3373" t="s">
        <v>589</v>
      </c>
      <c r="C26" s="2258"/>
      <c r="D26" s="1778" t="str">
        <f>IF(ISBLANK(ca_1)," ",fonds_propres_1)</f>
        <v xml:space="preserve"> </v>
      </c>
      <c r="E26" s="1778" t="str">
        <f>IF(ISBLANK(ca_2)," ",fonds_propres_2)</f>
        <v xml:space="preserve"> </v>
      </c>
      <c r="F26" s="1423" t="str">
        <f>IF(ISBLANK(ca_3)," ",fonds_propres_3)</f>
        <v xml:space="preserve"> </v>
      </c>
      <c r="G26" s="426"/>
      <c r="H26" s="3435" t="s">
        <v>676</v>
      </c>
      <c r="I26" s="3436"/>
      <c r="J26" s="3436"/>
      <c r="K26" s="1787">
        <f>apport_capital0</f>
        <v>0</v>
      </c>
      <c r="L26" s="3396">
        <f>apport_capital1</f>
        <v>0</v>
      </c>
      <c r="M26" s="3396"/>
      <c r="N26" s="1787">
        <f>apport_capital2</f>
        <v>0</v>
      </c>
      <c r="O26" s="1429">
        <f>apport_capital3</f>
        <v>0</v>
      </c>
      <c r="P26" s="15"/>
      <c r="Q26" s="681"/>
      <c r="R26" s="682"/>
      <c r="AH26" s="363"/>
      <c r="AI26" s="682"/>
    </row>
    <row r="27" spans="2:35" ht="21.9" customHeight="1" x14ac:dyDescent="0.3">
      <c r="B27" s="2749" t="s">
        <v>511</v>
      </c>
      <c r="C27" s="2244"/>
      <c r="D27" s="1776" t="str">
        <f>IF(ISBLANK(ca_1)," ",emprunt_1)</f>
        <v xml:space="preserve"> </v>
      </c>
      <c r="E27" s="1776" t="str">
        <f>IF(ISBLANK(ca_2)," ",emprunt_2)</f>
        <v xml:space="preserve"> </v>
      </c>
      <c r="F27" s="1422" t="str">
        <f>IF(ISBLANK(ca_3)," ",emprunt_3)</f>
        <v xml:space="preserve"> </v>
      </c>
      <c r="G27" s="426"/>
      <c r="H27" s="1427" t="s">
        <v>677</v>
      </c>
      <c r="I27" s="683"/>
      <c r="J27" s="683"/>
      <c r="K27" s="1787">
        <f>+cc.bloqué_0</f>
        <v>0</v>
      </c>
      <c r="L27" s="3396">
        <f>cc.bloqué_1</f>
        <v>0</v>
      </c>
      <c r="M27" s="3396"/>
      <c r="N27" s="1787">
        <f>cc.bloqué_2</f>
        <v>0</v>
      </c>
      <c r="O27" s="1429">
        <f>cc.bloqué_3</f>
        <v>0</v>
      </c>
      <c r="P27" s="15"/>
      <c r="Q27" s="681"/>
      <c r="R27" s="682"/>
      <c r="AH27" s="363"/>
      <c r="AI27" s="682"/>
    </row>
    <row r="28" spans="2:35" ht="21.9" customHeight="1" x14ac:dyDescent="0.3">
      <c r="B28" s="2749" t="s">
        <v>101</v>
      </c>
      <c r="C28" s="2244"/>
      <c r="D28" s="1776" t="str">
        <f>IF(ISBLANK(ca_1)," ",FR_1)</f>
        <v xml:space="preserve"> </v>
      </c>
      <c r="E28" s="1776" t="str">
        <f>IF(ISBLANK(ca_2)," ",FR_2)</f>
        <v xml:space="preserve"> </v>
      </c>
      <c r="F28" s="1422" t="str">
        <f>IF(ISBLANK(ca_3)," ",rn_3)</f>
        <v xml:space="preserve"> </v>
      </c>
      <c r="G28" s="382"/>
      <c r="H28" s="3425" t="s">
        <v>678</v>
      </c>
      <c r="I28" s="3427"/>
      <c r="J28" s="3427"/>
      <c r="K28" s="1787">
        <f>fonds.empruntés_0+TP0</f>
        <v>0</v>
      </c>
      <c r="L28" s="3396">
        <f>fonds.empruntés_1+TP_1</f>
        <v>0</v>
      </c>
      <c r="M28" s="3396"/>
      <c r="N28" s="1787">
        <f>fonds.empruntés_2+TP_2</f>
        <v>0</v>
      </c>
      <c r="O28" s="1429">
        <f>fonds.empruntés_3+TP_3</f>
        <v>0</v>
      </c>
      <c r="P28" s="15"/>
      <c r="Q28" s="681"/>
      <c r="R28" s="682"/>
      <c r="AH28" s="363"/>
      <c r="AI28" s="682"/>
    </row>
    <row r="29" spans="2:35" ht="21.9" customHeight="1" x14ac:dyDescent="0.3">
      <c r="B29" s="2749" t="s">
        <v>100</v>
      </c>
      <c r="C29" s="2244"/>
      <c r="D29" s="1776" t="str">
        <f>IF(ISBLANK(ca_1)," ",BFR_1)</f>
        <v xml:space="preserve"> </v>
      </c>
      <c r="E29" s="1776" t="str">
        <f>IF(ISBLANK(ca_2)," ",BFR_2)</f>
        <v xml:space="preserve"> </v>
      </c>
      <c r="F29" s="1422" t="str">
        <f>IF(ISBLANK(ca_3)," ",BFR_3)</f>
        <v xml:space="preserve"> </v>
      </c>
      <c r="H29" s="3437" t="s">
        <v>679</v>
      </c>
      <c r="I29" s="3438"/>
      <c r="J29" s="3438"/>
      <c r="K29" s="1790">
        <f>subv0</f>
        <v>0</v>
      </c>
      <c r="L29" s="3397">
        <f>subv1</f>
        <v>0</v>
      </c>
      <c r="M29" s="3397"/>
      <c r="N29" s="1790">
        <f>subv2</f>
        <v>0</v>
      </c>
      <c r="O29" s="1430">
        <f>subv3</f>
        <v>0</v>
      </c>
      <c r="P29" s="15"/>
      <c r="Q29" s="681"/>
      <c r="R29" s="682"/>
      <c r="AH29" s="363"/>
      <c r="AI29" s="682"/>
    </row>
    <row r="30" spans="2:35" ht="21.9" customHeight="1" x14ac:dyDescent="0.3">
      <c r="B30" s="3441" t="s">
        <v>330</v>
      </c>
      <c r="C30" s="2260"/>
      <c r="D30" s="1779" t="str">
        <f>IF(ISBLANK(ca_1)," ",TN_1)</f>
        <v xml:space="preserve"> </v>
      </c>
      <c r="E30" s="1779" t="str">
        <f>IF(ISBLANK(ca_2)," ",TN_2)</f>
        <v xml:space="preserve"> </v>
      </c>
      <c r="F30" s="1424" t="str">
        <f>IF(ISBLANK(ca_3)," ",TN_3)</f>
        <v xml:space="preserve"> </v>
      </c>
      <c r="H30" s="3439" t="s">
        <v>680</v>
      </c>
      <c r="I30" s="3440"/>
      <c r="J30" s="3440"/>
      <c r="K30" s="1791">
        <f>SUM(K24:K29)</f>
        <v>0</v>
      </c>
      <c r="L30" s="3398">
        <f>SUM(L24:L29)</f>
        <v>0</v>
      </c>
      <c r="M30" s="3398"/>
      <c r="N30" s="1791">
        <f>SUM(N24:N29)</f>
        <v>0</v>
      </c>
      <c r="O30" s="1431">
        <f>SUM(O24:O29)</f>
        <v>0</v>
      </c>
      <c r="Q30" s="682"/>
      <c r="R30" s="682"/>
      <c r="AH30" s="363"/>
      <c r="AI30" s="682"/>
    </row>
    <row r="31" spans="2:35" ht="21.9" customHeight="1" x14ac:dyDescent="0.3">
      <c r="H31" s="3433" t="s">
        <v>681</v>
      </c>
      <c r="I31" s="3434"/>
      <c r="J31" s="3434"/>
      <c r="K31" s="1432">
        <f>K30+FR_Initial-K22</f>
        <v>0</v>
      </c>
      <c r="L31" s="3409">
        <f>L30-L22</f>
        <v>0</v>
      </c>
      <c r="M31" s="3410"/>
      <c r="N31" s="1432">
        <f>(N30-N22)+L31</f>
        <v>0</v>
      </c>
      <c r="O31" s="1433">
        <f>(O30-O22)+N31</f>
        <v>0</v>
      </c>
      <c r="Q31" s="682"/>
      <c r="R31" s="682"/>
      <c r="AH31" s="363"/>
      <c r="AI31" s="682"/>
    </row>
    <row r="32" spans="2:35" ht="21.9" customHeight="1" x14ac:dyDescent="0.3">
      <c r="B32" s="3448" t="str">
        <f>IF(OR($B$10="compte courant ordinaire",$B$10="compte courant bloqué",$B$10="prêt participatif"),"compte courant"," ")</f>
        <v xml:space="preserve"> </v>
      </c>
      <c r="C32" s="3448"/>
      <c r="L32" s="14"/>
      <c r="R32" s="14"/>
      <c r="AH32" s="363"/>
    </row>
    <row r="33" spans="2:33" ht="21.9" customHeight="1" x14ac:dyDescent="0.3">
      <c r="B33" s="3442" t="s">
        <v>451</v>
      </c>
      <c r="C33" s="3443"/>
      <c r="D33" s="960">
        <v>1</v>
      </c>
      <c r="E33" s="960">
        <v>2</v>
      </c>
      <c r="F33" s="960">
        <v>3</v>
      </c>
      <c r="G33" s="960">
        <v>4</v>
      </c>
      <c r="H33" s="960">
        <v>5</v>
      </c>
      <c r="I33" s="960">
        <v>6</v>
      </c>
      <c r="J33" s="960">
        <v>7</v>
      </c>
      <c r="K33" s="961" t="s">
        <v>205</v>
      </c>
      <c r="L33" s="14"/>
      <c r="M33" s="3399" t="s">
        <v>542</v>
      </c>
      <c r="N33" s="3400"/>
      <c r="O33" s="3400"/>
      <c r="P33" s="3400"/>
      <c r="Q33" s="3401"/>
    </row>
    <row r="34" spans="2:33" ht="21.9" customHeight="1" x14ac:dyDescent="0.3">
      <c r="B34" s="3444"/>
      <c r="C34" s="3445"/>
      <c r="D34" s="1213" t="s">
        <v>85</v>
      </c>
      <c r="E34" s="1213" t="s">
        <v>85</v>
      </c>
      <c r="F34" s="1213" t="s">
        <v>85</v>
      </c>
      <c r="G34" s="1213" t="s">
        <v>85</v>
      </c>
      <c r="H34" s="1213" t="s">
        <v>85</v>
      </c>
      <c r="I34" s="1213" t="s">
        <v>85</v>
      </c>
      <c r="J34" s="1434" t="s">
        <v>85</v>
      </c>
      <c r="K34" s="1435" t="s">
        <v>85</v>
      </c>
      <c r="L34" s="14"/>
      <c r="M34" s="3402"/>
      <c r="N34" s="3403"/>
      <c r="O34" s="3403"/>
      <c r="P34" s="3403"/>
      <c r="Q34" s="3404"/>
    </row>
    <row r="35" spans="2:33" ht="21.9" customHeight="1" x14ac:dyDescent="0.3">
      <c r="B35" s="3446" t="s">
        <v>900</v>
      </c>
      <c r="C35" s="3447"/>
      <c r="D35" s="757">
        <f t="shared" ref="D35:J35" si="4">IF($F$8&lt;=D33,$D$8*$G$8," ")</f>
        <v>0</v>
      </c>
      <c r="E35" s="757">
        <f t="shared" si="4"/>
        <v>0</v>
      </c>
      <c r="F35" s="757">
        <f t="shared" si="4"/>
        <v>0</v>
      </c>
      <c r="G35" s="757">
        <f t="shared" si="4"/>
        <v>0</v>
      </c>
      <c r="H35" s="757">
        <f t="shared" si="4"/>
        <v>0</v>
      </c>
      <c r="I35" s="757">
        <f t="shared" si="4"/>
        <v>0</v>
      </c>
      <c r="J35" s="757">
        <f t="shared" si="4"/>
        <v>0</v>
      </c>
      <c r="K35" s="761">
        <f t="shared" ref="K35:K40" si="5">SUM(D35:J35)</f>
        <v>0</v>
      </c>
      <c r="L35" s="14"/>
      <c r="M35" s="3405" t="s">
        <v>323</v>
      </c>
      <c r="N35" s="3406"/>
      <c r="O35" s="3406" t="s">
        <v>324</v>
      </c>
      <c r="P35" s="3406" t="s">
        <v>688</v>
      </c>
      <c r="Q35" s="3394" t="s">
        <v>690</v>
      </c>
    </row>
    <row r="36" spans="2:33" ht="21.9" customHeight="1" x14ac:dyDescent="0.3">
      <c r="B36" s="3500" t="s">
        <v>901</v>
      </c>
      <c r="C36" s="3501"/>
      <c r="D36" s="756" t="str">
        <f t="shared" ref="D36:J36" si="6">IF(D33=$F$9,FV($G$8,$F$9,,$D$8*-1)," ")</f>
        <v xml:space="preserve"> </v>
      </c>
      <c r="E36" s="756" t="str">
        <f t="shared" si="6"/>
        <v xml:space="preserve"> </v>
      </c>
      <c r="F36" s="756" t="str">
        <f t="shared" si="6"/>
        <v xml:space="preserve"> </v>
      </c>
      <c r="G36" s="756" t="str">
        <f t="shared" si="6"/>
        <v xml:space="preserve"> </v>
      </c>
      <c r="H36" s="756" t="str">
        <f t="shared" si="6"/>
        <v xml:space="preserve"> </v>
      </c>
      <c r="I36" s="756" t="str">
        <f t="shared" si="6"/>
        <v xml:space="preserve"> </v>
      </c>
      <c r="J36" s="759" t="str">
        <f t="shared" si="6"/>
        <v xml:space="preserve"> </v>
      </c>
      <c r="K36" s="760">
        <f t="shared" si="5"/>
        <v>0</v>
      </c>
      <c r="L36" s="14"/>
      <c r="M36" s="3407"/>
      <c r="N36" s="3408"/>
      <c r="O36" s="3408"/>
      <c r="P36" s="3408"/>
      <c r="Q36" s="3395"/>
    </row>
    <row r="37" spans="2:33" ht="21.9" customHeight="1" x14ac:dyDescent="0.3">
      <c r="B37" s="962" t="s">
        <v>904</v>
      </c>
      <c r="C37" s="945" t="str">
        <f>IF(B10="Prêt participatif","prêt participatif","compte courant")</f>
        <v>compte courant</v>
      </c>
      <c r="D37" s="946" t="str">
        <f t="shared" ref="D37:J37" si="7">IF(OR($B$32&lt;&gt;"compte courant",D33&gt;$F$10)," ",IF(D33&gt;$E$10,-PMT(($G$10),($F$10-$E$10),$D$10),$D$10*$G$10))</f>
        <v xml:space="preserve"> </v>
      </c>
      <c r="E37" s="946" t="str">
        <f t="shared" si="7"/>
        <v xml:space="preserve"> </v>
      </c>
      <c r="F37" s="946" t="str">
        <f t="shared" si="7"/>
        <v xml:space="preserve"> </v>
      </c>
      <c r="G37" s="946" t="str">
        <f t="shared" si="7"/>
        <v xml:space="preserve"> </v>
      </c>
      <c r="H37" s="946" t="str">
        <f t="shared" si="7"/>
        <v xml:space="preserve"> </v>
      </c>
      <c r="I37" s="946" t="str">
        <f t="shared" si="7"/>
        <v xml:space="preserve"> </v>
      </c>
      <c r="J37" s="946" t="str">
        <f t="shared" si="7"/>
        <v xml:space="preserve"> </v>
      </c>
      <c r="K37" s="760">
        <f t="shared" si="5"/>
        <v>0</v>
      </c>
      <c r="L37" s="14"/>
      <c r="M37" s="3421" t="s">
        <v>541</v>
      </c>
      <c r="N37" s="3411" t="s">
        <v>540</v>
      </c>
      <c r="O37" s="3411" t="s">
        <v>539</v>
      </c>
      <c r="P37" s="3411" t="s">
        <v>538</v>
      </c>
      <c r="Q37" s="3413" t="s">
        <v>689</v>
      </c>
    </row>
    <row r="38" spans="2:33" ht="21.9" customHeight="1" x14ac:dyDescent="0.3">
      <c r="B38" s="3500" t="s">
        <v>902</v>
      </c>
      <c r="C38" s="3501"/>
      <c r="D38" s="756" t="str">
        <f t="shared" ref="D38:J38" si="8">IF($B$10&lt;&gt;"obligations convertibles"," ",SUMIF($U$8:$AE$8,"="&amp;D33,$T$13:$AD$13))</f>
        <v xml:space="preserve"> </v>
      </c>
      <c r="E38" s="756" t="str">
        <f t="shared" si="8"/>
        <v xml:space="preserve"> </v>
      </c>
      <c r="F38" s="756" t="str">
        <f t="shared" si="8"/>
        <v xml:space="preserve"> </v>
      </c>
      <c r="G38" s="756" t="str">
        <f t="shared" si="8"/>
        <v xml:space="preserve"> </v>
      </c>
      <c r="H38" s="756" t="str">
        <f t="shared" si="8"/>
        <v xml:space="preserve"> </v>
      </c>
      <c r="I38" s="756" t="str">
        <f t="shared" si="8"/>
        <v xml:space="preserve"> </v>
      </c>
      <c r="J38" s="756" t="str">
        <f t="shared" si="8"/>
        <v xml:space="preserve"> </v>
      </c>
      <c r="K38" s="760">
        <f t="shared" si="5"/>
        <v>0</v>
      </c>
      <c r="L38" s="14"/>
      <c r="M38" s="3422"/>
      <c r="N38" s="3412"/>
      <c r="O38" s="3412"/>
      <c r="P38" s="3412"/>
      <c r="Q38" s="3414"/>
    </row>
    <row r="39" spans="2:33" ht="21.9" customHeight="1" x14ac:dyDescent="0.3">
      <c r="B39" s="3502" t="s">
        <v>903</v>
      </c>
      <c r="C39" s="3503"/>
      <c r="D39" s="757" t="str">
        <f t="shared" ref="D39:J39" si="9">IF($B$10&lt;&gt;"titres participatifs"," ",SUMIF($U$8:$AE$8,"="&amp;D33,$T$13:$AD$13))</f>
        <v xml:space="preserve"> </v>
      </c>
      <c r="E39" s="757" t="str">
        <f t="shared" si="9"/>
        <v xml:space="preserve"> </v>
      </c>
      <c r="F39" s="757" t="str">
        <f t="shared" si="9"/>
        <v xml:space="preserve"> </v>
      </c>
      <c r="G39" s="757" t="str">
        <f t="shared" si="9"/>
        <v xml:space="preserve"> </v>
      </c>
      <c r="H39" s="757" t="str">
        <f t="shared" si="9"/>
        <v xml:space="preserve"> </v>
      </c>
      <c r="I39" s="757" t="str">
        <f t="shared" si="9"/>
        <v xml:space="preserve"> </v>
      </c>
      <c r="J39" s="758" t="str">
        <f t="shared" si="9"/>
        <v xml:space="preserve"> </v>
      </c>
      <c r="K39" s="761">
        <f t="shared" si="5"/>
        <v>0</v>
      </c>
      <c r="L39" s="14"/>
      <c r="M39" s="3419"/>
      <c r="N39" s="3417"/>
      <c r="O39" s="3417"/>
      <c r="P39" s="3417"/>
      <c r="Q39" s="3423" t="str">
        <f>IF(K42=" "," ",K42)</f>
        <v xml:space="preserve"> </v>
      </c>
    </row>
    <row r="40" spans="2:33" s="21" customFormat="1" ht="21.9" customHeight="1" x14ac:dyDescent="0.3">
      <c r="B40" s="3504" t="s">
        <v>205</v>
      </c>
      <c r="C40" s="3505"/>
      <c r="D40" s="744">
        <f t="shared" ref="D40:J40" si="10">SUM(D35:D39)</f>
        <v>0</v>
      </c>
      <c r="E40" s="744">
        <f t="shared" si="10"/>
        <v>0</v>
      </c>
      <c r="F40" s="744">
        <f t="shared" si="10"/>
        <v>0</v>
      </c>
      <c r="G40" s="744">
        <f t="shared" si="10"/>
        <v>0</v>
      </c>
      <c r="H40" s="744">
        <f t="shared" si="10"/>
        <v>0</v>
      </c>
      <c r="I40" s="744">
        <f t="shared" si="10"/>
        <v>0</v>
      </c>
      <c r="J40" s="745">
        <f t="shared" si="10"/>
        <v>0</v>
      </c>
      <c r="K40" s="762">
        <f t="shared" si="5"/>
        <v>0</v>
      </c>
      <c r="L40" s="14"/>
      <c r="M40" s="3420"/>
      <c r="N40" s="3418"/>
      <c r="O40" s="3418"/>
      <c r="P40" s="3418"/>
      <c r="Q40" s="3424"/>
      <c r="R40" s="367"/>
      <c r="S40" s="367"/>
      <c r="T40" s="367"/>
      <c r="U40" s="367"/>
      <c r="V40" s="367"/>
      <c r="W40" s="367"/>
      <c r="X40" s="367"/>
      <c r="Y40" s="367"/>
      <c r="Z40" s="367"/>
      <c r="AA40" s="367"/>
      <c r="AB40" s="367"/>
      <c r="AC40" s="367"/>
      <c r="AD40" s="367"/>
      <c r="AE40" s="367"/>
      <c r="AF40" s="367"/>
      <c r="AG40" s="367"/>
    </row>
    <row r="41" spans="2:33" ht="3" customHeight="1" x14ac:dyDescent="0.3">
      <c r="C41" s="674">
        <f>-D13</f>
        <v>0</v>
      </c>
      <c r="D41" s="674">
        <f t="shared" ref="D41:J41" si="11">D40</f>
        <v>0</v>
      </c>
      <c r="E41" s="674">
        <f t="shared" si="11"/>
        <v>0</v>
      </c>
      <c r="F41" s="674">
        <f t="shared" si="11"/>
        <v>0</v>
      </c>
      <c r="G41" s="674">
        <f t="shared" si="11"/>
        <v>0</v>
      </c>
      <c r="H41" s="674">
        <f t="shared" si="11"/>
        <v>0</v>
      </c>
      <c r="I41" s="674">
        <f t="shared" si="11"/>
        <v>0</v>
      </c>
      <c r="J41" s="674">
        <f t="shared" si="11"/>
        <v>0</v>
      </c>
      <c r="K41" s="21"/>
      <c r="L41" s="21"/>
    </row>
    <row r="42" spans="2:33" ht="24.9" customHeight="1" x14ac:dyDescent="0.3">
      <c r="B42" s="3431" t="s">
        <v>536</v>
      </c>
      <c r="C42" s="3432"/>
      <c r="D42" s="763" t="str">
        <f>IF(ISERROR(IRR(C41:J41))," ",IRR(C41:J41))</f>
        <v xml:space="preserve"> </v>
      </c>
      <c r="F42" s="975" t="s">
        <v>321</v>
      </c>
      <c r="G42" s="678" t="str">
        <f>IF(ISERROR(K36/k_herrikoa)," ",K36/k_herrikoa)</f>
        <v xml:space="preserve"> </v>
      </c>
      <c r="I42" s="3415" t="s">
        <v>322</v>
      </c>
      <c r="J42" s="3416"/>
      <c r="K42" s="712" t="str">
        <f>IF(TRI=" "," ",IF(TRI&lt;0,0,IF(TRI&lt;=4%,"*",IF(TRI&lt;=11%,"**",IF(TRI&gt;11%,"***")))))</f>
        <v xml:space="preserve"> </v>
      </c>
      <c r="L42" s="14"/>
    </row>
    <row r="43" spans="2:33" ht="30" customHeight="1" x14ac:dyDescent="0.3"/>
  </sheetData>
  <sheetProtection algorithmName="SHA-512" hashValue="35hKc70HI5mUtHunv7IQQy443bxuK1/wU4uS2NNs22Ap1974DUmUfEUr+zx770BTwm1oskS5+MLUSWtgcP8Nww==" saltValue="7MCxe2t8uSjN3GKm2CZ+hA==" spinCount="100000" sheet="1" objects="1" scenarios="1" formatCells="0" formatColumns="0" formatRows="0" insertColumns="0" insertRows="0" insertHyperlinks="0" deleteColumns="0" deleteRows="0" sort="0" autoFilter="0" pivotTables="0"/>
  <mergeCells count="99">
    <mergeCell ref="B36:C36"/>
    <mergeCell ref="B38:C38"/>
    <mergeCell ref="B39:C39"/>
    <mergeCell ref="B40:C40"/>
    <mergeCell ref="L17:M17"/>
    <mergeCell ref="L23:M23"/>
    <mergeCell ref="L24:M24"/>
    <mergeCell ref="L25:M25"/>
    <mergeCell ref="L18:M18"/>
    <mergeCell ref="L19:M19"/>
    <mergeCell ref="L20:M20"/>
    <mergeCell ref="L21:M21"/>
    <mergeCell ref="L22:M22"/>
    <mergeCell ref="B19:C19"/>
    <mergeCell ref="B20:C20"/>
    <mergeCell ref="B21:C21"/>
    <mergeCell ref="L15:M15"/>
    <mergeCell ref="L16:M16"/>
    <mergeCell ref="E6:F6"/>
    <mergeCell ref="B15:C16"/>
    <mergeCell ref="K8:K9"/>
    <mergeCell ref="K10:K11"/>
    <mergeCell ref="D10:D11"/>
    <mergeCell ref="D8:D9"/>
    <mergeCell ref="E10:E11"/>
    <mergeCell ref="F10:F11"/>
    <mergeCell ref="H6:J7"/>
    <mergeCell ref="H8:J9"/>
    <mergeCell ref="H10:J11"/>
    <mergeCell ref="K6:R6"/>
    <mergeCell ref="H16:J16"/>
    <mergeCell ref="C4:F4"/>
    <mergeCell ref="B6:C7"/>
    <mergeCell ref="B10:C11"/>
    <mergeCell ref="B8:C9"/>
    <mergeCell ref="L7:M7"/>
    <mergeCell ref="L8:M9"/>
    <mergeCell ref="L10:M11"/>
    <mergeCell ref="J4:N4"/>
    <mergeCell ref="H25:J25"/>
    <mergeCell ref="H19:J19"/>
    <mergeCell ref="H20:J20"/>
    <mergeCell ref="H21:J21"/>
    <mergeCell ref="H22:J22"/>
    <mergeCell ref="H23:J23"/>
    <mergeCell ref="H17:J17"/>
    <mergeCell ref="G6:G7"/>
    <mergeCell ref="H18:J18"/>
    <mergeCell ref="B17:C17"/>
    <mergeCell ref="B42:C42"/>
    <mergeCell ref="H31:J31"/>
    <mergeCell ref="H26:J26"/>
    <mergeCell ref="H28:J28"/>
    <mergeCell ref="H29:J29"/>
    <mergeCell ref="H30:J30"/>
    <mergeCell ref="B28:C28"/>
    <mergeCell ref="B29:C29"/>
    <mergeCell ref="B30:C30"/>
    <mergeCell ref="B33:C34"/>
    <mergeCell ref="B35:C35"/>
    <mergeCell ref="B32:C32"/>
    <mergeCell ref="N37:N38"/>
    <mergeCell ref="O37:O38"/>
    <mergeCell ref="P37:P38"/>
    <mergeCell ref="Q37:Q38"/>
    <mergeCell ref="I42:J42"/>
    <mergeCell ref="O39:O40"/>
    <mergeCell ref="N39:N40"/>
    <mergeCell ref="M39:M40"/>
    <mergeCell ref="M37:M38"/>
    <mergeCell ref="Q39:Q40"/>
    <mergeCell ref="P39:P40"/>
    <mergeCell ref="Q35:Q36"/>
    <mergeCell ref="L26:M26"/>
    <mergeCell ref="L27:M27"/>
    <mergeCell ref="L28:M28"/>
    <mergeCell ref="L29:M29"/>
    <mergeCell ref="L30:M30"/>
    <mergeCell ref="M33:Q34"/>
    <mergeCell ref="M35:N36"/>
    <mergeCell ref="O35:O36"/>
    <mergeCell ref="P35:P36"/>
    <mergeCell ref="L31:M31"/>
    <mergeCell ref="B2:R2"/>
    <mergeCell ref="B23:C23"/>
    <mergeCell ref="B24:C24"/>
    <mergeCell ref="B26:C26"/>
    <mergeCell ref="B27:C27"/>
    <mergeCell ref="B18:F18"/>
    <mergeCell ref="B25:F25"/>
    <mergeCell ref="H15:J15"/>
    <mergeCell ref="P7:R7"/>
    <mergeCell ref="P8:R9"/>
    <mergeCell ref="P10:R11"/>
    <mergeCell ref="N8:N9"/>
    <mergeCell ref="N10:N11"/>
    <mergeCell ref="O8:O9"/>
    <mergeCell ref="O10:O11"/>
    <mergeCell ref="H24:J24"/>
  </mergeCells>
  <phoneticPr fontId="0" type="noConversion"/>
  <conditionalFormatting sqref="L8 L10">
    <cfRule type="cellIs" dxfId="238" priority="700" stopIfTrue="1" operator="equal">
      <formula>"non"</formula>
    </cfRule>
  </conditionalFormatting>
  <conditionalFormatting sqref="K8:K11">
    <cfRule type="cellIs" dxfId="237" priority="701" stopIfTrue="1" operator="equal">
      <formula>"néant"</formula>
    </cfRule>
  </conditionalFormatting>
  <conditionalFormatting sqref="D8 D10:F10">
    <cfRule type="cellIs" dxfId="236" priority="702" stopIfTrue="1" operator="equal">
      <formula>0</formula>
    </cfRule>
  </conditionalFormatting>
  <conditionalFormatting sqref="G10">
    <cfRule type="cellIs" dxfId="235" priority="688" operator="equal">
      <formula>0</formula>
    </cfRule>
  </conditionalFormatting>
  <conditionalFormatting sqref="G11">
    <cfRule type="cellIs" dxfId="234" priority="687" operator="equal">
      <formula>0</formula>
    </cfRule>
  </conditionalFormatting>
  <conditionalFormatting sqref="F9">
    <cfRule type="cellIs" dxfId="233" priority="686" operator="equal">
      <formula>0</formula>
    </cfRule>
  </conditionalFormatting>
  <conditionalFormatting sqref="G9">
    <cfRule type="cellIs" dxfId="232" priority="685" operator="equal">
      <formula>0</formula>
    </cfRule>
  </conditionalFormatting>
  <conditionalFormatting sqref="G8">
    <cfRule type="cellIs" dxfId="231" priority="684" operator="equal">
      <formula>0</formula>
    </cfRule>
  </conditionalFormatting>
  <conditionalFormatting sqref="F8">
    <cfRule type="cellIs" dxfId="230" priority="683" operator="equal">
      <formula>0</formula>
    </cfRule>
  </conditionalFormatting>
  <conditionalFormatting sqref="D35">
    <cfRule type="cellIs" dxfId="229" priority="682" operator="equal">
      <formula>0</formula>
    </cfRule>
  </conditionalFormatting>
  <conditionalFormatting sqref="E35:J35">
    <cfRule type="cellIs" dxfId="228" priority="681" operator="equal">
      <formula>0</formula>
    </cfRule>
  </conditionalFormatting>
  <dataValidations xWindow="532" yWindow="383" count="6">
    <dataValidation allowBlank="1" showInputMessage="1" showErrorMessage="1" prompt="Capital + intérêts" sqref="D37:J39" xr:uid="{00000000-0002-0000-0E00-000000000000}"/>
    <dataValidation type="list" allowBlank="1" showInputMessage="1" showErrorMessage="1" sqref="K8:K11" xr:uid="{00000000-0002-0000-0E00-000001000000}">
      <formula1>"BPI,caution,néant"</formula1>
    </dataValidation>
    <dataValidation type="list" allowBlank="1" showInputMessage="1" showErrorMessage="1" sqref="L8 L10" xr:uid="{00000000-0002-0000-0E00-000002000000}">
      <formula1>"oui, non, en cours"</formula1>
    </dataValidation>
    <dataValidation allowBlank="1" showInputMessage="1" showErrorMessage="1" prompt="1ère année de versement" sqref="F8" xr:uid="{00000000-0002-0000-0E00-000003000000}"/>
    <dataValidation allowBlank="1" showInputMessage="1" showErrorMessage="1" prompt="Année de cession" sqref="F9" xr:uid="{00000000-0002-0000-0E00-000004000000}"/>
    <dataValidation allowBlank="1" showInputMessage="1" showErrorMessage="1" prompt="OC : taux de prime de non conversion_x000a_TP : taux de revalorisation du capital" sqref="G11" xr:uid="{00000000-0002-0000-0E00-000005000000}"/>
  </dataValidations>
  <pageMargins left="0" right="0" top="0" bottom="0" header="0" footer="0"/>
  <pageSetup paperSize="9" scale="66" orientation="landscape"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499984740745262"/>
    <pageSetUpPr fitToPage="1"/>
  </sheetPr>
  <dimension ref="A1:AE51"/>
  <sheetViews>
    <sheetView showGridLines="0" showRowColHeaders="0" zoomScaleNormal="100" workbookViewId="0">
      <pane ySplit="3" topLeftCell="A4" activePane="bottomLeft" state="frozenSplit"/>
      <selection pane="bottomLeft" activeCell="B2" sqref="B2:H2"/>
    </sheetView>
  </sheetViews>
  <sheetFormatPr baseColWidth="10" defaultColWidth="12" defaultRowHeight="13.2" x14ac:dyDescent="0.25"/>
  <cols>
    <col min="1" max="1" width="1.77734375" style="1046" customWidth="1"/>
    <col min="2" max="2" width="46.6640625" style="698" customWidth="1"/>
    <col min="3" max="9" width="13.77734375" style="698" customWidth="1"/>
    <col min="10" max="10" width="3.77734375" style="698" customWidth="1"/>
    <col min="11" max="11" width="10.77734375" style="698" customWidth="1"/>
    <col min="12" max="12" width="13.77734375" style="698" customWidth="1"/>
    <col min="13" max="16384" width="12" style="698"/>
  </cols>
  <sheetData>
    <row r="1" spans="1:18" ht="6" customHeight="1" x14ac:dyDescent="0.25"/>
    <row r="2" spans="1:18" s="905" customFormat="1" ht="21.9" customHeight="1" x14ac:dyDescent="0.25">
      <c r="A2" s="1042"/>
      <c r="B2" s="3512" t="s">
        <v>935</v>
      </c>
      <c r="C2" s="3513"/>
      <c r="D2" s="3513"/>
      <c r="E2" s="3513"/>
      <c r="F2" s="3513"/>
      <c r="G2" s="3513"/>
      <c r="H2" s="3513"/>
      <c r="I2" s="3564" t="s">
        <v>930</v>
      </c>
      <c r="J2" s="3565"/>
      <c r="K2" s="3566"/>
      <c r="L2" s="1605"/>
      <c r="M2" s="3508" t="str">
        <f>IF(ISERROR(IF(AND(ISBLANK(participants),J9&gt;0),"Renseigner le nombre de participants"," "))," ",IF(AND(ISBLANK(participants),J9&gt;0)," Renseigner le nombre de participants"," "))</f>
        <v xml:space="preserve"> </v>
      </c>
      <c r="N2" s="3508"/>
      <c r="O2" s="3508"/>
      <c r="P2" s="3508"/>
    </row>
    <row r="3" spans="1:18" s="905" customFormat="1" ht="15" customHeight="1" x14ac:dyDescent="0.25">
      <c r="A3" s="1042"/>
      <c r="I3" s="904"/>
    </row>
    <row r="4" spans="1:18" s="916" customFormat="1" ht="30" customHeight="1" x14ac:dyDescent="0.25">
      <c r="A4" s="1043"/>
      <c r="B4" s="3514" t="s">
        <v>937</v>
      </c>
      <c r="C4" s="3515"/>
      <c r="D4" s="3516"/>
      <c r="E4" s="963" t="s">
        <v>928</v>
      </c>
      <c r="F4" s="964" t="s">
        <v>909</v>
      </c>
      <c r="G4" s="965" t="s">
        <v>910</v>
      </c>
      <c r="H4" s="966" t="s">
        <v>911</v>
      </c>
      <c r="I4" s="967" t="s">
        <v>946</v>
      </c>
      <c r="J4" s="3536" t="s">
        <v>912</v>
      </c>
      <c r="K4" s="3537"/>
      <c r="L4" s="989" t="s">
        <v>913</v>
      </c>
      <c r="M4" s="927"/>
    </row>
    <row r="5" spans="1:18" s="916" customFormat="1" ht="24.9" customHeight="1" x14ac:dyDescent="0.25">
      <c r="A5" s="1044"/>
      <c r="B5" s="3575" t="s">
        <v>914</v>
      </c>
      <c r="C5" s="3576"/>
      <c r="D5" s="3447"/>
      <c r="E5" s="971"/>
      <c r="F5" s="947"/>
      <c r="G5" s="948"/>
      <c r="H5" s="948"/>
      <c r="I5" s="949"/>
      <c r="J5" s="3524">
        <f>IF(ISERROR((((1*F5)+(2*G5)+(3*H5))/(F5+G5+H5))*I5),0,(((1*F5)+(2*G5)+(3*H5))/(F5+G5+H5))*I5)</f>
        <v>0</v>
      </c>
      <c r="K5" s="3525"/>
      <c r="L5" s="1049" t="str">
        <f>IF(J5&lt;1," ",IF(J5&lt;(1.5*I5),"Faible",IF(J5&lt;(2.5*I5),"Moyen","Fort")))</f>
        <v xml:space="preserve"> </v>
      </c>
      <c r="M5" s="3511" t="str">
        <f>IF(E5="N/A","critère non retenu ",IF(AND(SUM(F5:H5)&gt;0,I5=0),"Coefficient non renseigné",IF(SUM(F5:H5)&lt;participants,"votants &lt; participants",IF(SUM(F5:H5)&gt;participants,"Erreur : votants &gt; participants"," "))))</f>
        <v xml:space="preserve"> </v>
      </c>
      <c r="N5" s="2147"/>
      <c r="O5" s="2147"/>
      <c r="P5" s="299"/>
      <c r="Q5" s="299"/>
      <c r="R5" s="299"/>
    </row>
    <row r="6" spans="1:18" s="916" customFormat="1" ht="24.9" customHeight="1" x14ac:dyDescent="0.25">
      <c r="A6" s="1044"/>
      <c r="B6" s="3517" t="s">
        <v>929</v>
      </c>
      <c r="C6" s="3518"/>
      <c r="D6" s="3501"/>
      <c r="E6" s="972"/>
      <c r="F6" s="928"/>
      <c r="G6" s="924"/>
      <c r="H6" s="924"/>
      <c r="I6" s="931"/>
      <c r="J6" s="3538">
        <f>IF(ISERROR((((1*F6)+(2*G6)+(3*H6))/(F6+G6+H6))*I6),0,(((1*F6)+(2*G6)+(3*H6))/(F6+G6+H6))*I6)</f>
        <v>0</v>
      </c>
      <c r="K6" s="3539"/>
      <c r="L6" s="1047" t="str">
        <f>IF(J6&lt;1," ",IF(J6&lt;(1.5*I6),"Faible",IF(J6&lt;(2.5*I6),"Moyen","Fort")))</f>
        <v xml:space="preserve"> </v>
      </c>
      <c r="M6" s="3511" t="str">
        <f>IF(AND(SUM(F6:H6)&gt;0,I6=0),"Coefficient non renseigné",IF(SUM(F6:H6)&lt;participants,"votants &lt; participants",IF(SUM(F6:H6)&gt;participants,"Erreur : votants &gt; participants"," ")))</f>
        <v xml:space="preserve"> </v>
      </c>
      <c r="N6" s="2147"/>
      <c r="O6" s="2147"/>
      <c r="P6" s="299"/>
      <c r="Q6" s="299"/>
      <c r="R6" s="299"/>
    </row>
    <row r="7" spans="1:18" s="916" customFormat="1" ht="30" customHeight="1" x14ac:dyDescent="0.25">
      <c r="A7" s="1044"/>
      <c r="B7" s="3567" t="s">
        <v>934</v>
      </c>
      <c r="C7" s="3568"/>
      <c r="D7" s="3569"/>
      <c r="E7" s="973"/>
      <c r="F7" s="929"/>
      <c r="G7" s="925"/>
      <c r="H7" s="925"/>
      <c r="I7" s="932"/>
      <c r="J7" s="3522">
        <f>IF(ISERROR((((1*F7)+(2*G7)+(3*H7))/(F7+G7+H7))*I7),0,(((1*F7)+(2*G7)+(3*H7))/(F7+G7+H7))*I7)</f>
        <v>0</v>
      </c>
      <c r="K7" s="3523"/>
      <c r="L7" s="1048" t="str">
        <f>IF(J7&lt;1," ",IF(J7&lt;(1.5*I7),"Faible",IF(J7&lt;(2.5*I7),"Moyen","Fort")))</f>
        <v xml:space="preserve"> </v>
      </c>
      <c r="M7" s="3511" t="str">
        <f>IF(AND(SUM(F7:H7)&gt;0,I7=0),"Coefficient non renseigné",IF(SUM(F7:H7)&lt;participants,"votants &lt; participants",IF(SUM(F7:H7)&gt;participants,"Erreur : votants &gt; participants"," ")))</f>
        <v xml:space="preserve"> </v>
      </c>
      <c r="N7" s="2147"/>
      <c r="O7" s="2147"/>
      <c r="P7" s="299"/>
    </row>
    <row r="8" spans="1:18" s="905" customFormat="1" ht="3" customHeight="1" x14ac:dyDescent="0.25">
      <c r="A8" s="1042"/>
      <c r="F8" s="906"/>
      <c r="I8" s="904"/>
      <c r="J8" s="907"/>
      <c r="K8" s="904"/>
      <c r="L8" s="915"/>
      <c r="M8" s="923"/>
    </row>
    <row r="9" spans="1:18" s="905" customFormat="1" ht="24.9" customHeight="1" x14ac:dyDescent="0.25">
      <c r="A9" s="1044"/>
      <c r="F9" s="3509" t="s">
        <v>938</v>
      </c>
      <c r="G9" s="3509"/>
      <c r="H9" s="3509"/>
      <c r="I9" s="3510"/>
      <c r="J9" s="3520" t="e">
        <f>ROUND(SUM(J5:J7)/SUM(I5:I7),1)</f>
        <v>#DIV/0!</v>
      </c>
      <c r="K9" s="3521"/>
      <c r="L9" s="1050" t="e">
        <f>IF(J9=0," ",IF(J9&lt;1.5,"Faible",IF(J9&lt;2.5,"Moyen",IF(J9&gt;=2.5,"Fort"))))</f>
        <v>#DIV/0!</v>
      </c>
      <c r="M9" s="922"/>
    </row>
    <row r="10" spans="1:18" s="905" customFormat="1" ht="15" customHeight="1" x14ac:dyDescent="0.25">
      <c r="A10" s="1042"/>
      <c r="G10" s="906"/>
      <c r="H10" s="909"/>
      <c r="J10" s="910"/>
      <c r="K10" s="910"/>
      <c r="L10" s="910"/>
      <c r="M10" s="909"/>
      <c r="N10" s="921"/>
    </row>
    <row r="11" spans="1:18" s="917" customFormat="1" ht="30" customHeight="1" x14ac:dyDescent="0.25">
      <c r="A11" s="1045"/>
      <c r="B11" s="3514" t="s">
        <v>940</v>
      </c>
      <c r="C11" s="3515"/>
      <c r="D11" s="3516"/>
      <c r="E11" s="963" t="s">
        <v>928</v>
      </c>
      <c r="F11" s="964" t="s">
        <v>909</v>
      </c>
      <c r="G11" s="965" t="s">
        <v>910</v>
      </c>
      <c r="H11" s="966" t="s">
        <v>911</v>
      </c>
      <c r="I11" s="967" t="s">
        <v>946</v>
      </c>
      <c r="J11" s="3536" t="s">
        <v>912</v>
      </c>
      <c r="K11" s="3537"/>
      <c r="L11" s="989" t="s">
        <v>913</v>
      </c>
    </row>
    <row r="12" spans="1:18" s="917" customFormat="1" ht="24.9" customHeight="1" x14ac:dyDescent="0.25">
      <c r="A12" s="1044"/>
      <c r="B12" s="3570" t="s">
        <v>931</v>
      </c>
      <c r="C12" s="3571"/>
      <c r="D12" s="3572"/>
      <c r="E12" s="971"/>
      <c r="F12" s="947"/>
      <c r="G12" s="948"/>
      <c r="H12" s="948"/>
      <c r="I12" s="949"/>
      <c r="J12" s="3524">
        <f>IF(ISERROR((((1*F12)+(2*G12)+(3*H12))/(F12+G12+H12))*I12),0,(((1*F12)+(2*G12)+(3*H12))/(F12+G12+H12))*I12)</f>
        <v>0</v>
      </c>
      <c r="K12" s="3525"/>
      <c r="L12" s="1049" t="str">
        <f>IF(J12&lt;1," ",IF(J12&lt;(1.5*I12),"Faible",IF(J12&lt;(2.5*I12),"Moyen","Fort")))</f>
        <v xml:space="preserve"> </v>
      </c>
      <c r="M12" s="3511" t="str">
        <f>IF(E12="N/A","critère non retenu ",IF(AND(SUM(F12:H12)&gt;0,I12=0),"Coefficient non renseigné",IF(SUM(F12:H12)&lt;participants,"votants &lt; participants",IF(SUM(F12:H12)&gt;participants,"Erreur : votants &gt; participants"," "))))</f>
        <v xml:space="preserve"> </v>
      </c>
      <c r="N12" s="2147"/>
      <c r="O12" s="2147"/>
    </row>
    <row r="13" spans="1:18" s="917" customFormat="1" ht="24.9" customHeight="1" x14ac:dyDescent="0.25">
      <c r="A13" s="1044"/>
      <c r="B13" s="3517" t="s">
        <v>932</v>
      </c>
      <c r="C13" s="3518"/>
      <c r="D13" s="3519"/>
      <c r="E13" s="972"/>
      <c r="F13" s="928"/>
      <c r="G13" s="924"/>
      <c r="H13" s="924"/>
      <c r="I13" s="931"/>
      <c r="J13" s="3538">
        <f>IF(ISERROR((((1*F13)+(2*G13)+(3*H13))/(F13+G13+H13))*I13),0,(((1*F13)+(2*G13)+(3*H13))/(F13+G13+H13))*I13)</f>
        <v>0</v>
      </c>
      <c r="K13" s="3539"/>
      <c r="L13" s="1047" t="str">
        <f>IF(J13&lt;1," ",IF(J13&lt;(1.5*I13),"Faible",IF(J13&lt;(2.5*I13),"Moyen","Fort")))</f>
        <v xml:space="preserve"> </v>
      </c>
      <c r="M13" s="3511" t="str">
        <f>IF(AND(SUM(F13:H13)&gt;0,I13=0),"Coefficient non renseigné",IF(SUM(F13:H13)&lt;participants,"votants &lt; participants",IF(SUM(F13:H13)&gt;participants,"Erreur : votants &gt; participants"," ")))</f>
        <v xml:space="preserve"> </v>
      </c>
      <c r="N13" s="2147"/>
      <c r="O13" s="2147"/>
    </row>
    <row r="14" spans="1:18" s="917" customFormat="1" ht="30" customHeight="1" x14ac:dyDescent="0.25">
      <c r="A14" s="1044"/>
      <c r="B14" s="3554" t="s">
        <v>933</v>
      </c>
      <c r="C14" s="3555"/>
      <c r="D14" s="3556"/>
      <c r="E14" s="973"/>
      <c r="F14" s="929"/>
      <c r="G14" s="925"/>
      <c r="H14" s="925"/>
      <c r="I14" s="932"/>
      <c r="J14" s="3522">
        <f>IF(ISERROR((((1*F14)+(2*G14)+(3*H14))/(F14+G14+H14))*I14),0,(((1*F14)+(2*G14)+(3*H14))/(F14+G14+H14))*I14)</f>
        <v>0</v>
      </c>
      <c r="K14" s="3523"/>
      <c r="L14" s="1048" t="str">
        <f>IF(J14&lt;1," ",IF(J14&lt;(1.5*I14),"Faible",IF(J14&lt;(2.5*I14),"Moyen","Fort")))</f>
        <v xml:space="preserve"> </v>
      </c>
      <c r="M14" s="3511" t="str">
        <f>IF(AND(SUM(F14:H14)&gt;0,I14=0),"Coefficient non renseigné",IF(SUM(F14:H14)&lt;participants,"votants &lt; participants",IF(SUM(F14:H14)&gt;participants,"Erreur : votants &gt; participants"," ")))</f>
        <v xml:space="preserve"> </v>
      </c>
      <c r="N14" s="2147"/>
      <c r="O14" s="2147"/>
    </row>
    <row r="15" spans="1:18" s="905" customFormat="1" ht="3" customHeight="1" x14ac:dyDescent="0.25">
      <c r="A15" s="1042"/>
      <c r="F15" s="906"/>
      <c r="I15" s="904"/>
      <c r="J15" s="907"/>
      <c r="K15" s="904"/>
      <c r="L15" s="909"/>
    </row>
    <row r="16" spans="1:18" s="905" customFormat="1" ht="24.9" customHeight="1" x14ac:dyDescent="0.25">
      <c r="A16" s="1044"/>
      <c r="F16" s="3509" t="s">
        <v>939</v>
      </c>
      <c r="G16" s="3509"/>
      <c r="H16" s="3509"/>
      <c r="I16" s="3510"/>
      <c r="J16" s="3520" t="e">
        <f>ROUND(SUM(J12:J14)/SUM(I12:I14),1)</f>
        <v>#DIV/0!</v>
      </c>
      <c r="K16" s="3521"/>
      <c r="L16" s="1050" t="e">
        <f>IF(J16=0," ",IF(J16&lt;1.5,"Faible",IF(J16&lt;2.5,"Moyen",IF(J16&gt;=2.5,"Fort"))))</f>
        <v>#DIV/0!</v>
      </c>
    </row>
    <row r="17" spans="1:15" s="905" customFormat="1" ht="15" customHeight="1" x14ac:dyDescent="0.25">
      <c r="A17" s="1042"/>
      <c r="F17" s="906"/>
      <c r="G17" s="909"/>
      <c r="H17" s="909"/>
      <c r="I17" s="910"/>
      <c r="J17" s="910"/>
      <c r="K17" s="910"/>
      <c r="L17" s="909"/>
    </row>
    <row r="18" spans="1:15" s="917" customFormat="1" ht="30" customHeight="1" x14ac:dyDescent="0.25">
      <c r="A18" s="1045"/>
      <c r="B18" s="3514" t="s">
        <v>915</v>
      </c>
      <c r="C18" s="3515"/>
      <c r="D18" s="3516"/>
      <c r="E18" s="963" t="s">
        <v>928</v>
      </c>
      <c r="F18" s="964" t="s">
        <v>909</v>
      </c>
      <c r="G18" s="965" t="s">
        <v>910</v>
      </c>
      <c r="H18" s="966" t="s">
        <v>911</v>
      </c>
      <c r="I18" s="967" t="s">
        <v>946</v>
      </c>
      <c r="J18" s="3536" t="s">
        <v>912</v>
      </c>
      <c r="K18" s="3537"/>
      <c r="L18" s="989" t="s">
        <v>913</v>
      </c>
    </row>
    <row r="19" spans="1:15" s="917" customFormat="1" ht="24.9" customHeight="1" x14ac:dyDescent="0.25">
      <c r="A19" s="1044"/>
      <c r="B19" s="3557" t="s">
        <v>916</v>
      </c>
      <c r="C19" s="3558"/>
      <c r="D19" s="3559"/>
      <c r="E19" s="971"/>
      <c r="F19" s="947"/>
      <c r="G19" s="948"/>
      <c r="H19" s="948"/>
      <c r="I19" s="949"/>
      <c r="J19" s="3524">
        <f>IF(ISERROR((((1*F19)+(2*G19)+(3*H19))/(F19+G19+H19))*I19),0,(((1*F19)+(2*G19)+(3*H19))/(F19+G19+H19))*I19)</f>
        <v>0</v>
      </c>
      <c r="K19" s="3525"/>
      <c r="L19" s="1049" t="str">
        <f>IF(J19&lt;1," ",IF(J19&lt;(1.5*I19),"Faible",IF(J19&lt;(2.5*I19),"Moyen","Fort")))</f>
        <v xml:space="preserve"> </v>
      </c>
      <c r="M19" s="3511" t="str">
        <f>IF(AND(SUM(F19:H19)&gt;0,I19=0),"Coefficient non renseigné",IF(SUM(F19:H19)&lt;participants,"votants &lt; participants",IF(SUM(F19:H19)&gt;participants,"Erreur : votants &gt; participants"," ")))</f>
        <v xml:space="preserve"> </v>
      </c>
      <c r="N19" s="2147"/>
      <c r="O19" s="2147"/>
    </row>
    <row r="20" spans="1:15" s="917" customFormat="1" ht="24.9" customHeight="1" x14ac:dyDescent="0.25">
      <c r="A20" s="1044"/>
      <c r="B20" s="3560" t="s">
        <v>917</v>
      </c>
      <c r="C20" s="3561"/>
      <c r="D20" s="3562"/>
      <c r="E20" s="972"/>
      <c r="F20" s="928"/>
      <c r="G20" s="924"/>
      <c r="H20" s="924"/>
      <c r="I20" s="931"/>
      <c r="J20" s="3538">
        <f>IF(ISERROR((((1*F20)+(2*G20)+(3*H20))/(F20+G20+H20))*I20),0,(((1*F20)+(2*G20)+(3*H20))/(F20+G20+H20))*I20)</f>
        <v>0</v>
      </c>
      <c r="K20" s="3539"/>
      <c r="L20" s="1047" t="str">
        <f>IF(J20&lt;1," ",IF(J20&lt;(1.5*I20),"Faible",IF(J20&lt;(2.5*I20),"Moyen","Fort")))</f>
        <v xml:space="preserve"> </v>
      </c>
      <c r="M20" s="3511" t="str">
        <f>IF(AND(SUM(F20:H20)&gt;0,I20=0),"Coefficient non renseigné",IF(SUM(F20:H20)&lt;participants,"votants &lt; participants",IF(SUM(F20:H20)&gt;participants,"Erreur : votants &gt; participants"," ")))</f>
        <v xml:space="preserve"> </v>
      </c>
      <c r="N20" s="2147"/>
      <c r="O20" s="2147"/>
    </row>
    <row r="21" spans="1:15" s="917" customFormat="1" ht="24.9" customHeight="1" x14ac:dyDescent="0.25">
      <c r="A21" s="1044"/>
      <c r="B21" s="3551" t="s">
        <v>941</v>
      </c>
      <c r="C21" s="3552"/>
      <c r="D21" s="3573"/>
      <c r="E21" s="973"/>
      <c r="F21" s="929"/>
      <c r="G21" s="925"/>
      <c r="H21" s="925"/>
      <c r="I21" s="932"/>
      <c r="J21" s="3522">
        <f>IF(ISERROR((((1*F21)+(2*G21)+(3*H21))/(F21+G21+H21))*I21),0,(((1*F21)+(2*G21)+(3*H21))/(F21+G21+H21))*I21)</f>
        <v>0</v>
      </c>
      <c r="K21" s="3523"/>
      <c r="L21" s="1048" t="str">
        <f>IF(J21&lt;1," ",IF(J21&lt;(1.5*I21),"Faible",IF(J21&lt;(2.5*I21),"Moyen","Fort")))</f>
        <v xml:space="preserve"> </v>
      </c>
      <c r="M21" s="3511" t="str">
        <f>IF(AND(SUM(F21:H21)&gt;0,I21=0),"Coefficient non renseigné",IF(SUM(F21:H21)&lt;participants,"votants &lt; participants",IF(SUM(F21:H21)&gt;participants,"Erreur : votants &gt; participants"," ")))</f>
        <v xml:space="preserve"> </v>
      </c>
      <c r="N21" s="2147"/>
      <c r="O21" s="2147"/>
    </row>
    <row r="22" spans="1:15" s="909" customFormat="1" ht="3" customHeight="1" x14ac:dyDescent="0.25">
      <c r="A22" s="1042"/>
      <c r="B22" s="911"/>
      <c r="C22" s="911"/>
      <c r="D22" s="911"/>
      <c r="E22" s="911"/>
      <c r="F22" s="911"/>
      <c r="G22" s="911"/>
      <c r="H22" s="911"/>
      <c r="I22" s="912"/>
      <c r="J22" s="913"/>
      <c r="K22" s="913"/>
    </row>
    <row r="23" spans="1:15" s="905" customFormat="1" ht="24.9" customHeight="1" x14ac:dyDescent="0.25">
      <c r="A23" s="1044"/>
      <c r="F23" s="3509" t="s">
        <v>918</v>
      </c>
      <c r="G23" s="3509"/>
      <c r="H23" s="3509"/>
      <c r="I23" s="3510"/>
      <c r="J23" s="3520" t="e">
        <f>ROUND(SUM(J19:J21)/SUM(I19:I21),1)</f>
        <v>#DIV/0!</v>
      </c>
      <c r="K23" s="3521"/>
      <c r="L23" s="1050" t="e">
        <f>IF(J23=0," ",IF(J23&lt;1.5,"Faible",IF(J23&lt;2.5,"Moyen",IF(J23&gt;=2.5,"Fort"))))</f>
        <v>#DIV/0!</v>
      </c>
    </row>
    <row r="24" spans="1:15" s="905" customFormat="1" ht="15" customHeight="1" x14ac:dyDescent="0.25">
      <c r="A24" s="1042"/>
      <c r="B24" s="910"/>
      <c r="C24" s="910"/>
      <c r="D24" s="910"/>
      <c r="E24" s="910"/>
      <c r="F24" s="910"/>
      <c r="G24" s="906"/>
      <c r="H24" s="910"/>
      <c r="I24" s="910"/>
      <c r="J24" s="910"/>
      <c r="K24" s="910"/>
      <c r="L24" s="909"/>
    </row>
    <row r="25" spans="1:15" s="917" customFormat="1" ht="30" customHeight="1" x14ac:dyDescent="0.25">
      <c r="A25" s="1045"/>
      <c r="B25" s="3514" t="s">
        <v>919</v>
      </c>
      <c r="C25" s="3515"/>
      <c r="D25" s="3516"/>
      <c r="E25" s="963" t="s">
        <v>928</v>
      </c>
      <c r="F25" s="964" t="s">
        <v>909</v>
      </c>
      <c r="G25" s="965" t="s">
        <v>910</v>
      </c>
      <c r="H25" s="968" t="s">
        <v>911</v>
      </c>
      <c r="I25" s="967" t="s">
        <v>946</v>
      </c>
      <c r="J25" s="3540" t="s">
        <v>912</v>
      </c>
      <c r="K25" s="3541"/>
      <c r="L25" s="989" t="s">
        <v>913</v>
      </c>
    </row>
    <row r="26" spans="1:15" s="917" customFormat="1" ht="24.9" customHeight="1" x14ac:dyDescent="0.25">
      <c r="A26" s="1044"/>
      <c r="B26" s="3557" t="s">
        <v>998</v>
      </c>
      <c r="C26" s="3558"/>
      <c r="D26" s="3574"/>
      <c r="E26" s="971"/>
      <c r="F26" s="947"/>
      <c r="G26" s="948"/>
      <c r="H26" s="948"/>
      <c r="I26" s="949"/>
      <c r="J26" s="3542">
        <f>IF(ISERROR((((1*F26)+(2*G26)+(3*H26))/(F26+G26+H26))*I26),0,(((1*F26)+(2*G26)+(3*H26))/(F26+G26+H26))*I26)</f>
        <v>0</v>
      </c>
      <c r="K26" s="3543"/>
      <c r="L26" s="1049" t="str">
        <f>IF(J26&lt;1," ",IF(J26&lt;(1.5*I26),"Faible",IF(J26&lt;(2.5*I26),"Moyen","Fort")))</f>
        <v xml:space="preserve"> </v>
      </c>
      <c r="M26" s="3511" t="str">
        <f>IF(E26="N/A","critère non retenu ",IF(AND(SUM(F26:H26)&gt;0,I26=0),"Coefficient non renseigné",IF(SUM(F26:H26)&lt;participants,"votants &lt; participants",IF(SUM(F26:H26)&gt;participants,"Erreur : votants &gt; participants"," "))))</f>
        <v xml:space="preserve"> </v>
      </c>
      <c r="N26" s="2147"/>
      <c r="O26" s="2147"/>
    </row>
    <row r="27" spans="1:15" s="917" customFormat="1" ht="30" customHeight="1" x14ac:dyDescent="0.25">
      <c r="A27" s="1044"/>
      <c r="B27" s="3560" t="s">
        <v>987</v>
      </c>
      <c r="C27" s="3561"/>
      <c r="D27" s="3563"/>
      <c r="E27" s="972"/>
      <c r="F27" s="928"/>
      <c r="G27" s="924"/>
      <c r="H27" s="924"/>
      <c r="I27" s="931"/>
      <c r="J27" s="3538">
        <f>IF(ISERROR((((1*F27)+(2*G27)+(3*H27))/(F27+G27+H27))*I27),0,(((1*F27)+(2*G27)+(3*H27))/(F27+G27+H27))*I27)</f>
        <v>0</v>
      </c>
      <c r="K27" s="3539"/>
      <c r="L27" s="1047" t="str">
        <f>IF(J27&lt;1," ",IF(J27&lt;(1.5*I27),"Faible",IF(J27&lt;(2.5*I27),"Moyen","Fort")))</f>
        <v xml:space="preserve"> </v>
      </c>
      <c r="M27" s="3511" t="str">
        <f>IF(AND(SUM(F27:H27)&gt;0,I27=0),"Coefficient non renseigné",IF(SUM(F27:H27)&lt;participants,"votants &lt; participants",IF(SUM(F27:H27)&gt;participants,"Erreur : votants &gt; participants"," ")))</f>
        <v xml:space="preserve"> </v>
      </c>
      <c r="N27" s="2147"/>
      <c r="O27" s="2147"/>
    </row>
    <row r="28" spans="1:15" s="917" customFormat="1" ht="24.9" customHeight="1" x14ac:dyDescent="0.25">
      <c r="A28" s="1044"/>
      <c r="B28" s="3551" t="s">
        <v>920</v>
      </c>
      <c r="C28" s="3552"/>
      <c r="D28" s="3553"/>
      <c r="E28" s="974"/>
      <c r="F28" s="933"/>
      <c r="G28" s="934"/>
      <c r="H28" s="934"/>
      <c r="I28" s="935"/>
      <c r="J28" s="3544">
        <f>IF(ISERROR((((1*F28)+(2*G28)+(3*H28))/(F28+G28+H28))*I28),0,(((1*F28)+(2*G28)+(3*H28))/(F28+G28+H28))*I28)</f>
        <v>0</v>
      </c>
      <c r="K28" s="3545"/>
      <c r="L28" s="1048" t="str">
        <f>IF(J28&lt;1," ",IF(J28&lt;(1.5*I28),"Faible",IF(J28&lt;(2.5*I28),"Moyen","Fort")))</f>
        <v xml:space="preserve"> </v>
      </c>
      <c r="M28" s="3511" t="str">
        <f>IF(AND(SUM(F28:H28)&gt;0,I28=0),"Coefficient non renseigné",IF(SUM(F28:H28)&lt;participants,"votants &lt; participants",IF(SUM(F28:H28)&gt;participants,"Erreur : votants &gt; participants"," ")))</f>
        <v xml:space="preserve"> </v>
      </c>
      <c r="N28" s="2147"/>
      <c r="O28" s="2147"/>
    </row>
    <row r="29" spans="1:15" s="905" customFormat="1" ht="3" customHeight="1" x14ac:dyDescent="0.25">
      <c r="A29" s="1042"/>
      <c r="B29" s="909"/>
      <c r="C29" s="909"/>
      <c r="D29" s="909"/>
      <c r="E29" s="909"/>
      <c r="F29" s="906"/>
      <c r="G29" s="909"/>
      <c r="H29" s="910"/>
      <c r="I29" s="904"/>
      <c r="J29" s="907"/>
      <c r="K29" s="904"/>
      <c r="L29" s="909"/>
      <c r="M29" s="926"/>
    </row>
    <row r="30" spans="1:15" s="905" customFormat="1" ht="24.9" customHeight="1" x14ac:dyDescent="0.25">
      <c r="A30" s="1044"/>
      <c r="F30" s="3509" t="s">
        <v>921</v>
      </c>
      <c r="G30" s="3509"/>
      <c r="H30" s="3509"/>
      <c r="I30" s="3510"/>
      <c r="J30" s="3520" t="e">
        <f>ROUND(SUM(J25:J28)/SUM(I25:I28),1)</f>
        <v>#DIV/0!</v>
      </c>
      <c r="K30" s="3521"/>
      <c r="L30" s="1050" t="e">
        <f>IF(J30=0," ",IF(J30&lt;1.5,"Faible",IF(J30&lt;2.5,"Moyen",IF(J30&gt;=2.5,"Fort"))))</f>
        <v>#DIV/0!</v>
      </c>
      <c r="M30" s="908">
        <f>IF(ISERROR(SUM(J26:J28)/SUM(I26:I28)),0,SUM(J26:J28)/SUM(I26:I28))</f>
        <v>0</v>
      </c>
    </row>
    <row r="31" spans="1:15" s="905" customFormat="1" ht="15" customHeight="1" x14ac:dyDescent="0.25">
      <c r="A31" s="1042"/>
      <c r="F31" s="909"/>
      <c r="G31" s="909"/>
      <c r="H31" s="909"/>
      <c r="I31" s="914"/>
      <c r="J31" s="904"/>
    </row>
    <row r="32" spans="1:15" s="917" customFormat="1" ht="30" customHeight="1" x14ac:dyDescent="0.25">
      <c r="A32" s="1045"/>
      <c r="B32" s="1037" t="s">
        <v>862</v>
      </c>
      <c r="C32" s="969" t="s">
        <v>922</v>
      </c>
      <c r="D32" s="970" t="s">
        <v>946</v>
      </c>
      <c r="E32" s="1038" t="s">
        <v>912</v>
      </c>
      <c r="F32" s="989" t="s">
        <v>913</v>
      </c>
      <c r="H32" s="3546" t="s">
        <v>936</v>
      </c>
      <c r="I32" s="3547"/>
      <c r="J32" s="3548"/>
      <c r="K32" s="3549" t="str">
        <f>IF(ISBLANK(participants)," ",IF(SUM(K33:K35)&lt;participants," ",IF(L33&gt;=50%,"Dossier recevable","Dossier non recevable")))</f>
        <v xml:space="preserve"> </v>
      </c>
      <c r="L32" s="3550"/>
    </row>
    <row r="33" spans="1:31" s="905" customFormat="1" ht="24.9" customHeight="1" x14ac:dyDescent="0.25">
      <c r="A33" s="1042"/>
      <c r="B33" s="1039" t="s">
        <v>942</v>
      </c>
      <c r="C33" s="954" t="str">
        <f>IF(ISERROR(J9)," ",J9)</f>
        <v xml:space="preserve"> </v>
      </c>
      <c r="D33" s="920"/>
      <c r="E33" s="951">
        <f>IF(ISERROR(C33*D33),0,C33*D33)</f>
        <v>0</v>
      </c>
      <c r="F33" s="938" t="str">
        <f>IF(E33&lt;1," ",IF(E33&lt;(1.5*D33),"Faible",IF(E33&lt;(2.5*D33),"Moyen","Fort")))</f>
        <v xml:space="preserve"> </v>
      </c>
      <c r="G33" s="918"/>
      <c r="H33" s="3526" t="s">
        <v>924</v>
      </c>
      <c r="I33" s="3527"/>
      <c r="J33" s="3528"/>
      <c r="K33" s="1051"/>
      <c r="L33" s="1052">
        <f>IF(OR(ISBLANK(K33),ISBLANK(participants)),0,K33/participants)</f>
        <v>0</v>
      </c>
    </row>
    <row r="34" spans="1:31" s="905" customFormat="1" ht="24.9" customHeight="1" x14ac:dyDescent="0.25">
      <c r="A34" s="1042"/>
      <c r="B34" s="1040" t="s">
        <v>943</v>
      </c>
      <c r="C34" s="955" t="str">
        <f>IF(ISERROR(J16)," ",J16)</f>
        <v xml:space="preserve"> </v>
      </c>
      <c r="D34" s="930"/>
      <c r="E34" s="952">
        <f>IF(ISERROR(C34*D34),0,C34*D34)</f>
        <v>0</v>
      </c>
      <c r="F34" s="939" t="str">
        <f>IF(E34&lt;1," ",IF(E34&lt;(1.5*D34),"Faible",IF(E34&lt;(2.5*D34),"Moyen","Fort")))</f>
        <v xml:space="preserve"> </v>
      </c>
      <c r="G34" s="918"/>
      <c r="H34" s="3529" t="s">
        <v>925</v>
      </c>
      <c r="I34" s="3530"/>
      <c r="J34" s="3531"/>
      <c r="K34" s="1053"/>
      <c r="L34" s="1054">
        <f>IF(OR(ISBLANK(K34),ISBLANK(participants)),0,K34/participants)</f>
        <v>0</v>
      </c>
    </row>
    <row r="35" spans="1:31" s="905" customFormat="1" ht="24.9" customHeight="1" x14ac:dyDescent="0.25">
      <c r="A35" s="1042"/>
      <c r="B35" s="1040" t="s">
        <v>944</v>
      </c>
      <c r="C35" s="955" t="str">
        <f>IF(ISERROR(J23)," ",J23)</f>
        <v xml:space="preserve"> </v>
      </c>
      <c r="D35" s="930"/>
      <c r="E35" s="952">
        <f>IF(ISERROR(C35*D35),0,C35*D35)</f>
        <v>0</v>
      </c>
      <c r="F35" s="939" t="str">
        <f>IF(E35&lt;1," ",IF(E35&lt;(1.5*D35),"Faible",IF(E35&lt;(2.5*D35),"Moyen","Fort")))</f>
        <v xml:space="preserve"> </v>
      </c>
      <c r="G35" s="918"/>
      <c r="H35" s="3532" t="s">
        <v>926</v>
      </c>
      <c r="I35" s="3533"/>
      <c r="J35" s="3534"/>
      <c r="K35" s="1055"/>
      <c r="L35" s="1056">
        <f>IF(OR(ISBLANK(K35),ISBLANK(participants)),0,K35/participants)</f>
        <v>0</v>
      </c>
    </row>
    <row r="36" spans="1:31" s="905" customFormat="1" ht="24.9" customHeight="1" x14ac:dyDescent="0.25">
      <c r="A36" s="1042"/>
      <c r="B36" s="1041" t="s">
        <v>945</v>
      </c>
      <c r="C36" s="956" t="str">
        <f>IF(ISERROR(J30)," ",J30)</f>
        <v xml:space="preserve"> </v>
      </c>
      <c r="D36" s="936"/>
      <c r="E36" s="953">
        <f>IF(ISERROR(C36*D36),0,C36*D36)</f>
        <v>0</v>
      </c>
      <c r="F36" s="940" t="str">
        <f>IF(E36&lt;1," ",IF(E36&lt;(1.5*D36),"Faible",IF(E36&lt;(2.5*D36),"Moyen","Fort")))</f>
        <v xml:space="preserve"> </v>
      </c>
      <c r="G36" s="918"/>
      <c r="H36" s="950"/>
      <c r="I36" s="3535" t="str">
        <f>IF(K36&lt;0,"Manque"," ")</f>
        <v xml:space="preserve"> </v>
      </c>
      <c r="J36" s="3535"/>
      <c r="K36" s="1057">
        <f>IF(AND(ISBLANK(participants),SUM(K33:K35)=0),0,SUM(K33:K35)-participants)</f>
        <v>0</v>
      </c>
      <c r="L36" s="1058" t="str">
        <f>IF(K36&gt;0,"en trop"," ")</f>
        <v xml:space="preserve"> </v>
      </c>
    </row>
    <row r="37" spans="1:31" s="905" customFormat="1" ht="3" customHeight="1" x14ac:dyDescent="0.25">
      <c r="A37" s="1042"/>
      <c r="C37" s="909"/>
      <c r="D37" s="907"/>
      <c r="E37" s="909"/>
      <c r="F37" s="944"/>
      <c r="G37" s="23"/>
      <c r="H37" s="942"/>
      <c r="I37" s="942"/>
      <c r="J37" s="942"/>
      <c r="K37" s="943"/>
      <c r="L37" s="943"/>
    </row>
    <row r="38" spans="1:31" s="905" customFormat="1" ht="24.9" customHeight="1" x14ac:dyDescent="0.25">
      <c r="A38" s="1042"/>
      <c r="C38" s="919"/>
      <c r="D38" s="957" t="s">
        <v>923</v>
      </c>
      <c r="E38" s="958" t="e">
        <f>ROUND(SUM(E33:E36)/SUM(D33:D36),1)</f>
        <v>#DIV/0!</v>
      </c>
      <c r="F38" s="959" t="e">
        <f>IF(E38=0," ",IF(E38&lt;1.5,"Faible",IF(E38&lt;2.5,"Moyen",IF(E38&gt;=2.5,"Fort"))))</f>
        <v>#DIV/0!</v>
      </c>
      <c r="H38" s="937"/>
      <c r="I38" s="937"/>
      <c r="J38" s="937"/>
      <c r="K38" s="937"/>
    </row>
    <row r="39" spans="1:31" s="905" customFormat="1" ht="20.100000000000001" customHeight="1" x14ac:dyDescent="0.25">
      <c r="A39" s="1042"/>
      <c r="C39" s="909"/>
      <c r="F39" s="941"/>
      <c r="G39" s="23"/>
      <c r="H39" s="23"/>
      <c r="I39" s="23"/>
    </row>
    <row r="40" spans="1:31" s="14" customFormat="1" ht="35.1" customHeight="1" x14ac:dyDescent="0.3">
      <c r="B40" s="1604" t="s">
        <v>543</v>
      </c>
      <c r="C40" s="3582" t="s">
        <v>544</v>
      </c>
      <c r="D40" s="3583"/>
      <c r="E40" s="3583"/>
      <c r="F40" s="3584"/>
      <c r="G40" s="3591" t="s">
        <v>537</v>
      </c>
      <c r="H40" s="3591"/>
      <c r="I40" s="3591"/>
      <c r="J40" s="3591"/>
      <c r="K40" s="3591"/>
      <c r="L40" s="3592"/>
      <c r="P40" s="363"/>
      <c r="Q40" s="363"/>
      <c r="R40" s="363"/>
      <c r="S40" s="363"/>
      <c r="T40" s="363"/>
      <c r="U40" s="363"/>
      <c r="V40" s="363"/>
      <c r="W40" s="363"/>
      <c r="X40" s="363"/>
      <c r="Y40" s="363"/>
      <c r="Z40" s="363"/>
      <c r="AA40" s="363"/>
      <c r="AB40" s="363"/>
      <c r="AC40" s="363"/>
      <c r="AD40" s="363"/>
      <c r="AE40" s="363"/>
    </row>
    <row r="41" spans="1:31" s="21" customFormat="1" ht="24.9" customHeight="1" x14ac:dyDescent="0.25">
      <c r="B41" s="1603"/>
      <c r="C41" s="3596"/>
      <c r="D41" s="3163"/>
      <c r="E41" s="3163"/>
      <c r="F41" s="3597"/>
      <c r="G41" s="3593"/>
      <c r="H41" s="3594"/>
      <c r="I41" s="3594"/>
      <c r="J41" s="3594"/>
      <c r="K41" s="3594"/>
      <c r="L41" s="3595"/>
      <c r="P41" s="367"/>
      <c r="Q41" s="367"/>
      <c r="R41" s="367"/>
      <c r="S41" s="367"/>
      <c r="T41" s="367"/>
      <c r="U41" s="367"/>
      <c r="V41" s="367"/>
      <c r="W41" s="367"/>
      <c r="X41" s="367"/>
      <c r="Y41" s="367"/>
      <c r="Z41" s="367"/>
      <c r="AA41" s="367"/>
      <c r="AB41" s="367"/>
      <c r="AC41" s="367"/>
      <c r="AD41" s="367"/>
      <c r="AE41" s="367"/>
    </row>
    <row r="42" spans="1:31" s="14" customFormat="1" ht="24.9" customHeight="1" x14ac:dyDescent="0.3">
      <c r="B42" s="1601"/>
      <c r="C42" s="3580"/>
      <c r="D42" s="2265"/>
      <c r="E42" s="2265"/>
      <c r="F42" s="3581"/>
      <c r="G42" s="3585"/>
      <c r="H42" s="3586"/>
      <c r="I42" s="3586"/>
      <c r="J42" s="3586"/>
      <c r="K42" s="3586"/>
      <c r="L42" s="3587"/>
      <c r="P42" s="363"/>
      <c r="Q42" s="363"/>
      <c r="R42" s="363"/>
      <c r="S42" s="363"/>
      <c r="T42" s="363"/>
      <c r="U42" s="363"/>
      <c r="V42" s="363"/>
      <c r="W42" s="363"/>
      <c r="X42" s="363"/>
      <c r="Y42" s="363"/>
      <c r="Z42" s="363"/>
      <c r="AA42" s="363"/>
      <c r="AB42" s="363"/>
      <c r="AC42" s="363"/>
      <c r="AD42" s="363"/>
      <c r="AE42" s="363"/>
    </row>
    <row r="43" spans="1:31" s="21" customFormat="1" ht="24.9" customHeight="1" x14ac:dyDescent="0.25">
      <c r="B43" s="1601"/>
      <c r="C43" s="3580"/>
      <c r="D43" s="2265"/>
      <c r="E43" s="2265"/>
      <c r="F43" s="3581"/>
      <c r="G43" s="3585"/>
      <c r="H43" s="3586"/>
      <c r="I43" s="3586"/>
      <c r="J43" s="3586"/>
      <c r="K43" s="3586"/>
      <c r="L43" s="3587"/>
      <c r="P43" s="367"/>
      <c r="Q43" s="367"/>
      <c r="R43" s="367"/>
      <c r="S43" s="367"/>
      <c r="T43" s="367"/>
      <c r="U43" s="367"/>
      <c r="V43" s="367"/>
      <c r="W43" s="367"/>
      <c r="X43" s="367"/>
      <c r="Y43" s="367"/>
      <c r="Z43" s="367"/>
      <c r="AA43" s="367"/>
      <c r="AB43" s="367"/>
      <c r="AC43" s="367"/>
      <c r="AD43" s="367"/>
      <c r="AE43" s="367"/>
    </row>
    <row r="44" spans="1:31" s="14" customFormat="1" ht="24.9" customHeight="1" x14ac:dyDescent="0.3">
      <c r="B44" s="1601"/>
      <c r="C44" s="3580"/>
      <c r="D44" s="2265"/>
      <c r="E44" s="2265"/>
      <c r="F44" s="3581"/>
      <c r="G44" s="3585"/>
      <c r="H44" s="3586"/>
      <c r="I44" s="3586"/>
      <c r="J44" s="3586"/>
      <c r="K44" s="3586"/>
      <c r="L44" s="3587"/>
      <c r="P44" s="363"/>
      <c r="Q44" s="363"/>
      <c r="R44" s="363"/>
      <c r="S44" s="363"/>
      <c r="T44" s="363"/>
      <c r="U44" s="363"/>
      <c r="V44" s="363"/>
      <c r="W44" s="363"/>
      <c r="X44" s="363"/>
      <c r="Y44" s="363"/>
      <c r="Z44" s="363"/>
      <c r="AA44" s="363"/>
      <c r="AB44" s="363"/>
      <c r="AC44" s="363"/>
      <c r="AD44" s="363"/>
      <c r="AE44" s="363"/>
    </row>
    <row r="45" spans="1:31" s="21" customFormat="1" ht="24.9" customHeight="1" x14ac:dyDescent="0.25">
      <c r="B45" s="1601"/>
      <c r="C45" s="3580"/>
      <c r="D45" s="2265"/>
      <c r="E45" s="2265"/>
      <c r="F45" s="3581"/>
      <c r="G45" s="3585"/>
      <c r="H45" s="3586"/>
      <c r="I45" s="3586"/>
      <c r="J45" s="3586"/>
      <c r="K45" s="3586"/>
      <c r="L45" s="3587"/>
      <c r="P45" s="367"/>
      <c r="Q45" s="367"/>
      <c r="R45" s="367"/>
      <c r="S45" s="367"/>
      <c r="T45" s="367"/>
      <c r="U45" s="367"/>
      <c r="V45" s="367"/>
      <c r="W45" s="367"/>
      <c r="X45" s="367"/>
      <c r="Y45" s="367"/>
      <c r="Z45" s="367"/>
      <c r="AA45" s="367"/>
      <c r="AB45" s="367"/>
      <c r="AC45" s="367"/>
      <c r="AD45" s="367"/>
      <c r="AE45" s="367"/>
    </row>
    <row r="46" spans="1:31" s="14" customFormat="1" ht="24.9" customHeight="1" x14ac:dyDescent="0.3">
      <c r="B46" s="1601"/>
      <c r="C46" s="3580"/>
      <c r="D46" s="2265"/>
      <c r="E46" s="2265"/>
      <c r="F46" s="3581"/>
      <c r="G46" s="3585"/>
      <c r="H46" s="3586"/>
      <c r="I46" s="3586"/>
      <c r="J46" s="3586"/>
      <c r="K46" s="3586"/>
      <c r="L46" s="3587"/>
      <c r="P46" s="363"/>
      <c r="Q46" s="363"/>
      <c r="R46" s="363"/>
      <c r="S46" s="363"/>
      <c r="T46" s="363"/>
      <c r="U46" s="363"/>
      <c r="V46" s="363"/>
      <c r="W46" s="363"/>
      <c r="X46" s="363"/>
      <c r="Y46" s="363"/>
      <c r="Z46" s="363"/>
      <c r="AA46" s="363"/>
      <c r="AB46" s="363"/>
      <c r="AC46" s="363"/>
      <c r="AD46" s="363"/>
      <c r="AE46" s="363"/>
    </row>
    <row r="47" spans="1:31" s="21" customFormat="1" ht="24.9" customHeight="1" x14ac:dyDescent="0.25">
      <c r="B47" s="1601"/>
      <c r="C47" s="3580"/>
      <c r="D47" s="2265"/>
      <c r="E47" s="2265"/>
      <c r="F47" s="3581"/>
      <c r="G47" s="3585"/>
      <c r="H47" s="3586"/>
      <c r="I47" s="3586"/>
      <c r="J47" s="3586"/>
      <c r="K47" s="3586"/>
      <c r="L47" s="3587"/>
      <c r="P47" s="367"/>
      <c r="Q47" s="367"/>
      <c r="R47" s="367"/>
      <c r="S47" s="367"/>
      <c r="T47" s="367"/>
      <c r="U47" s="367"/>
      <c r="V47" s="367"/>
      <c r="W47" s="367"/>
      <c r="X47" s="367"/>
      <c r="Y47" s="367"/>
      <c r="Z47" s="367"/>
      <c r="AA47" s="367"/>
      <c r="AB47" s="367"/>
      <c r="AC47" s="367"/>
      <c r="AD47" s="367"/>
      <c r="AE47" s="367"/>
    </row>
    <row r="48" spans="1:31" s="14" customFormat="1" ht="24.9" customHeight="1" x14ac:dyDescent="0.3">
      <c r="B48" s="1601"/>
      <c r="C48" s="3580"/>
      <c r="D48" s="2265"/>
      <c r="E48" s="2265"/>
      <c r="F48" s="3581"/>
      <c r="G48" s="3585"/>
      <c r="H48" s="3586"/>
      <c r="I48" s="3586"/>
      <c r="J48" s="3586"/>
      <c r="K48" s="3586"/>
      <c r="L48" s="3587"/>
      <c r="P48" s="363"/>
      <c r="Q48" s="363"/>
      <c r="R48" s="363"/>
      <c r="S48" s="363"/>
      <c r="T48" s="363"/>
      <c r="U48" s="363"/>
      <c r="V48" s="363"/>
      <c r="W48" s="363"/>
      <c r="X48" s="363"/>
      <c r="Y48" s="363"/>
      <c r="Z48" s="363"/>
      <c r="AA48" s="363"/>
      <c r="AB48" s="363"/>
      <c r="AC48" s="363"/>
      <c r="AD48" s="363"/>
      <c r="AE48" s="363"/>
    </row>
    <row r="49" spans="2:31" s="21" customFormat="1" ht="24.9" customHeight="1" x14ac:dyDescent="0.25">
      <c r="B49" s="1601"/>
      <c r="C49" s="3580"/>
      <c r="D49" s="2265"/>
      <c r="E49" s="2265"/>
      <c r="F49" s="3581"/>
      <c r="G49" s="3585"/>
      <c r="H49" s="3586"/>
      <c r="I49" s="3586"/>
      <c r="J49" s="3586"/>
      <c r="K49" s="3586"/>
      <c r="L49" s="3587"/>
      <c r="P49" s="367"/>
      <c r="Q49" s="367"/>
      <c r="R49" s="367"/>
      <c r="S49" s="367"/>
      <c r="T49" s="367"/>
      <c r="U49" s="367"/>
      <c r="V49" s="367"/>
      <c r="W49" s="367"/>
      <c r="X49" s="367"/>
      <c r="Y49" s="367"/>
      <c r="Z49" s="367"/>
      <c r="AA49" s="367"/>
      <c r="AB49" s="367"/>
      <c r="AC49" s="367"/>
      <c r="AD49" s="367"/>
      <c r="AE49" s="367"/>
    </row>
    <row r="50" spans="2:31" s="14" customFormat="1" ht="24.9" customHeight="1" x14ac:dyDescent="0.3">
      <c r="B50" s="1602"/>
      <c r="C50" s="3577"/>
      <c r="D50" s="3578"/>
      <c r="E50" s="3578"/>
      <c r="F50" s="3579"/>
      <c r="G50" s="3588"/>
      <c r="H50" s="3589"/>
      <c r="I50" s="3589"/>
      <c r="J50" s="3589"/>
      <c r="K50" s="3589"/>
      <c r="L50" s="3590"/>
      <c r="P50" s="363"/>
      <c r="Q50" s="363"/>
      <c r="R50" s="363"/>
      <c r="S50" s="363"/>
      <c r="T50" s="363"/>
      <c r="U50" s="363"/>
      <c r="V50" s="363"/>
      <c r="W50" s="363"/>
      <c r="X50" s="363"/>
      <c r="Y50" s="363"/>
      <c r="Z50" s="363"/>
      <c r="AA50" s="363"/>
      <c r="AB50" s="363"/>
      <c r="AC50" s="363"/>
      <c r="AD50" s="363"/>
      <c r="AE50" s="363"/>
    </row>
    <row r="51" spans="2:31" s="14" customFormat="1" ht="13.8" x14ac:dyDescent="0.3">
      <c r="J51" s="15"/>
      <c r="P51" s="363"/>
      <c r="Q51" s="363"/>
      <c r="R51" s="363"/>
      <c r="S51" s="363"/>
      <c r="T51" s="363"/>
      <c r="U51" s="363"/>
      <c r="V51" s="363"/>
      <c r="W51" s="363"/>
      <c r="X51" s="363"/>
      <c r="Y51" s="363"/>
      <c r="Z51" s="363"/>
      <c r="AA51" s="363"/>
      <c r="AB51" s="363"/>
      <c r="AC51" s="363"/>
      <c r="AD51" s="363"/>
      <c r="AE51" s="363"/>
    </row>
  </sheetData>
  <sheetProtection algorithmName="SHA-512" hashValue="zIn4gSrilr8gXKkd+Tpc4ewU6QMAdZTif2djVzf4dNNP94XBXMf/Wt4wklixPpg7gmMhkeZF4HLesfHFDYBkxw==" saltValue="X5cJhY6cVOU6X9rsVxaaSQ==" spinCount="100000" sheet="1" objects="1" scenarios="1" formatCells="0" formatColumns="0" formatRows="0" insertColumns="0" insertRows="0" insertHyperlinks="0" deleteColumns="0" deleteRows="0"/>
  <mergeCells count="83">
    <mergeCell ref="G40:L40"/>
    <mergeCell ref="G41:L41"/>
    <mergeCell ref="G42:L42"/>
    <mergeCell ref="G43:L43"/>
    <mergeCell ref="C41:F41"/>
    <mergeCell ref="C42:F42"/>
    <mergeCell ref="C50:F50"/>
    <mergeCell ref="C43:F43"/>
    <mergeCell ref="C40:F40"/>
    <mergeCell ref="G44:L44"/>
    <mergeCell ref="G45:L45"/>
    <mergeCell ref="G46:L46"/>
    <mergeCell ref="G47:L47"/>
    <mergeCell ref="G48:L48"/>
    <mergeCell ref="G49:L49"/>
    <mergeCell ref="G50:L50"/>
    <mergeCell ref="C48:F48"/>
    <mergeCell ref="C49:F49"/>
    <mergeCell ref="C44:F44"/>
    <mergeCell ref="C45:F45"/>
    <mergeCell ref="C46:F46"/>
    <mergeCell ref="C47:F47"/>
    <mergeCell ref="B20:D20"/>
    <mergeCell ref="B18:D18"/>
    <mergeCell ref="B25:D25"/>
    <mergeCell ref="B27:D27"/>
    <mergeCell ref="I2:K2"/>
    <mergeCell ref="B7:D7"/>
    <mergeCell ref="B12:D12"/>
    <mergeCell ref="B21:D21"/>
    <mergeCell ref="B26:D26"/>
    <mergeCell ref="J12:K12"/>
    <mergeCell ref="J13:K13"/>
    <mergeCell ref="B5:D5"/>
    <mergeCell ref="B6:D6"/>
    <mergeCell ref="J4:K4"/>
    <mergeCell ref="M5:O5"/>
    <mergeCell ref="M6:O6"/>
    <mergeCell ref="M7:O7"/>
    <mergeCell ref="B28:D28"/>
    <mergeCell ref="B14:D14"/>
    <mergeCell ref="M20:O20"/>
    <mergeCell ref="M21:O21"/>
    <mergeCell ref="M12:O12"/>
    <mergeCell ref="M13:O13"/>
    <mergeCell ref="M14:O14"/>
    <mergeCell ref="J6:K6"/>
    <mergeCell ref="J7:K7"/>
    <mergeCell ref="J9:K9"/>
    <mergeCell ref="J11:K11"/>
    <mergeCell ref="M19:O19"/>
    <mergeCell ref="B19:D19"/>
    <mergeCell ref="H33:J33"/>
    <mergeCell ref="H34:J34"/>
    <mergeCell ref="H35:J35"/>
    <mergeCell ref="I36:J36"/>
    <mergeCell ref="J18:K18"/>
    <mergeCell ref="J19:K19"/>
    <mergeCell ref="J20:K20"/>
    <mergeCell ref="J21:K21"/>
    <mergeCell ref="J23:K23"/>
    <mergeCell ref="J25:K25"/>
    <mergeCell ref="J26:K26"/>
    <mergeCell ref="J27:K27"/>
    <mergeCell ref="J28:K28"/>
    <mergeCell ref="H32:J32"/>
    <mergeCell ref="K32:L32"/>
    <mergeCell ref="M2:P2"/>
    <mergeCell ref="F30:I30"/>
    <mergeCell ref="F23:I23"/>
    <mergeCell ref="F16:I16"/>
    <mergeCell ref="F9:I9"/>
    <mergeCell ref="M26:O26"/>
    <mergeCell ref="M27:O27"/>
    <mergeCell ref="M28:O28"/>
    <mergeCell ref="B2:H2"/>
    <mergeCell ref="B4:D4"/>
    <mergeCell ref="B11:D11"/>
    <mergeCell ref="B13:D13"/>
    <mergeCell ref="J30:K30"/>
    <mergeCell ref="J14:K14"/>
    <mergeCell ref="J16:K16"/>
    <mergeCell ref="J5:K5"/>
  </mergeCells>
  <conditionalFormatting sqref="K32">
    <cfRule type="expression" dxfId="227" priority="283">
      <formula>$L$33&lt;50%</formula>
    </cfRule>
    <cfRule type="expression" dxfId="226" priority="284">
      <formula>$L$33&gt;=50%</formula>
    </cfRule>
  </conditionalFormatting>
  <conditionalFormatting sqref="H15">
    <cfRule type="expression" dxfId="225" priority="280" stopIfTrue="1">
      <formula>#REF!&gt;=7</formula>
    </cfRule>
  </conditionalFormatting>
  <conditionalFormatting sqref="H29">
    <cfRule type="expression" dxfId="224" priority="279" stopIfTrue="1">
      <formula>#REF!&gt;=7</formula>
    </cfRule>
  </conditionalFormatting>
  <conditionalFormatting sqref="F15 F29:F30">
    <cfRule type="expression" dxfId="223" priority="278" stopIfTrue="1">
      <formula>#REF!&lt;=3</formula>
    </cfRule>
  </conditionalFormatting>
  <conditionalFormatting sqref="F25 F18">
    <cfRule type="expression" dxfId="222" priority="277" stopIfTrue="1">
      <formula>#REF!&lt;=3</formula>
    </cfRule>
  </conditionalFormatting>
  <conditionalFormatting sqref="H25 H18">
    <cfRule type="expression" dxfId="221" priority="276" stopIfTrue="1">
      <formula>#REF!&gt;=7</formula>
    </cfRule>
  </conditionalFormatting>
  <conditionalFormatting sqref="H15">
    <cfRule type="expression" dxfId="220" priority="281" stopIfTrue="1">
      <formula>#REF!&gt;=7</formula>
    </cfRule>
  </conditionalFormatting>
  <conditionalFormatting sqref="F30">
    <cfRule type="expression" dxfId="219" priority="282" stopIfTrue="1">
      <formula>#REF!&lt;=3</formula>
    </cfRule>
  </conditionalFormatting>
  <conditionalFormatting sqref="E33:E36 C33:C36 J15:K15">
    <cfRule type="cellIs" dxfId="218" priority="275" stopIfTrue="1" operator="equal">
      <formula>0</formula>
    </cfRule>
  </conditionalFormatting>
  <conditionalFormatting sqref="M5:M7 M21 M26:M28">
    <cfRule type="cellIs" dxfId="217" priority="272" operator="equal">
      <formula>"Coefficient non renseigné"</formula>
    </cfRule>
    <cfRule type="cellIs" dxfId="216" priority="273" operator="equal">
      <formula>"votants &lt; participants"</formula>
    </cfRule>
    <cfRule type="cellIs" dxfId="215" priority="274" stopIfTrue="1" operator="equal">
      <formula>"Erreur : votants &gt; participants"</formula>
    </cfRule>
  </conditionalFormatting>
  <conditionalFormatting sqref="J9 J16 J30 J23">
    <cfRule type="expression" dxfId="214" priority="268" stopIfTrue="1">
      <formula>L9="Fort"</formula>
    </cfRule>
    <cfRule type="expression" dxfId="213" priority="269" stopIfTrue="1">
      <formula>L9="Moyen"</formula>
    </cfRule>
    <cfRule type="expression" dxfId="212" priority="270" stopIfTrue="1">
      <formula>L9="Faible"</formula>
    </cfRule>
    <cfRule type="cellIs" dxfId="211" priority="271" stopIfTrue="1" operator="equal">
      <formula>0</formula>
    </cfRule>
  </conditionalFormatting>
  <conditionalFormatting sqref="L9">
    <cfRule type="cellIs" dxfId="210" priority="264" stopIfTrue="1" operator="equal">
      <formula>"fort"</formula>
    </cfRule>
    <cfRule type="cellIs" dxfId="209" priority="265" stopIfTrue="1" operator="equal">
      <formula>"moyen"</formula>
    </cfRule>
    <cfRule type="cellIs" dxfId="208" priority="266" stopIfTrue="1" operator="equal">
      <formula>"faible"</formula>
    </cfRule>
    <cfRule type="cellIs" dxfId="207" priority="267" stopIfTrue="1" operator="equal">
      <formula>" "</formula>
    </cfRule>
  </conditionalFormatting>
  <conditionalFormatting sqref="D34">
    <cfRule type="cellIs" dxfId="206" priority="260" operator="greaterThan">
      <formula>0</formula>
    </cfRule>
    <cfRule type="expression" dxfId="205" priority="263">
      <formula>B34="N/A"</formula>
    </cfRule>
  </conditionalFormatting>
  <conditionalFormatting sqref="D33">
    <cfRule type="cellIs" dxfId="204" priority="261" operator="greaterThan">
      <formula>0</formula>
    </cfRule>
    <cfRule type="expression" dxfId="203" priority="262">
      <formula>B33="N/A"</formula>
    </cfRule>
  </conditionalFormatting>
  <conditionalFormatting sqref="D35">
    <cfRule type="expression" dxfId="202" priority="259">
      <formula>B35="N/A"</formula>
    </cfRule>
  </conditionalFormatting>
  <conditionalFormatting sqref="D35">
    <cfRule type="cellIs" dxfId="201" priority="258" operator="greaterThan">
      <formula>0</formula>
    </cfRule>
  </conditionalFormatting>
  <conditionalFormatting sqref="D36">
    <cfRule type="expression" dxfId="200" priority="257">
      <formula>B36="N/A"</formula>
    </cfRule>
  </conditionalFormatting>
  <conditionalFormatting sqref="D36">
    <cfRule type="cellIs" dxfId="199" priority="256" operator="greaterThan">
      <formula>0</formula>
    </cfRule>
  </conditionalFormatting>
  <conditionalFormatting sqref="G33">
    <cfRule type="cellIs" dxfId="198" priority="253" operator="equal">
      <formula>"Coefficient non renseigné"</formula>
    </cfRule>
    <cfRule type="cellIs" dxfId="197" priority="254" operator="equal">
      <formula>"votants &lt; participants"</formula>
    </cfRule>
    <cfRule type="cellIs" dxfId="196" priority="255" stopIfTrue="1" operator="equal">
      <formula>"Erreur : votants &gt; participants"</formula>
    </cfRule>
  </conditionalFormatting>
  <conditionalFormatting sqref="G34:G36">
    <cfRule type="cellIs" dxfId="195" priority="250" operator="equal">
      <formula>"Coefficient non renseigné"</formula>
    </cfRule>
    <cfRule type="cellIs" dxfId="194" priority="251" operator="equal">
      <formula>"votants &lt; participants"</formula>
    </cfRule>
    <cfRule type="cellIs" dxfId="193" priority="252" stopIfTrue="1" operator="equal">
      <formula>"Erreur : votants &gt; participants"</formula>
    </cfRule>
  </conditionalFormatting>
  <conditionalFormatting sqref="F33">
    <cfRule type="expression" dxfId="192" priority="245">
      <formula>B33="N/A"</formula>
    </cfRule>
    <cfRule type="cellIs" dxfId="191" priority="246" stopIfTrue="1" operator="equal">
      <formula>"fort"</formula>
    </cfRule>
    <cfRule type="cellIs" dxfId="190" priority="247" stopIfTrue="1" operator="equal">
      <formula>"moyen"</formula>
    </cfRule>
    <cfRule type="cellIs" dxfId="189" priority="248" stopIfTrue="1" operator="equal">
      <formula>"faible"</formula>
    </cfRule>
    <cfRule type="cellIs" dxfId="188" priority="249" stopIfTrue="1" operator="equal">
      <formula>" "</formula>
    </cfRule>
  </conditionalFormatting>
  <conditionalFormatting sqref="F34">
    <cfRule type="expression" dxfId="187" priority="240">
      <formula>B34="N/A"</formula>
    </cfRule>
    <cfRule type="cellIs" dxfId="186" priority="241" stopIfTrue="1" operator="equal">
      <formula>"fort"</formula>
    </cfRule>
    <cfRule type="cellIs" dxfId="185" priority="242" stopIfTrue="1" operator="equal">
      <formula>"moyen"</formula>
    </cfRule>
    <cfRule type="cellIs" dxfId="184" priority="243" stopIfTrue="1" operator="equal">
      <formula>"faible"</formula>
    </cfRule>
    <cfRule type="cellIs" dxfId="183" priority="244" stopIfTrue="1" operator="equal">
      <formula>" "</formula>
    </cfRule>
  </conditionalFormatting>
  <conditionalFormatting sqref="F36">
    <cfRule type="expression" dxfId="182" priority="230">
      <formula>B36="N/A"</formula>
    </cfRule>
    <cfRule type="cellIs" dxfId="181" priority="231" stopIfTrue="1" operator="equal">
      <formula>"fort"</formula>
    </cfRule>
    <cfRule type="cellIs" dxfId="180" priority="232" stopIfTrue="1" operator="equal">
      <formula>"moyen"</formula>
    </cfRule>
    <cfRule type="cellIs" dxfId="179" priority="233" stopIfTrue="1" operator="equal">
      <formula>"faible"</formula>
    </cfRule>
    <cfRule type="cellIs" dxfId="178" priority="234" stopIfTrue="1" operator="equal">
      <formula>" "</formula>
    </cfRule>
  </conditionalFormatting>
  <conditionalFormatting sqref="F35">
    <cfRule type="expression" dxfId="177" priority="235">
      <formula>B35="N/A"</formula>
    </cfRule>
    <cfRule type="cellIs" dxfId="176" priority="236" stopIfTrue="1" operator="equal">
      <formula>"fort"</formula>
    </cfRule>
    <cfRule type="cellIs" dxfId="175" priority="237" stopIfTrue="1" operator="equal">
      <formula>"moyen"</formula>
    </cfRule>
    <cfRule type="cellIs" dxfId="174" priority="238" stopIfTrue="1" operator="equal">
      <formula>"faible"</formula>
    </cfRule>
    <cfRule type="cellIs" dxfId="173" priority="239" stopIfTrue="1" operator="equal">
      <formula>" "</formula>
    </cfRule>
  </conditionalFormatting>
  <conditionalFormatting sqref="F38">
    <cfRule type="cellIs" dxfId="172" priority="226" stopIfTrue="1" operator="equal">
      <formula>"fort"</formula>
    </cfRule>
    <cfRule type="cellIs" dxfId="171" priority="227" stopIfTrue="1" operator="equal">
      <formula>"moyen"</formula>
    </cfRule>
    <cfRule type="cellIs" dxfId="170" priority="228" stopIfTrue="1" operator="equal">
      <formula>"faible"</formula>
    </cfRule>
    <cfRule type="cellIs" dxfId="169" priority="229" stopIfTrue="1" operator="equal">
      <formula>" "</formula>
    </cfRule>
  </conditionalFormatting>
  <conditionalFormatting sqref="E38">
    <cfRule type="expression" dxfId="168" priority="222" stopIfTrue="1">
      <formula>F38="Fort"</formula>
    </cfRule>
    <cfRule type="expression" dxfId="167" priority="223" stopIfTrue="1">
      <formula>F38="Moyen"</formula>
    </cfRule>
    <cfRule type="expression" dxfId="166" priority="224" stopIfTrue="1">
      <formula>F38="Faible"</formula>
    </cfRule>
    <cfRule type="cellIs" dxfId="165" priority="225" stopIfTrue="1" operator="equal">
      <formula>0</formula>
    </cfRule>
  </conditionalFormatting>
  <conditionalFormatting sqref="F4">
    <cfRule type="expression" dxfId="164" priority="221" stopIfTrue="1">
      <formula>#REF!&lt;=3</formula>
    </cfRule>
  </conditionalFormatting>
  <conditionalFormatting sqref="H4">
    <cfRule type="expression" dxfId="163" priority="220" stopIfTrue="1">
      <formula>#REF!&gt;=7</formula>
    </cfRule>
  </conditionalFormatting>
  <conditionalFormatting sqref="L5">
    <cfRule type="expression" dxfId="162" priority="215">
      <formula>E5="N/A"</formula>
    </cfRule>
    <cfRule type="cellIs" dxfId="161" priority="216" stopIfTrue="1" operator="equal">
      <formula>"fort"</formula>
    </cfRule>
    <cfRule type="cellIs" dxfId="160" priority="217" stopIfTrue="1" operator="equal">
      <formula>"moyen"</formula>
    </cfRule>
    <cfRule type="cellIs" dxfId="159" priority="218" stopIfTrue="1" operator="equal">
      <formula>"faible"</formula>
    </cfRule>
    <cfRule type="cellIs" dxfId="158" priority="219" stopIfTrue="1" operator="equal">
      <formula>" "</formula>
    </cfRule>
  </conditionalFormatting>
  <conditionalFormatting sqref="F7 F26">
    <cfRule type="expression" dxfId="157" priority="214">
      <formula>E7="N/A"</formula>
    </cfRule>
  </conditionalFormatting>
  <conditionalFormatting sqref="G7 G26">
    <cfRule type="expression" dxfId="156" priority="213">
      <formula>E7="N/A"</formula>
    </cfRule>
  </conditionalFormatting>
  <conditionalFormatting sqref="H7 H26">
    <cfRule type="expression" dxfId="155" priority="212">
      <formula>E7="N/A"</formula>
    </cfRule>
  </conditionalFormatting>
  <conditionalFormatting sqref="I7 I26">
    <cfRule type="cellIs" dxfId="154" priority="197" operator="greaterThan">
      <formula>0</formula>
    </cfRule>
    <cfRule type="expression" dxfId="153" priority="211">
      <formula>E7="N/A"</formula>
    </cfRule>
  </conditionalFormatting>
  <conditionalFormatting sqref="E7">
    <cfRule type="cellIs" dxfId="152" priority="210" operator="equal">
      <formula>"N/A"</formula>
    </cfRule>
  </conditionalFormatting>
  <conditionalFormatting sqref="E5:E6">
    <cfRule type="cellIs" dxfId="151" priority="204" operator="equal">
      <formula>"N/A"</formula>
    </cfRule>
  </conditionalFormatting>
  <conditionalFormatting sqref="F5:F6">
    <cfRule type="expression" dxfId="150" priority="203">
      <formula>E5="N/A"</formula>
    </cfRule>
  </conditionalFormatting>
  <conditionalFormatting sqref="J5">
    <cfRule type="cellIs" dxfId="149" priority="152" operator="equal">
      <formula>0</formula>
    </cfRule>
    <cfRule type="expression" dxfId="148" priority="202">
      <formula>E5="N/A"</formula>
    </cfRule>
  </conditionalFormatting>
  <conditionalFormatting sqref="G5:G6">
    <cfRule type="expression" dxfId="147" priority="201">
      <formula>E5="N/A"</formula>
    </cfRule>
  </conditionalFormatting>
  <conditionalFormatting sqref="H5:H6">
    <cfRule type="expression" dxfId="146" priority="200">
      <formula>E5="N/A"</formula>
    </cfRule>
  </conditionalFormatting>
  <conditionalFormatting sqref="I5:I6">
    <cfRule type="cellIs" dxfId="145" priority="198" operator="greaterThan">
      <formula>0</formula>
    </cfRule>
    <cfRule type="expression" dxfId="144" priority="199">
      <formula>E5="N/A"</formula>
    </cfRule>
  </conditionalFormatting>
  <conditionalFormatting sqref="L30 L23 L16">
    <cfRule type="cellIs" dxfId="143" priority="188" stopIfTrue="1" operator="equal">
      <formula>"fort"</formula>
    </cfRule>
    <cfRule type="cellIs" dxfId="142" priority="189" stopIfTrue="1" operator="equal">
      <formula>"moyen"</formula>
    </cfRule>
    <cfRule type="cellIs" dxfId="141" priority="190" stopIfTrue="1" operator="equal">
      <formula>"faible"</formula>
    </cfRule>
    <cfRule type="cellIs" dxfId="140" priority="191" stopIfTrue="1" operator="equal">
      <formula>" "</formula>
    </cfRule>
  </conditionalFormatting>
  <conditionalFormatting sqref="F23">
    <cfRule type="expression" dxfId="139" priority="186" stopIfTrue="1">
      <formula>#REF!&lt;=3</formula>
    </cfRule>
  </conditionalFormatting>
  <conditionalFormatting sqref="F23">
    <cfRule type="expression" dxfId="138" priority="187" stopIfTrue="1">
      <formula>#REF!&lt;=3</formula>
    </cfRule>
  </conditionalFormatting>
  <conditionalFormatting sqref="F16">
    <cfRule type="expression" dxfId="137" priority="184" stopIfTrue="1">
      <formula>#REF!&lt;=3</formula>
    </cfRule>
  </conditionalFormatting>
  <conditionalFormatting sqref="F16">
    <cfRule type="expression" dxfId="136" priority="185" stopIfTrue="1">
      <formula>#REF!&lt;=3</formula>
    </cfRule>
  </conditionalFormatting>
  <conditionalFormatting sqref="F9">
    <cfRule type="expression" dxfId="135" priority="182" stopIfTrue="1">
      <formula>#REF!&lt;=3</formula>
    </cfRule>
  </conditionalFormatting>
  <conditionalFormatting sqref="F9">
    <cfRule type="expression" dxfId="134" priority="183" stopIfTrue="1">
      <formula>#REF!&lt;=3</formula>
    </cfRule>
  </conditionalFormatting>
  <conditionalFormatting sqref="F11">
    <cfRule type="expression" dxfId="133" priority="181" stopIfTrue="1">
      <formula>#REF!&lt;=3</formula>
    </cfRule>
  </conditionalFormatting>
  <conditionalFormatting sqref="H11">
    <cfRule type="expression" dxfId="132" priority="180" stopIfTrue="1">
      <formula>#REF!&gt;=7</formula>
    </cfRule>
  </conditionalFormatting>
  <conditionalFormatting sqref="F14">
    <cfRule type="expression" dxfId="131" priority="174">
      <formula>E14="N/A"</formula>
    </cfRule>
  </conditionalFormatting>
  <conditionalFormatting sqref="G14">
    <cfRule type="expression" dxfId="130" priority="173">
      <formula>E14="N/A"</formula>
    </cfRule>
  </conditionalFormatting>
  <conditionalFormatting sqref="H14">
    <cfRule type="expression" dxfId="129" priority="172">
      <formula>E14="N/A"</formula>
    </cfRule>
  </conditionalFormatting>
  <conditionalFormatting sqref="I14">
    <cfRule type="cellIs" dxfId="128" priority="158" operator="greaterThan">
      <formula>0</formula>
    </cfRule>
    <cfRule type="expression" dxfId="127" priority="171">
      <formula>E14="N/A"</formula>
    </cfRule>
  </conditionalFormatting>
  <conditionalFormatting sqref="E14">
    <cfRule type="cellIs" dxfId="126" priority="170" operator="equal">
      <formula>"N/A"</formula>
    </cfRule>
  </conditionalFormatting>
  <conditionalFormatting sqref="E12:E13">
    <cfRule type="cellIs" dxfId="125" priority="164" operator="equal">
      <formula>"N/A"</formula>
    </cfRule>
  </conditionalFormatting>
  <conditionalFormatting sqref="F12:F13">
    <cfRule type="expression" dxfId="124" priority="163">
      <formula>E12="N/A"</formula>
    </cfRule>
  </conditionalFormatting>
  <conditionalFormatting sqref="G12:G13">
    <cfRule type="expression" dxfId="123" priority="162">
      <formula>E12="N/A"</formula>
    </cfRule>
  </conditionalFormatting>
  <conditionalFormatting sqref="H12:H13">
    <cfRule type="expression" dxfId="122" priority="161">
      <formula>E12="N/A"</formula>
    </cfRule>
  </conditionalFormatting>
  <conditionalFormatting sqref="I12:I13">
    <cfRule type="cellIs" dxfId="121" priority="159" operator="greaterThan">
      <formula>0</formula>
    </cfRule>
    <cfRule type="expression" dxfId="120" priority="160">
      <formula>E12="N/A"</formula>
    </cfRule>
  </conditionalFormatting>
  <conditionalFormatting sqref="J6">
    <cfRule type="cellIs" dxfId="119" priority="150" operator="equal">
      <formula>0</formula>
    </cfRule>
    <cfRule type="expression" dxfId="118" priority="151">
      <formula>E6="N/A"</formula>
    </cfRule>
  </conditionalFormatting>
  <conditionalFormatting sqref="J7">
    <cfRule type="cellIs" dxfId="117" priority="148" operator="equal">
      <formula>0</formula>
    </cfRule>
    <cfRule type="expression" dxfId="116" priority="149">
      <formula>E7="N/A"</formula>
    </cfRule>
  </conditionalFormatting>
  <conditionalFormatting sqref="J12">
    <cfRule type="cellIs" dxfId="115" priority="146" operator="equal">
      <formula>0</formula>
    </cfRule>
    <cfRule type="expression" dxfId="114" priority="147">
      <formula>E12="N/A"</formula>
    </cfRule>
  </conditionalFormatting>
  <conditionalFormatting sqref="J13">
    <cfRule type="cellIs" dxfId="113" priority="144" operator="equal">
      <formula>0</formula>
    </cfRule>
    <cfRule type="expression" dxfId="112" priority="145">
      <formula>E13="N/A"</formula>
    </cfRule>
  </conditionalFormatting>
  <conditionalFormatting sqref="J14">
    <cfRule type="cellIs" dxfId="111" priority="142" operator="equal">
      <formula>0</formula>
    </cfRule>
    <cfRule type="expression" dxfId="110" priority="143">
      <formula>E14="N/A"</formula>
    </cfRule>
  </conditionalFormatting>
  <conditionalFormatting sqref="M12:M14">
    <cfRule type="cellIs" dxfId="109" priority="139" operator="equal">
      <formula>"Coefficient non renseigné"</formula>
    </cfRule>
    <cfRule type="cellIs" dxfId="108" priority="140" operator="equal">
      <formula>"votants &lt; participants"</formula>
    </cfRule>
    <cfRule type="cellIs" dxfId="107" priority="141" stopIfTrue="1" operator="equal">
      <formula>"Erreur : votants &gt; participants"</formula>
    </cfRule>
  </conditionalFormatting>
  <conditionalFormatting sqref="M29">
    <cfRule type="cellIs" dxfId="106" priority="136" operator="equal">
      <formula>"Coefficient non renseigné"</formula>
    </cfRule>
    <cfRule type="cellIs" dxfId="105" priority="137" operator="equal">
      <formula>"votants &lt; participants"</formula>
    </cfRule>
    <cfRule type="cellIs" dxfId="104" priority="138" stopIfTrue="1" operator="equal">
      <formula>"Erreur : votants &gt; participants"</formula>
    </cfRule>
  </conditionalFormatting>
  <conditionalFormatting sqref="E19:E20">
    <cfRule type="cellIs" dxfId="103" priority="130" operator="equal">
      <formula>"N/A"</formula>
    </cfRule>
  </conditionalFormatting>
  <conditionalFormatting sqref="F19:F20">
    <cfRule type="expression" dxfId="102" priority="129">
      <formula>E19="N/A"</formula>
    </cfRule>
  </conditionalFormatting>
  <conditionalFormatting sqref="G19:G20">
    <cfRule type="expression" dxfId="101" priority="128">
      <formula>E19="N/A"</formula>
    </cfRule>
  </conditionalFormatting>
  <conditionalFormatting sqref="H19:H20">
    <cfRule type="expression" dxfId="100" priority="127">
      <formula>E19="N/A"</formula>
    </cfRule>
  </conditionalFormatting>
  <conditionalFormatting sqref="I19:I20">
    <cfRule type="cellIs" dxfId="99" priority="125" operator="greaterThan">
      <formula>0</formula>
    </cfRule>
    <cfRule type="expression" dxfId="98" priority="126">
      <formula>E19="N/A"</formula>
    </cfRule>
  </conditionalFormatting>
  <conditionalFormatting sqref="F21">
    <cfRule type="expression" dxfId="97" priority="124">
      <formula>E21="N/A"</formula>
    </cfRule>
  </conditionalFormatting>
  <conditionalFormatting sqref="G21">
    <cfRule type="expression" dxfId="96" priority="123">
      <formula>E21="N/A"</formula>
    </cfRule>
  </conditionalFormatting>
  <conditionalFormatting sqref="H21">
    <cfRule type="expression" dxfId="95" priority="122">
      <formula>E21="N/A"</formula>
    </cfRule>
  </conditionalFormatting>
  <conditionalFormatting sqref="I21">
    <cfRule type="cellIs" dxfId="94" priority="114" operator="greaterThan">
      <formula>0</formula>
    </cfRule>
    <cfRule type="expression" dxfId="93" priority="121">
      <formula>E21="N/A"</formula>
    </cfRule>
  </conditionalFormatting>
  <conditionalFormatting sqref="E21">
    <cfRule type="cellIs" dxfId="92" priority="120" operator="equal">
      <formula>"N/A"</formula>
    </cfRule>
  </conditionalFormatting>
  <conditionalFormatting sqref="J19">
    <cfRule type="cellIs" dxfId="91" priority="105" operator="equal">
      <formula>0</formula>
    </cfRule>
    <cfRule type="expression" dxfId="90" priority="108">
      <formula>E19="N/A"</formula>
    </cfRule>
  </conditionalFormatting>
  <conditionalFormatting sqref="J21">
    <cfRule type="expression" dxfId="89" priority="107">
      <formula>E21="N/A"</formula>
    </cfRule>
  </conditionalFormatting>
  <conditionalFormatting sqref="J21">
    <cfRule type="cellIs" dxfId="88" priority="106" operator="equal">
      <formula>0</formula>
    </cfRule>
  </conditionalFormatting>
  <conditionalFormatting sqref="J20">
    <cfRule type="cellIs" dxfId="87" priority="103" operator="equal">
      <formula>0</formula>
    </cfRule>
    <cfRule type="expression" dxfId="86" priority="104">
      <formula>E20="N/A"</formula>
    </cfRule>
  </conditionalFormatting>
  <conditionalFormatting sqref="J27">
    <cfRule type="cellIs" dxfId="85" priority="69" operator="equal">
      <formula>0</formula>
    </cfRule>
    <cfRule type="expression" dxfId="84" priority="70">
      <formula>E27="N/A"</formula>
    </cfRule>
  </conditionalFormatting>
  <conditionalFormatting sqref="F27">
    <cfRule type="expression" dxfId="83" priority="97">
      <formula>E27="N/A"</formula>
    </cfRule>
  </conditionalFormatting>
  <conditionalFormatting sqref="G27">
    <cfRule type="expression" dxfId="82" priority="96">
      <formula>E27="N/A"</formula>
    </cfRule>
  </conditionalFormatting>
  <conditionalFormatting sqref="H27">
    <cfRule type="expression" dxfId="81" priority="95">
      <formula>E27="N/A"</formula>
    </cfRule>
  </conditionalFormatting>
  <conditionalFormatting sqref="I27">
    <cfRule type="cellIs" dxfId="80" priority="86" operator="greaterThan">
      <formula>0</formula>
    </cfRule>
    <cfRule type="expression" dxfId="79" priority="94">
      <formula>E27="N/A"</formula>
    </cfRule>
  </conditionalFormatting>
  <conditionalFormatting sqref="E27">
    <cfRule type="cellIs" dxfId="78" priority="93" operator="equal">
      <formula>"N/A"</formula>
    </cfRule>
  </conditionalFormatting>
  <conditionalFormatting sqref="E26">
    <cfRule type="cellIs" dxfId="77" priority="87" operator="equal">
      <formula>"N/A"</formula>
    </cfRule>
  </conditionalFormatting>
  <conditionalFormatting sqref="F28">
    <cfRule type="expression" dxfId="76" priority="85">
      <formula>E28="N/A"</formula>
    </cfRule>
  </conditionalFormatting>
  <conditionalFormatting sqref="G28">
    <cfRule type="expression" dxfId="75" priority="84">
      <formula>E28="N/A"</formula>
    </cfRule>
  </conditionalFormatting>
  <conditionalFormatting sqref="H28">
    <cfRule type="expression" dxfId="74" priority="83">
      <formula>E28="N/A"</formula>
    </cfRule>
  </conditionalFormatting>
  <conditionalFormatting sqref="I28">
    <cfRule type="cellIs" dxfId="73" priority="75" operator="greaterThan">
      <formula>0</formula>
    </cfRule>
    <cfRule type="expression" dxfId="72" priority="82">
      <formula>E28="N/A"</formula>
    </cfRule>
  </conditionalFormatting>
  <conditionalFormatting sqref="E28">
    <cfRule type="cellIs" dxfId="71" priority="81" operator="equal">
      <formula>"N/A"</formula>
    </cfRule>
  </conditionalFormatting>
  <conditionalFormatting sqref="J26">
    <cfRule type="cellIs" dxfId="70" priority="71" operator="equal">
      <formula>0</formula>
    </cfRule>
    <cfRule type="expression" dxfId="69" priority="74">
      <formula>E26="N/A"</formula>
    </cfRule>
  </conditionalFormatting>
  <conditionalFormatting sqref="J28">
    <cfRule type="expression" dxfId="68" priority="73">
      <formula>E28="N/A"</formula>
    </cfRule>
  </conditionalFormatting>
  <conditionalFormatting sqref="J28">
    <cfRule type="cellIs" dxfId="67" priority="72" operator="equal">
      <formula>0</formula>
    </cfRule>
  </conditionalFormatting>
  <conditionalFormatting sqref="L34">
    <cfRule type="expression" dxfId="66" priority="67">
      <formula>K34=0</formula>
    </cfRule>
  </conditionalFormatting>
  <conditionalFormatting sqref="L35">
    <cfRule type="expression" dxfId="65" priority="66">
      <formula>K35=0</formula>
    </cfRule>
  </conditionalFormatting>
  <conditionalFormatting sqref="K36">
    <cfRule type="cellIs" dxfId="64" priority="64" operator="equal">
      <formula>0</formula>
    </cfRule>
    <cfRule type="cellIs" dxfId="63" priority="65" operator="lessThan">
      <formula>0</formula>
    </cfRule>
  </conditionalFormatting>
  <conditionalFormatting sqref="I36:J36">
    <cfRule type="cellIs" dxfId="62" priority="63" operator="equal">
      <formula>"Manque"</formula>
    </cfRule>
  </conditionalFormatting>
  <conditionalFormatting sqref="M19">
    <cfRule type="cellIs" dxfId="61" priority="60" operator="equal">
      <formula>"Coefficient non renseigné"</formula>
    </cfRule>
    <cfRule type="cellIs" dxfId="60" priority="61" operator="equal">
      <formula>"votants &lt; participants"</formula>
    </cfRule>
    <cfRule type="cellIs" dxfId="59" priority="62" stopIfTrue="1" operator="equal">
      <formula>"Erreur : votants &gt; participants"</formula>
    </cfRule>
  </conditionalFormatting>
  <conditionalFormatting sqref="M20">
    <cfRule type="cellIs" dxfId="58" priority="57" operator="equal">
      <formula>"Coefficient non renseigné"</formula>
    </cfRule>
    <cfRule type="cellIs" dxfId="57" priority="58" operator="equal">
      <formula>"votants &lt; participants"</formula>
    </cfRule>
    <cfRule type="cellIs" dxfId="56" priority="59" stopIfTrue="1" operator="equal">
      <formula>"Erreur : votants &gt; participants"</formula>
    </cfRule>
  </conditionalFormatting>
  <conditionalFormatting sqref="L6">
    <cfRule type="expression" dxfId="55" priority="52">
      <formula>E6="N/A"</formula>
    </cfRule>
    <cfRule type="cellIs" dxfId="54" priority="53" stopIfTrue="1" operator="equal">
      <formula>"fort"</formula>
    </cfRule>
    <cfRule type="cellIs" dxfId="53" priority="54" stopIfTrue="1" operator="equal">
      <formula>"moyen"</formula>
    </cfRule>
    <cfRule type="cellIs" dxfId="52" priority="55" stopIfTrue="1" operator="equal">
      <formula>"faible"</formula>
    </cfRule>
    <cfRule type="cellIs" dxfId="51" priority="56" stopIfTrue="1" operator="equal">
      <formula>" "</formula>
    </cfRule>
  </conditionalFormatting>
  <conditionalFormatting sqref="L28">
    <cfRule type="expression" dxfId="50" priority="2">
      <formula>E28="N/A"</formula>
    </cfRule>
    <cfRule type="cellIs" dxfId="49" priority="3" stopIfTrue="1" operator="equal">
      <formula>"fort"</formula>
    </cfRule>
    <cfRule type="cellIs" dxfId="48" priority="4" stopIfTrue="1" operator="equal">
      <formula>"moyen"</formula>
    </cfRule>
    <cfRule type="cellIs" dxfId="47" priority="5" stopIfTrue="1" operator="equal">
      <formula>"faible"</formula>
    </cfRule>
    <cfRule type="cellIs" dxfId="46" priority="6" stopIfTrue="1" operator="equal">
      <formula>" "</formula>
    </cfRule>
  </conditionalFormatting>
  <conditionalFormatting sqref="L7">
    <cfRule type="expression" dxfId="45" priority="47">
      <formula>E7="N/A"</formula>
    </cfRule>
    <cfRule type="cellIs" dxfId="44" priority="48" stopIfTrue="1" operator="equal">
      <formula>"fort"</formula>
    </cfRule>
    <cfRule type="cellIs" dxfId="43" priority="49" stopIfTrue="1" operator="equal">
      <formula>"moyen"</formula>
    </cfRule>
    <cfRule type="cellIs" dxfId="42" priority="50" stopIfTrue="1" operator="equal">
      <formula>"faible"</formula>
    </cfRule>
    <cfRule type="cellIs" dxfId="41" priority="51" stopIfTrue="1" operator="equal">
      <formula>" "</formula>
    </cfRule>
  </conditionalFormatting>
  <conditionalFormatting sqref="L12">
    <cfRule type="expression" dxfId="40" priority="42">
      <formula>E12="N/A"</formula>
    </cfRule>
    <cfRule type="cellIs" dxfId="39" priority="43" stopIfTrue="1" operator="equal">
      <formula>"fort"</formula>
    </cfRule>
    <cfRule type="cellIs" dxfId="38" priority="44" stopIfTrue="1" operator="equal">
      <formula>"moyen"</formula>
    </cfRule>
    <cfRule type="cellIs" dxfId="37" priority="45" stopIfTrue="1" operator="equal">
      <formula>"faible"</formula>
    </cfRule>
    <cfRule type="cellIs" dxfId="36" priority="46" stopIfTrue="1" operator="equal">
      <formula>" "</formula>
    </cfRule>
  </conditionalFormatting>
  <conditionalFormatting sqref="L13">
    <cfRule type="expression" dxfId="35" priority="37">
      <formula>E13="N/A"</formula>
    </cfRule>
    <cfRule type="cellIs" dxfId="34" priority="38" stopIfTrue="1" operator="equal">
      <formula>"fort"</formula>
    </cfRule>
    <cfRule type="cellIs" dxfId="33" priority="39" stopIfTrue="1" operator="equal">
      <formula>"moyen"</formula>
    </cfRule>
    <cfRule type="cellIs" dxfId="32" priority="40" stopIfTrue="1" operator="equal">
      <formula>"faible"</formula>
    </cfRule>
    <cfRule type="cellIs" dxfId="31" priority="41" stopIfTrue="1" operator="equal">
      <formula>" "</formula>
    </cfRule>
  </conditionalFormatting>
  <conditionalFormatting sqref="L14">
    <cfRule type="expression" dxfId="30" priority="32">
      <formula>E14="N/A"</formula>
    </cfRule>
    <cfRule type="cellIs" dxfId="29" priority="33" stopIfTrue="1" operator="equal">
      <formula>"fort"</formula>
    </cfRule>
    <cfRule type="cellIs" dxfId="28" priority="34" stopIfTrue="1" operator="equal">
      <formula>"moyen"</formula>
    </cfRule>
    <cfRule type="cellIs" dxfId="27" priority="35" stopIfTrue="1" operator="equal">
      <formula>"faible"</formula>
    </cfRule>
    <cfRule type="cellIs" dxfId="26" priority="36" stopIfTrue="1" operator="equal">
      <formula>" "</formula>
    </cfRule>
  </conditionalFormatting>
  <conditionalFormatting sqref="L19">
    <cfRule type="expression" dxfId="25" priority="27">
      <formula>E19="N/A"</formula>
    </cfRule>
    <cfRule type="cellIs" dxfId="24" priority="28" stopIfTrue="1" operator="equal">
      <formula>"fort"</formula>
    </cfRule>
    <cfRule type="cellIs" dxfId="23" priority="29" stopIfTrue="1" operator="equal">
      <formula>"moyen"</formula>
    </cfRule>
    <cfRule type="cellIs" dxfId="22" priority="30" stopIfTrue="1" operator="equal">
      <formula>"faible"</formula>
    </cfRule>
    <cfRule type="cellIs" dxfId="21" priority="31" stopIfTrue="1" operator="equal">
      <formula>" "</formula>
    </cfRule>
  </conditionalFormatting>
  <conditionalFormatting sqref="L20">
    <cfRule type="expression" dxfId="20" priority="22">
      <formula>E20="N/A"</formula>
    </cfRule>
    <cfRule type="cellIs" dxfId="19" priority="23" stopIfTrue="1" operator="equal">
      <formula>"fort"</formula>
    </cfRule>
    <cfRule type="cellIs" dxfId="18" priority="24" stopIfTrue="1" operator="equal">
      <formula>"moyen"</formula>
    </cfRule>
    <cfRule type="cellIs" dxfId="17" priority="25" stopIfTrue="1" operator="equal">
      <formula>"faible"</formula>
    </cfRule>
    <cfRule type="cellIs" dxfId="16" priority="26" stopIfTrue="1" operator="equal">
      <formula>" "</formula>
    </cfRule>
  </conditionalFormatting>
  <conditionalFormatting sqref="L21">
    <cfRule type="expression" dxfId="15" priority="17">
      <formula>E21="N/A"</formula>
    </cfRule>
    <cfRule type="cellIs" dxfId="14" priority="18" stopIfTrue="1" operator="equal">
      <formula>"fort"</formula>
    </cfRule>
    <cfRule type="cellIs" dxfId="13" priority="19" stopIfTrue="1" operator="equal">
      <formula>"moyen"</formula>
    </cfRule>
    <cfRule type="cellIs" dxfId="12" priority="20" stopIfTrue="1" operator="equal">
      <formula>"faible"</formula>
    </cfRule>
    <cfRule type="cellIs" dxfId="11" priority="21" stopIfTrue="1" operator="equal">
      <formula>" "</formula>
    </cfRule>
  </conditionalFormatting>
  <conditionalFormatting sqref="L26">
    <cfRule type="expression" dxfId="10" priority="12">
      <formula>E26="N/A"</formula>
    </cfRule>
    <cfRule type="cellIs" dxfId="9" priority="13" stopIfTrue="1" operator="equal">
      <formula>"fort"</formula>
    </cfRule>
    <cfRule type="cellIs" dxfId="8" priority="14" stopIfTrue="1" operator="equal">
      <formula>"moyen"</formula>
    </cfRule>
    <cfRule type="cellIs" dxfId="7" priority="15" stopIfTrue="1" operator="equal">
      <formula>"faible"</formula>
    </cfRule>
    <cfRule type="cellIs" dxfId="6" priority="16" stopIfTrue="1" operator="equal">
      <formula>" "</formula>
    </cfRule>
  </conditionalFormatting>
  <conditionalFormatting sqref="L27">
    <cfRule type="expression" dxfId="5" priority="7">
      <formula>E27="N/A"</formula>
    </cfRule>
    <cfRule type="cellIs" dxfId="4" priority="8" stopIfTrue="1" operator="equal">
      <formula>"fort"</formula>
    </cfRule>
    <cfRule type="cellIs" dxfId="3" priority="9" stopIfTrue="1" operator="equal">
      <formula>"moyen"</formula>
    </cfRule>
    <cfRule type="cellIs" dxfId="2" priority="10" stopIfTrue="1" operator="equal">
      <formula>"faible"</formula>
    </cfRule>
    <cfRule type="cellIs" dxfId="1" priority="11" stopIfTrue="1" operator="equal">
      <formula>" "</formula>
    </cfRule>
  </conditionalFormatting>
  <conditionalFormatting sqref="L33">
    <cfRule type="expression" dxfId="0" priority="1">
      <formula>K33=0</formula>
    </cfRule>
  </conditionalFormatting>
  <dataValidations count="3">
    <dataValidation type="list" allowBlank="1" showInputMessage="1" showErrorMessage="1" sqref="E5:E7 E12:E14 E19:E21 E26:E28" xr:uid="{00000000-0002-0000-0F00-000000000000}">
      <formula1>"N/A"</formula1>
    </dataValidation>
    <dataValidation allowBlank="1" showInputMessage="1" showErrorMessage="1" prompt="Pondération (0-5)" sqref="I4 I11 I18 I25" xr:uid="{00000000-0002-0000-0F00-000001000000}"/>
    <dataValidation allowBlank="1" showInputMessage="1" showErrorMessage="1" prompt="besoin clairement déterminé" sqref="H5:H6 H12:H13 H19:H20 H26" xr:uid="{00000000-0002-0000-0F00-000002000000}"/>
  </dataValidations>
  <pageMargins left="0" right="0" top="0" bottom="0"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indexed="39"/>
  </sheetPr>
  <dimension ref="A1:B62"/>
  <sheetViews>
    <sheetView showGridLines="0" showRowColHeaders="0" workbookViewId="0">
      <pane ySplit="2" topLeftCell="A3" activePane="bottomLeft" state="frozenSplit"/>
      <selection pane="bottomLeft" activeCell="B2" sqref="B2"/>
    </sheetView>
  </sheetViews>
  <sheetFormatPr baseColWidth="10" defaultColWidth="10.77734375" defaultRowHeight="13.8" x14ac:dyDescent="0.3"/>
  <cols>
    <col min="1" max="1" width="1.77734375" style="70" customWidth="1"/>
    <col min="2" max="2" width="202.33203125" style="70" customWidth="1"/>
    <col min="3" max="16384" width="10.77734375" style="70"/>
  </cols>
  <sheetData>
    <row r="1" spans="1:2" ht="6" customHeight="1" x14ac:dyDescent="0.3"/>
    <row r="2" spans="1:2" ht="21.9" customHeight="1" x14ac:dyDescent="0.3">
      <c r="B2" s="1866" t="s">
        <v>1069</v>
      </c>
    </row>
    <row r="3" spans="1:2" s="85" customFormat="1" ht="30" customHeight="1" x14ac:dyDescent="0.3">
      <c r="B3" s="791" t="s">
        <v>786</v>
      </c>
    </row>
    <row r="4" spans="1:2" s="110" customFormat="1" ht="20.100000000000001" customHeight="1" x14ac:dyDescent="0.25">
      <c r="A4" s="527"/>
      <c r="B4" s="1013" t="s">
        <v>989</v>
      </c>
    </row>
    <row r="5" spans="1:2" s="98" customFormat="1" ht="20.100000000000001" customHeight="1" x14ac:dyDescent="0.25">
      <c r="A5" s="524"/>
      <c r="B5" s="1014" t="s">
        <v>300</v>
      </c>
    </row>
    <row r="6" spans="1:2" s="98" customFormat="1" ht="30" customHeight="1" x14ac:dyDescent="0.25">
      <c r="A6" s="524"/>
      <c r="B6" s="1014" t="s">
        <v>990</v>
      </c>
    </row>
    <row r="7" spans="1:2" s="110" customFormat="1" ht="30" customHeight="1" x14ac:dyDescent="0.25">
      <c r="A7" s="527"/>
      <c r="B7" s="1014" t="s">
        <v>991</v>
      </c>
    </row>
    <row r="8" spans="1:2" s="110" customFormat="1" ht="16.5" customHeight="1" x14ac:dyDescent="0.25">
      <c r="A8" s="527"/>
      <c r="B8" s="1015" t="s">
        <v>411</v>
      </c>
    </row>
    <row r="9" spans="1:2" s="110" customFormat="1" ht="16.5" customHeight="1" x14ac:dyDescent="0.25">
      <c r="A9" s="527"/>
      <c r="B9" s="1015" t="s">
        <v>32</v>
      </c>
    </row>
    <row r="10" spans="1:2" s="110" customFormat="1" ht="16.5" customHeight="1" x14ac:dyDescent="0.25">
      <c r="A10" s="527"/>
      <c r="B10" s="1015" t="s">
        <v>412</v>
      </c>
    </row>
    <row r="11" spans="1:2" s="110" customFormat="1" ht="16.5" customHeight="1" x14ac:dyDescent="0.25">
      <c r="A11" s="527"/>
      <c r="B11" s="1015" t="s">
        <v>413</v>
      </c>
    </row>
    <row r="12" spans="1:2" s="110" customFormat="1" ht="3" customHeight="1" x14ac:dyDescent="0.25">
      <c r="A12" s="527"/>
      <c r="B12" s="1016"/>
    </row>
    <row r="13" spans="1:2" s="110" customFormat="1" ht="20.100000000000001" customHeight="1" x14ac:dyDescent="0.25">
      <c r="A13" s="527"/>
      <c r="B13" s="1017" t="s">
        <v>414</v>
      </c>
    </row>
    <row r="14" spans="1:2" s="111" customFormat="1" ht="3" customHeight="1" x14ac:dyDescent="0.25">
      <c r="B14" s="1018"/>
    </row>
    <row r="15" spans="1:2" s="110" customFormat="1" ht="30" customHeight="1" x14ac:dyDescent="0.25">
      <c r="A15" s="527"/>
      <c r="B15" s="1014" t="s">
        <v>992</v>
      </c>
    </row>
    <row r="16" spans="1:2" s="98" customFormat="1" ht="20.100000000000001" customHeight="1" x14ac:dyDescent="0.25">
      <c r="A16" s="524"/>
      <c r="B16" s="1014" t="s">
        <v>993</v>
      </c>
    </row>
    <row r="17" spans="1:2" s="89" customFormat="1" ht="15" customHeight="1" x14ac:dyDescent="0.25">
      <c r="B17" s="1833" t="s">
        <v>419</v>
      </c>
    </row>
    <row r="18" spans="1:2" s="89" customFormat="1" ht="15" customHeight="1" x14ac:dyDescent="0.25">
      <c r="B18" s="1833" t="s">
        <v>420</v>
      </c>
    </row>
    <row r="19" spans="1:2" s="89" customFormat="1" ht="15" customHeight="1" x14ac:dyDescent="0.25">
      <c r="B19" s="1833" t="s">
        <v>399</v>
      </c>
    </row>
    <row r="20" spans="1:2" s="112" customFormat="1" ht="3" customHeight="1" x14ac:dyDescent="0.25">
      <c r="A20" s="525"/>
      <c r="B20" s="170"/>
    </row>
    <row r="21" spans="1:2" s="113" customFormat="1" ht="15" customHeight="1" x14ac:dyDescent="0.25">
      <c r="A21" s="526"/>
      <c r="B21" s="1015" t="s">
        <v>994</v>
      </c>
    </row>
    <row r="22" spans="1:2" s="113" customFormat="1" ht="15" customHeight="1" x14ac:dyDescent="0.25">
      <c r="A22" s="526"/>
      <c r="B22" s="1015" t="s">
        <v>995</v>
      </c>
    </row>
    <row r="23" spans="1:2" s="113" customFormat="1" ht="15" customHeight="1" x14ac:dyDescent="0.25">
      <c r="A23" s="526"/>
      <c r="B23" s="1015" t="s">
        <v>996</v>
      </c>
    </row>
    <row r="24" spans="1:2" s="113" customFormat="1" ht="20.100000000000001" customHeight="1" x14ac:dyDescent="0.25">
      <c r="A24" s="526"/>
      <c r="B24" s="1013" t="s">
        <v>416</v>
      </c>
    </row>
    <row r="25" spans="1:2" s="112" customFormat="1" ht="20.100000000000001" customHeight="1" x14ac:dyDescent="0.25">
      <c r="A25" s="525"/>
      <c r="B25" s="1858" t="s">
        <v>417</v>
      </c>
    </row>
    <row r="26" spans="1:2" s="112" customFormat="1" ht="16.5" customHeight="1" x14ac:dyDescent="0.25">
      <c r="A26" s="525"/>
      <c r="B26" s="1859" t="s">
        <v>35</v>
      </c>
    </row>
    <row r="27" spans="1:2" s="112" customFormat="1" ht="16.5" customHeight="1" x14ac:dyDescent="0.25">
      <c r="A27" s="525"/>
      <c r="B27" s="1859" t="s">
        <v>36</v>
      </c>
    </row>
    <row r="28" spans="1:2" s="112" customFormat="1" ht="16.5" customHeight="1" x14ac:dyDescent="0.25">
      <c r="A28" s="525"/>
      <c r="B28" s="1859" t="s">
        <v>1054</v>
      </c>
    </row>
    <row r="29" spans="1:2" s="112" customFormat="1" ht="16.5" customHeight="1" x14ac:dyDescent="0.25">
      <c r="A29" s="525"/>
      <c r="B29" s="1859" t="s">
        <v>1055</v>
      </c>
    </row>
    <row r="30" spans="1:2" s="113" customFormat="1" ht="20.100000000000001" customHeight="1" x14ac:dyDescent="0.25">
      <c r="A30" s="526"/>
      <c r="B30" s="1014" t="s">
        <v>997</v>
      </c>
    </row>
    <row r="31" spans="1:2" s="113" customFormat="1" ht="30" customHeight="1" x14ac:dyDescent="0.25">
      <c r="A31" s="526"/>
      <c r="B31" s="1014" t="s">
        <v>302</v>
      </c>
    </row>
    <row r="32" spans="1:2" s="98" customFormat="1" ht="15" customHeight="1" x14ac:dyDescent="0.25">
      <c r="A32" s="524"/>
      <c r="B32" s="1019" t="s">
        <v>155</v>
      </c>
    </row>
    <row r="33" spans="1:2" s="113" customFormat="1" ht="16.5" customHeight="1" x14ac:dyDescent="0.25">
      <c r="A33" s="526"/>
      <c r="B33" s="1010" t="s">
        <v>346</v>
      </c>
    </row>
    <row r="34" spans="1:2" s="112" customFormat="1" ht="16.5" customHeight="1" x14ac:dyDescent="0.25">
      <c r="A34" s="525"/>
      <c r="B34" s="1012" t="s">
        <v>109</v>
      </c>
    </row>
    <row r="35" spans="1:2" s="113" customFormat="1" ht="21.75" customHeight="1" x14ac:dyDescent="0.25">
      <c r="A35" s="526"/>
      <c r="B35" s="1020" t="s">
        <v>236</v>
      </c>
    </row>
    <row r="36" spans="1:2" s="112" customFormat="1" ht="16.5" customHeight="1" x14ac:dyDescent="0.25">
      <c r="A36" s="525"/>
      <c r="B36" s="1011" t="s">
        <v>237</v>
      </c>
    </row>
    <row r="37" spans="1:2" s="112" customFormat="1" ht="33.75" customHeight="1" x14ac:dyDescent="0.25">
      <c r="A37" s="525"/>
      <c r="B37" s="1021" t="s">
        <v>13</v>
      </c>
    </row>
    <row r="38" spans="1:2" s="112" customFormat="1" ht="16.5" customHeight="1" x14ac:dyDescent="0.25">
      <c r="A38" s="525"/>
      <c r="B38" s="1012" t="s">
        <v>988</v>
      </c>
    </row>
    <row r="39" spans="1:2" s="112" customFormat="1" ht="16.5" customHeight="1" x14ac:dyDescent="0.25">
      <c r="A39" s="525"/>
      <c r="B39" s="1012" t="s">
        <v>14</v>
      </c>
    </row>
    <row r="40" spans="1:2" s="112" customFormat="1" ht="16.5" customHeight="1" x14ac:dyDescent="0.25">
      <c r="A40" s="525"/>
      <c r="B40" s="1009"/>
    </row>
    <row r="41" spans="1:2" s="112" customFormat="1" ht="20.100000000000001" customHeight="1" x14ac:dyDescent="0.25">
      <c r="A41" s="525"/>
      <c r="B41" s="1022" t="s">
        <v>31</v>
      </c>
    </row>
    <row r="42" spans="1:2" s="790" customFormat="1" ht="20.100000000000001" customHeight="1" x14ac:dyDescent="0.25">
      <c r="B42" s="792" t="s">
        <v>785</v>
      </c>
    </row>
    <row r="43" spans="1:2" s="94" customFormat="1" x14ac:dyDescent="0.3"/>
    <row r="44" spans="1:2" s="94" customFormat="1" x14ac:dyDescent="0.3"/>
    <row r="45" spans="1:2" s="94" customFormat="1" x14ac:dyDescent="0.3"/>
    <row r="46" spans="1:2" s="94" customFormat="1" x14ac:dyDescent="0.3"/>
    <row r="47" spans="1:2" s="94" customFormat="1" x14ac:dyDescent="0.3"/>
    <row r="48" spans="1:2" s="94" customFormat="1" x14ac:dyDescent="0.3"/>
    <row r="49" s="94" customFormat="1" x14ac:dyDescent="0.3"/>
    <row r="50" s="94" customFormat="1" x14ac:dyDescent="0.3"/>
    <row r="51" s="94" customFormat="1" x14ac:dyDescent="0.3"/>
    <row r="52" s="94" customFormat="1" x14ac:dyDescent="0.3"/>
    <row r="53" s="94" customFormat="1" x14ac:dyDescent="0.3"/>
    <row r="54" s="94" customFormat="1" x14ac:dyDescent="0.3"/>
    <row r="55" s="94" customFormat="1" x14ac:dyDescent="0.3"/>
    <row r="56" s="94" customFormat="1" x14ac:dyDescent="0.3"/>
    <row r="57" s="94" customFormat="1" x14ac:dyDescent="0.3"/>
    <row r="58" s="94" customFormat="1" x14ac:dyDescent="0.3"/>
    <row r="59" s="94" customFormat="1" x14ac:dyDescent="0.3"/>
    <row r="60" s="94" customFormat="1" x14ac:dyDescent="0.3"/>
    <row r="61" s="94" customFormat="1" x14ac:dyDescent="0.3"/>
    <row r="62" s="94" customFormat="1" x14ac:dyDescent="0.3"/>
  </sheetData>
  <sheetProtection algorithmName="SHA-512" hashValue="zgjC1zd1nQ5Acb/IJcB076cwLcMK/ZRMTZgtx0qKUGaOBNsPL7k9klM/ZqUVXBd/K3a+e20jukT3cdQ63JKJug==" saltValue="MNcjgGCESgaKvuekNMTHJA==" spinCount="100000" sheet="1" objects="1" scenarios="1" formatCells="0" formatColumns="0" formatRows="0" insertColumns="0" insertRows="0" insertHyperlinks="0" deleteColumns="0" deleteRows="0" sort="0" autoFilter="0" pivotTables="0"/>
  <phoneticPr fontId="0" type="noConversion"/>
  <hyperlinks>
    <hyperlink ref="B34" r:id="rId1" xr:uid="{00000000-0004-0000-0100-000000000000}"/>
    <hyperlink ref="B38" r:id="rId2" xr:uid="{00000000-0004-0000-0100-000001000000}"/>
    <hyperlink ref="B36" location="Comprendre!A374" display="modalités d'intervention d'Herrikoa" xr:uid="{00000000-0004-0000-0100-000002000000}"/>
    <hyperlink ref="B39" r:id="rId3" xr:uid="{00000000-0004-0000-0100-000003000000}"/>
  </hyperlinks>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indexed="25"/>
    <pageSetUpPr fitToPage="1"/>
  </sheetPr>
  <dimension ref="B1:P110"/>
  <sheetViews>
    <sheetView showGridLines="0" showRowColHeaders="0" workbookViewId="0">
      <selection activeCell="B2" sqref="B2:I2"/>
    </sheetView>
  </sheetViews>
  <sheetFormatPr baseColWidth="10" defaultColWidth="10.77734375" defaultRowHeight="13.8" x14ac:dyDescent="0.3"/>
  <cols>
    <col min="1" max="1" width="1.77734375" style="148" customWidth="1"/>
    <col min="2" max="2" width="28.6640625" style="168" customWidth="1"/>
    <col min="3" max="3" width="12.44140625" style="168" customWidth="1"/>
    <col min="4" max="4" width="25.77734375" style="168" customWidth="1"/>
    <col min="5" max="5" width="28.77734375" style="168" customWidth="1"/>
    <col min="6" max="6" width="24.77734375" style="168" customWidth="1"/>
    <col min="7" max="7" width="8.77734375" style="168" customWidth="1"/>
    <col min="8" max="8" width="25.33203125" style="168" customWidth="1"/>
    <col min="9" max="9" width="16.77734375" style="168" customWidth="1"/>
    <col min="10" max="11" width="27" style="146" customWidth="1"/>
    <col min="12" max="12" width="6.77734375" style="148" customWidth="1"/>
    <col min="13" max="13" width="10.77734375" style="146"/>
    <col min="14" max="14" width="21.33203125" style="146" customWidth="1"/>
    <col min="15" max="15" width="19" style="146" bestFit="1" customWidth="1"/>
    <col min="16" max="16" width="10.77734375" style="146"/>
    <col min="17" max="16384" width="10.77734375" style="148"/>
  </cols>
  <sheetData>
    <row r="1" spans="2:16" ht="6" customHeight="1" x14ac:dyDescent="0.3"/>
    <row r="2" spans="2:16" ht="21.9" customHeight="1" x14ac:dyDescent="0.3">
      <c r="B2" s="2148" t="s">
        <v>1068</v>
      </c>
      <c r="C2" s="2149"/>
      <c r="D2" s="2149"/>
      <c r="E2" s="2149"/>
      <c r="F2" s="2149"/>
      <c r="G2" s="2149"/>
      <c r="H2" s="2149"/>
      <c r="I2" s="2150"/>
      <c r="J2" s="159"/>
      <c r="K2" s="159"/>
    </row>
    <row r="3" spans="2:16" s="146" customFormat="1" ht="15" customHeight="1" x14ac:dyDescent="0.3">
      <c r="B3" s="166"/>
      <c r="C3" s="167"/>
      <c r="D3" s="167"/>
      <c r="E3" s="167"/>
      <c r="F3" s="167"/>
      <c r="G3" s="167"/>
      <c r="H3" s="167"/>
      <c r="I3" s="167"/>
      <c r="J3" s="159"/>
      <c r="K3" s="159"/>
    </row>
    <row r="4" spans="2:16" s="146" customFormat="1" ht="20.100000000000001" customHeight="1" x14ac:dyDescent="0.3">
      <c r="B4" s="2146" t="s">
        <v>782</v>
      </c>
      <c r="C4" s="2147"/>
      <c r="D4" s="145"/>
      <c r="E4" s="145"/>
      <c r="F4" s="145"/>
      <c r="G4" s="145"/>
      <c r="H4" s="145"/>
      <c r="I4" s="145"/>
      <c r="J4" s="159"/>
      <c r="K4" s="159"/>
    </row>
    <row r="5" spans="2:16" ht="9.9" customHeight="1" x14ac:dyDescent="0.3"/>
    <row r="6" spans="2:16" s="173" customFormat="1" ht="20.100000000000001" customHeight="1" x14ac:dyDescent="0.3">
      <c r="B6" s="478" t="s">
        <v>164</v>
      </c>
      <c r="C6" s="2133"/>
      <c r="D6" s="2134"/>
      <c r="E6" s="2135"/>
      <c r="F6" s="191"/>
      <c r="G6" s="383" t="s">
        <v>165</v>
      </c>
      <c r="H6" s="2136"/>
      <c r="I6" s="2138"/>
      <c r="J6" s="190"/>
      <c r="K6" s="190"/>
      <c r="L6" s="188"/>
      <c r="M6" s="172"/>
      <c r="N6" s="172"/>
      <c r="O6" s="172"/>
      <c r="P6" s="172"/>
    </row>
    <row r="7" spans="2:16" s="173" customFormat="1" ht="9.9" customHeight="1" x14ac:dyDescent="0.3">
      <c r="B7" s="136"/>
      <c r="C7" s="191"/>
      <c r="D7" s="191"/>
      <c r="E7" s="191"/>
      <c r="F7" s="191"/>
      <c r="G7" s="191"/>
      <c r="H7" s="191"/>
      <c r="I7" s="191"/>
      <c r="J7" s="172"/>
      <c r="K7" s="172"/>
      <c r="M7" s="172"/>
      <c r="N7" s="172"/>
      <c r="O7" s="172"/>
      <c r="P7" s="172"/>
    </row>
    <row r="8" spans="2:16" s="173" customFormat="1" ht="20.100000000000001" customHeight="1" x14ac:dyDescent="0.3">
      <c r="B8" s="385" t="s">
        <v>355</v>
      </c>
      <c r="C8" s="2136"/>
      <c r="D8" s="2137"/>
      <c r="E8" s="2137"/>
      <c r="F8" s="2137"/>
      <c r="G8" s="2137"/>
      <c r="H8" s="2137"/>
      <c r="I8" s="2138"/>
      <c r="J8" s="190"/>
      <c r="K8" s="190"/>
      <c r="L8" s="188"/>
      <c r="M8" s="172"/>
      <c r="N8" s="172"/>
      <c r="O8" s="172"/>
      <c r="P8" s="172"/>
    </row>
    <row r="9" spans="2:16" s="173" customFormat="1" ht="9.9" customHeight="1" x14ac:dyDescent="0.3">
      <c r="B9" s="136"/>
      <c r="C9" s="191"/>
      <c r="D9" s="191"/>
      <c r="E9" s="191"/>
      <c r="F9" s="191"/>
      <c r="G9" s="191"/>
      <c r="H9" s="191"/>
      <c r="I9" s="191"/>
      <c r="J9" s="172"/>
      <c r="K9" s="172"/>
      <c r="M9" s="172"/>
      <c r="N9" s="172"/>
      <c r="O9" s="172"/>
      <c r="P9" s="172"/>
    </row>
    <row r="10" spans="2:16" s="173" customFormat="1" ht="20.100000000000001" customHeight="1" x14ac:dyDescent="0.3">
      <c r="B10" s="478" t="s">
        <v>115</v>
      </c>
      <c r="C10" s="2131"/>
      <c r="D10" s="2132"/>
      <c r="E10" s="889" t="s">
        <v>130</v>
      </c>
      <c r="F10" s="2136"/>
      <c r="G10" s="2138"/>
      <c r="H10" s="383" t="s">
        <v>194</v>
      </c>
      <c r="I10" s="1869"/>
      <c r="J10" s="190"/>
      <c r="K10" s="190"/>
      <c r="M10" s="172"/>
      <c r="N10" s="172"/>
      <c r="O10" s="172"/>
      <c r="P10" s="172"/>
    </row>
    <row r="11" spans="2:16" s="173" customFormat="1" ht="9.9" customHeight="1" x14ac:dyDescent="0.3">
      <c r="B11" s="136"/>
      <c r="C11" s="191"/>
      <c r="D11" s="191"/>
      <c r="E11" s="892"/>
      <c r="F11" s="191"/>
      <c r="G11" s="191"/>
      <c r="H11" s="480"/>
      <c r="I11" s="191"/>
      <c r="J11" s="172"/>
      <c r="K11" s="172"/>
      <c r="M11" s="172"/>
      <c r="N11" s="172"/>
      <c r="O11" s="172"/>
      <c r="P11" s="172"/>
    </row>
    <row r="12" spans="2:16" s="173" customFormat="1" ht="20.100000000000001" customHeight="1" x14ac:dyDescent="0.3">
      <c r="B12" s="478" t="s">
        <v>131</v>
      </c>
      <c r="C12" s="501"/>
      <c r="D12" s="502"/>
      <c r="E12" s="889" t="s">
        <v>110</v>
      </c>
      <c r="F12" s="481"/>
      <c r="H12" s="383" t="s">
        <v>202</v>
      </c>
      <c r="I12" s="481"/>
      <c r="J12" s="172"/>
      <c r="K12" s="172"/>
      <c r="M12" s="172"/>
    </row>
    <row r="13" spans="2:16" s="173" customFormat="1" ht="9.9" customHeight="1" x14ac:dyDescent="0.3">
      <c r="B13" s="136"/>
      <c r="C13" s="191"/>
      <c r="D13" s="191"/>
      <c r="E13" s="892"/>
      <c r="F13" s="191"/>
      <c r="G13" s="191"/>
      <c r="H13" s="191"/>
      <c r="I13" s="191"/>
      <c r="J13" s="172"/>
      <c r="K13" s="172"/>
      <c r="M13" s="172"/>
    </row>
    <row r="14" spans="2:16" s="173" customFormat="1" ht="20.100000000000001" customHeight="1" x14ac:dyDescent="0.3">
      <c r="B14" s="478" t="s">
        <v>267</v>
      </c>
      <c r="C14" s="1868"/>
      <c r="D14" s="204"/>
      <c r="E14" s="889" t="s">
        <v>0</v>
      </c>
      <c r="F14" s="2151"/>
      <c r="G14" s="2152"/>
      <c r="H14" s="2152"/>
      <c r="I14" s="2153"/>
      <c r="J14" s="190"/>
      <c r="K14" s="190"/>
      <c r="M14" s="172"/>
    </row>
    <row r="15" spans="2:16" s="173" customFormat="1" ht="9.9" customHeight="1" x14ac:dyDescent="0.3">
      <c r="B15" s="136"/>
      <c r="C15" s="191"/>
      <c r="D15" s="191"/>
      <c r="E15" s="892"/>
      <c r="F15" s="191"/>
      <c r="G15" s="191"/>
      <c r="H15" s="191"/>
      <c r="I15" s="191"/>
      <c r="J15" s="172"/>
      <c r="K15" s="172"/>
      <c r="M15" s="172"/>
    </row>
    <row r="16" spans="2:16" s="173" customFormat="1" ht="20.100000000000001" customHeight="1" x14ac:dyDescent="0.3">
      <c r="B16" s="478" t="s">
        <v>367</v>
      </c>
      <c r="C16" s="2129"/>
      <c r="D16" s="2130"/>
      <c r="E16" s="889" t="s">
        <v>368</v>
      </c>
      <c r="F16" s="2129"/>
      <c r="G16" s="2130"/>
      <c r="H16" s="191"/>
      <c r="I16" s="191"/>
      <c r="J16" s="172"/>
      <c r="K16" s="172"/>
      <c r="M16" s="172"/>
    </row>
    <row r="17" spans="2:16" s="173" customFormat="1" ht="9.9" customHeight="1" x14ac:dyDescent="0.3">
      <c r="B17" s="136"/>
      <c r="C17" s="191"/>
      <c r="D17" s="191"/>
      <c r="E17" s="191"/>
      <c r="F17" s="191"/>
      <c r="G17" s="191"/>
      <c r="H17" s="191"/>
      <c r="I17" s="191"/>
      <c r="J17" s="172"/>
      <c r="K17" s="172"/>
      <c r="M17" s="172"/>
    </row>
    <row r="18" spans="2:16" s="173" customFormat="1" ht="20.100000000000001" customHeight="1" x14ac:dyDescent="0.3">
      <c r="B18" s="478" t="s">
        <v>239</v>
      </c>
      <c r="C18" s="186"/>
      <c r="D18" s="2133"/>
      <c r="E18" s="2134"/>
      <c r="F18" s="2134"/>
      <c r="G18" s="2135"/>
      <c r="H18" s="384" t="s">
        <v>238</v>
      </c>
      <c r="I18" s="482"/>
      <c r="J18" s="190"/>
      <c r="K18" s="190"/>
      <c r="M18" s="172"/>
    </row>
    <row r="19" spans="2:16" s="173" customFormat="1" ht="9.9" customHeight="1" x14ac:dyDescent="0.3">
      <c r="B19" s="136"/>
      <c r="C19" s="191"/>
      <c r="D19" s="191"/>
      <c r="E19" s="191"/>
      <c r="F19" s="191"/>
      <c r="G19" s="191"/>
      <c r="H19" s="191"/>
      <c r="I19" s="191"/>
      <c r="J19" s="172"/>
      <c r="K19" s="172"/>
      <c r="M19" s="172"/>
    </row>
    <row r="20" spans="2:16" s="173" customFormat="1" ht="20.100000000000001" customHeight="1" x14ac:dyDescent="0.3">
      <c r="B20" s="2142" t="s">
        <v>373</v>
      </c>
      <c r="C20" s="2143"/>
      <c r="D20" s="2143"/>
      <c r="E20" s="481"/>
      <c r="F20" s="485" t="s">
        <v>599</v>
      </c>
      <c r="G20" s="2139"/>
      <c r="H20" s="2140"/>
      <c r="I20" s="2141"/>
      <c r="J20" s="172"/>
      <c r="K20" s="172"/>
      <c r="M20" s="172"/>
    </row>
    <row r="21" spans="2:16" s="173" customFormat="1" ht="9.9" customHeight="1" x14ac:dyDescent="0.3">
      <c r="B21" s="483"/>
      <c r="C21" s="483"/>
      <c r="D21" s="483"/>
      <c r="E21" s="191"/>
      <c r="F21" s="191"/>
      <c r="G21" s="191"/>
      <c r="H21" s="191"/>
      <c r="I21" s="191"/>
      <c r="J21" s="172"/>
      <c r="K21" s="172"/>
      <c r="M21" s="172"/>
    </row>
    <row r="22" spans="2:16" s="173" customFormat="1" ht="20.100000000000001" customHeight="1" x14ac:dyDescent="0.3">
      <c r="B22" s="478" t="s">
        <v>90</v>
      </c>
      <c r="C22" s="191"/>
      <c r="D22" s="191"/>
      <c r="E22" s="2133"/>
      <c r="F22" s="2144"/>
      <c r="G22" s="2144"/>
      <c r="H22" s="2144"/>
      <c r="I22" s="2145"/>
      <c r="J22" s="172"/>
      <c r="K22" s="172"/>
      <c r="M22" s="172"/>
    </row>
    <row r="23" spans="2:16" s="173" customFormat="1" ht="20.100000000000001" customHeight="1" x14ac:dyDescent="0.3">
      <c r="B23" s="191"/>
      <c r="C23" s="191"/>
      <c r="D23" s="191"/>
      <c r="E23" s="191"/>
      <c r="F23" s="191"/>
      <c r="G23" s="191"/>
      <c r="H23" s="191"/>
      <c r="I23" s="191"/>
      <c r="J23" s="172"/>
      <c r="K23" s="172"/>
      <c r="M23" s="172"/>
    </row>
    <row r="24" spans="2:16" s="172" customFormat="1" ht="20.100000000000001" customHeight="1" x14ac:dyDescent="0.3">
      <c r="B24" s="2146" t="s">
        <v>783</v>
      </c>
      <c r="C24" s="2147"/>
      <c r="D24" s="484"/>
      <c r="E24" s="484"/>
      <c r="F24" s="484"/>
      <c r="G24" s="484"/>
      <c r="H24" s="484"/>
      <c r="I24" s="484"/>
      <c r="J24" s="190"/>
      <c r="K24" s="190"/>
    </row>
    <row r="25" spans="2:16" s="173" customFormat="1" ht="9.9" customHeight="1" x14ac:dyDescent="0.3">
      <c r="B25" s="191"/>
      <c r="C25" s="191"/>
      <c r="D25" s="191"/>
      <c r="E25" s="191"/>
      <c r="F25" s="191"/>
      <c r="G25" s="191"/>
      <c r="H25" s="191"/>
      <c r="I25" s="191"/>
      <c r="J25" s="172"/>
      <c r="K25" s="172"/>
      <c r="M25" s="172"/>
    </row>
    <row r="26" spans="2:16" s="173" customFormat="1" ht="20.100000000000001" customHeight="1" x14ac:dyDescent="0.3">
      <c r="B26" s="478" t="s">
        <v>164</v>
      </c>
      <c r="C26" s="2133"/>
      <c r="D26" s="2134"/>
      <c r="E26" s="2135"/>
      <c r="F26" s="191"/>
      <c r="G26" s="383" t="s">
        <v>165</v>
      </c>
      <c r="H26" s="2157"/>
      <c r="I26" s="2158"/>
      <c r="J26" s="190"/>
      <c r="K26" s="190"/>
      <c r="L26" s="188"/>
      <c r="M26" s="172"/>
      <c r="N26" s="172"/>
      <c r="O26" s="172"/>
      <c r="P26" s="172"/>
    </row>
    <row r="27" spans="2:16" s="173" customFormat="1" ht="9.9" customHeight="1" x14ac:dyDescent="0.3">
      <c r="B27" s="136"/>
      <c r="C27" s="191"/>
      <c r="D27" s="191"/>
      <c r="E27" s="191"/>
      <c r="F27" s="191"/>
      <c r="G27" s="191"/>
      <c r="H27" s="191"/>
      <c r="I27" s="191"/>
      <c r="J27" s="172"/>
      <c r="K27" s="172"/>
      <c r="M27" s="172"/>
      <c r="N27" s="172"/>
      <c r="O27" s="172"/>
      <c r="P27" s="172"/>
    </row>
    <row r="28" spans="2:16" s="173" customFormat="1" ht="20.100000000000001" customHeight="1" x14ac:dyDescent="0.3">
      <c r="B28" s="385" t="s">
        <v>355</v>
      </c>
      <c r="C28" s="2136"/>
      <c r="D28" s="2137"/>
      <c r="E28" s="2137"/>
      <c r="F28" s="2137"/>
      <c r="G28" s="2137"/>
      <c r="H28" s="2137"/>
      <c r="I28" s="2138"/>
      <c r="J28" s="190"/>
      <c r="K28" s="190"/>
      <c r="L28" s="188"/>
      <c r="M28" s="172"/>
      <c r="N28" s="172"/>
      <c r="O28" s="172"/>
      <c r="P28" s="172"/>
    </row>
    <row r="29" spans="2:16" s="173" customFormat="1" ht="9.9" customHeight="1" x14ac:dyDescent="0.3">
      <c r="B29" s="136"/>
      <c r="C29" s="191"/>
      <c r="D29" s="191"/>
      <c r="E29" s="191"/>
      <c r="F29" s="191"/>
      <c r="G29" s="191"/>
      <c r="H29" s="191"/>
      <c r="I29" s="191"/>
      <c r="J29" s="172"/>
      <c r="K29" s="172"/>
      <c r="M29" s="172"/>
      <c r="N29" s="172"/>
      <c r="O29" s="172"/>
      <c r="P29" s="172"/>
    </row>
    <row r="30" spans="2:16" s="173" customFormat="1" ht="20.100000000000001" customHeight="1" x14ac:dyDescent="0.3">
      <c r="B30" s="478" t="s">
        <v>115</v>
      </c>
      <c r="C30" s="2131"/>
      <c r="D30" s="2132"/>
      <c r="E30" s="889" t="s">
        <v>130</v>
      </c>
      <c r="F30" s="2136"/>
      <c r="G30" s="2138"/>
      <c r="H30" s="383" t="s">
        <v>194</v>
      </c>
      <c r="I30" s="1869"/>
      <c r="J30" s="190"/>
      <c r="K30" s="190"/>
      <c r="M30" s="172"/>
      <c r="N30" s="172"/>
      <c r="O30" s="172"/>
      <c r="P30" s="172"/>
    </row>
    <row r="31" spans="2:16" s="173" customFormat="1" ht="9.9" customHeight="1" x14ac:dyDescent="0.3">
      <c r="B31" s="136"/>
      <c r="C31" s="191"/>
      <c r="D31" s="191"/>
      <c r="E31" s="892"/>
      <c r="F31" s="191"/>
      <c r="G31" s="191"/>
      <c r="H31" s="480"/>
      <c r="I31" s="191"/>
      <c r="J31" s="172"/>
      <c r="K31" s="172"/>
      <c r="M31" s="172"/>
      <c r="N31" s="172"/>
      <c r="O31" s="172"/>
      <c r="P31" s="172"/>
    </row>
    <row r="32" spans="2:16" s="173" customFormat="1" ht="20.100000000000001" customHeight="1" x14ac:dyDescent="0.3">
      <c r="B32" s="478" t="s">
        <v>131</v>
      </c>
      <c r="C32" s="501"/>
      <c r="D32" s="502"/>
      <c r="E32" s="889" t="s">
        <v>110</v>
      </c>
      <c r="F32" s="481"/>
      <c r="H32" s="383" t="s">
        <v>202</v>
      </c>
      <c r="I32" s="481"/>
      <c r="J32" s="172"/>
      <c r="K32" s="172"/>
      <c r="M32" s="172"/>
    </row>
    <row r="33" spans="2:16" s="173" customFormat="1" ht="9.9" customHeight="1" x14ac:dyDescent="0.3">
      <c r="B33" s="136"/>
      <c r="C33" s="191"/>
      <c r="D33" s="191"/>
      <c r="E33" s="892"/>
      <c r="F33" s="191"/>
      <c r="G33" s="191"/>
      <c r="H33" s="191"/>
      <c r="I33" s="191"/>
      <c r="J33" s="172"/>
      <c r="K33" s="172"/>
      <c r="M33" s="172"/>
    </row>
    <row r="34" spans="2:16" s="173" customFormat="1" ht="20.100000000000001" customHeight="1" x14ac:dyDescent="0.3">
      <c r="B34" s="478" t="s">
        <v>267</v>
      </c>
      <c r="C34" s="1868"/>
      <c r="D34" s="204"/>
      <c r="E34" s="889" t="s">
        <v>0</v>
      </c>
      <c r="F34" s="2151"/>
      <c r="G34" s="2152"/>
      <c r="H34" s="2152"/>
      <c r="I34" s="2153"/>
      <c r="J34" s="190"/>
      <c r="K34" s="190"/>
      <c r="M34" s="172"/>
    </row>
    <row r="35" spans="2:16" s="173" customFormat="1" ht="9.9" customHeight="1" x14ac:dyDescent="0.3">
      <c r="B35" s="136"/>
      <c r="C35" s="191"/>
      <c r="D35" s="191"/>
      <c r="E35" s="892"/>
      <c r="F35" s="191"/>
      <c r="G35" s="191"/>
      <c r="H35" s="191"/>
      <c r="I35" s="191"/>
      <c r="J35" s="172"/>
      <c r="K35" s="172"/>
      <c r="M35" s="172"/>
    </row>
    <row r="36" spans="2:16" s="173" customFormat="1" ht="20.100000000000001" customHeight="1" x14ac:dyDescent="0.3">
      <c r="B36" s="478" t="s">
        <v>367</v>
      </c>
      <c r="C36" s="2129"/>
      <c r="D36" s="2130"/>
      <c r="E36" s="889" t="s">
        <v>368</v>
      </c>
      <c r="F36" s="2129"/>
      <c r="G36" s="2130"/>
      <c r="H36" s="191"/>
      <c r="I36" s="191"/>
      <c r="J36" s="172"/>
      <c r="K36" s="172"/>
      <c r="M36" s="172"/>
    </row>
    <row r="37" spans="2:16" s="173" customFormat="1" ht="9.9" customHeight="1" x14ac:dyDescent="0.3">
      <c r="B37" s="136"/>
      <c r="C37" s="191"/>
      <c r="D37" s="191"/>
      <c r="E37" s="191"/>
      <c r="F37" s="191"/>
      <c r="G37" s="191"/>
      <c r="H37" s="191"/>
      <c r="I37" s="191"/>
      <c r="J37" s="172"/>
      <c r="K37" s="172"/>
      <c r="M37" s="172"/>
    </row>
    <row r="38" spans="2:16" s="173" customFormat="1" ht="20.100000000000001" customHeight="1" x14ac:dyDescent="0.3">
      <c r="B38" s="478" t="s">
        <v>239</v>
      </c>
      <c r="C38" s="186"/>
      <c r="D38" s="2133"/>
      <c r="E38" s="2134"/>
      <c r="F38" s="2134"/>
      <c r="G38" s="2135"/>
      <c r="H38" s="384" t="s">
        <v>238</v>
      </c>
      <c r="I38" s="482"/>
      <c r="J38" s="190"/>
      <c r="K38" s="190"/>
      <c r="M38" s="172"/>
    </row>
    <row r="39" spans="2:16" s="173" customFormat="1" ht="9.9" customHeight="1" x14ac:dyDescent="0.3">
      <c r="B39" s="136"/>
      <c r="C39" s="191"/>
      <c r="D39" s="191"/>
      <c r="E39" s="191"/>
      <c r="F39" s="191"/>
      <c r="G39" s="191"/>
      <c r="H39" s="191"/>
      <c r="I39" s="191"/>
      <c r="J39" s="172"/>
      <c r="K39" s="172"/>
      <c r="M39" s="172"/>
    </row>
    <row r="40" spans="2:16" s="173" customFormat="1" ht="20.100000000000001" customHeight="1" x14ac:dyDescent="0.3">
      <c r="B40" s="2142" t="s">
        <v>373</v>
      </c>
      <c r="C40" s="2143"/>
      <c r="D40" s="2156"/>
      <c r="E40" s="481"/>
      <c r="F40" s="485" t="s">
        <v>599</v>
      </c>
      <c r="G40" s="2139"/>
      <c r="H40" s="2140"/>
      <c r="I40" s="2141"/>
      <c r="J40" s="172"/>
      <c r="K40" s="172"/>
      <c r="M40" s="172"/>
    </row>
    <row r="41" spans="2:16" s="173" customFormat="1" ht="9.9" customHeight="1" x14ac:dyDescent="0.3">
      <c r="B41" s="488"/>
      <c r="C41" s="488"/>
      <c r="D41" s="488"/>
      <c r="E41" s="191"/>
      <c r="F41" s="191"/>
      <c r="G41" s="191"/>
      <c r="H41" s="191"/>
      <c r="I41" s="191"/>
      <c r="J41" s="172"/>
      <c r="M41" s="172"/>
    </row>
    <row r="42" spans="2:16" s="173" customFormat="1" ht="20.100000000000001" customHeight="1" x14ac:dyDescent="0.3">
      <c r="B42" s="478" t="s">
        <v>90</v>
      </c>
      <c r="C42" s="191"/>
      <c r="D42" s="191"/>
      <c r="E42" s="2133"/>
      <c r="F42" s="2144"/>
      <c r="G42" s="2144"/>
      <c r="H42" s="2144"/>
      <c r="I42" s="2145"/>
      <c r="J42" s="172"/>
      <c r="M42" s="172"/>
    </row>
    <row r="43" spans="2:16" ht="20.100000000000001" customHeight="1" x14ac:dyDescent="0.3">
      <c r="K43" s="148"/>
      <c r="N43" s="151"/>
      <c r="O43" s="151"/>
    </row>
    <row r="44" spans="2:16" s="146" customFormat="1" ht="20.100000000000001" customHeight="1" x14ac:dyDescent="0.3">
      <c r="B44" s="2146" t="s">
        <v>784</v>
      </c>
      <c r="C44" s="2147"/>
      <c r="D44" s="145"/>
      <c r="E44" s="145"/>
      <c r="F44" s="145"/>
      <c r="G44" s="145"/>
      <c r="H44" s="145"/>
      <c r="I44" s="145"/>
      <c r="J44" s="159"/>
      <c r="K44" s="159"/>
    </row>
    <row r="45" spans="2:16" ht="9.9" customHeight="1" x14ac:dyDescent="0.3">
      <c r="N45" s="151"/>
      <c r="O45" s="151"/>
    </row>
    <row r="46" spans="2:16" s="173" customFormat="1" ht="20.100000000000001" customHeight="1" x14ac:dyDescent="0.3">
      <c r="B46" s="478" t="s">
        <v>164</v>
      </c>
      <c r="C46" s="2133"/>
      <c r="D46" s="2134"/>
      <c r="E46" s="2135"/>
      <c r="F46" s="191"/>
      <c r="G46" s="383" t="s">
        <v>165</v>
      </c>
      <c r="H46" s="2136"/>
      <c r="I46" s="2138"/>
      <c r="J46" s="190"/>
      <c r="K46" s="190"/>
      <c r="L46" s="188"/>
      <c r="M46" s="172"/>
      <c r="N46" s="172"/>
      <c r="O46" s="172"/>
      <c r="P46" s="172"/>
    </row>
    <row r="47" spans="2:16" s="173" customFormat="1" ht="9.9" customHeight="1" x14ac:dyDescent="0.3">
      <c r="B47" s="136"/>
      <c r="C47" s="191"/>
      <c r="D47" s="191"/>
      <c r="E47" s="191"/>
      <c r="F47" s="191"/>
      <c r="G47" s="191"/>
      <c r="H47" s="191"/>
      <c r="I47" s="191"/>
      <c r="J47" s="172"/>
      <c r="K47" s="172"/>
      <c r="M47" s="172"/>
      <c r="N47" s="172"/>
      <c r="O47" s="172"/>
      <c r="P47" s="172"/>
    </row>
    <row r="48" spans="2:16" s="173" customFormat="1" ht="20.100000000000001" customHeight="1" x14ac:dyDescent="0.3">
      <c r="B48" s="385" t="s">
        <v>355</v>
      </c>
      <c r="C48" s="2136"/>
      <c r="D48" s="2137"/>
      <c r="E48" s="2137"/>
      <c r="F48" s="2137"/>
      <c r="G48" s="2137"/>
      <c r="H48" s="2137"/>
      <c r="I48" s="2138"/>
      <c r="J48" s="190"/>
      <c r="K48" s="190"/>
      <c r="L48" s="188"/>
      <c r="M48" s="172"/>
      <c r="N48" s="172"/>
      <c r="O48" s="172"/>
      <c r="P48" s="172"/>
    </row>
    <row r="49" spans="2:16" s="173" customFormat="1" ht="9.9" customHeight="1" x14ac:dyDescent="0.3">
      <c r="B49" s="136"/>
      <c r="C49" s="191"/>
      <c r="D49" s="191"/>
      <c r="E49" s="191"/>
      <c r="F49" s="191"/>
      <c r="G49" s="191"/>
      <c r="H49" s="191"/>
      <c r="I49" s="191"/>
      <c r="J49" s="172"/>
      <c r="K49" s="172"/>
      <c r="M49" s="172"/>
      <c r="N49" s="172"/>
      <c r="O49" s="172"/>
      <c r="P49" s="172"/>
    </row>
    <row r="50" spans="2:16" s="173" customFormat="1" ht="20.100000000000001" customHeight="1" x14ac:dyDescent="0.3">
      <c r="B50" s="478" t="s">
        <v>115</v>
      </c>
      <c r="C50" s="2131"/>
      <c r="D50" s="2132"/>
      <c r="E50" s="889" t="s">
        <v>130</v>
      </c>
      <c r="F50" s="2136"/>
      <c r="G50" s="2138"/>
      <c r="H50" s="383" t="s">
        <v>194</v>
      </c>
      <c r="I50" s="1869"/>
      <c r="J50" s="190"/>
      <c r="K50" s="190"/>
      <c r="M50" s="172"/>
      <c r="N50" s="172"/>
      <c r="O50" s="172"/>
      <c r="P50" s="172"/>
    </row>
    <row r="51" spans="2:16" s="173" customFormat="1" ht="9.9" customHeight="1" x14ac:dyDescent="0.3">
      <c r="B51" s="136"/>
      <c r="C51" s="191"/>
      <c r="D51" s="191"/>
      <c r="E51" s="892"/>
      <c r="F51" s="191"/>
      <c r="G51" s="191"/>
      <c r="H51" s="480"/>
      <c r="I51" s="191"/>
      <c r="J51" s="172"/>
      <c r="K51" s="172"/>
      <c r="M51" s="172"/>
      <c r="N51" s="172"/>
      <c r="O51" s="172"/>
      <c r="P51" s="172"/>
    </row>
    <row r="52" spans="2:16" s="173" customFormat="1" ht="20.100000000000001" customHeight="1" x14ac:dyDescent="0.3">
      <c r="B52" s="478" t="s">
        <v>131</v>
      </c>
      <c r="C52" s="501"/>
      <c r="D52" s="502"/>
      <c r="E52" s="889" t="s">
        <v>110</v>
      </c>
      <c r="F52" s="481"/>
      <c r="H52" s="383" t="s">
        <v>202</v>
      </c>
      <c r="I52" s="481"/>
      <c r="J52" s="172"/>
      <c r="K52" s="172"/>
      <c r="M52" s="172"/>
    </row>
    <row r="53" spans="2:16" s="173" customFormat="1" ht="9.9" customHeight="1" x14ac:dyDescent="0.3">
      <c r="B53" s="136"/>
      <c r="C53" s="191"/>
      <c r="D53" s="191"/>
      <c r="E53" s="892"/>
      <c r="F53" s="191"/>
      <c r="G53" s="191"/>
      <c r="H53" s="191"/>
      <c r="I53" s="191"/>
      <c r="J53" s="172"/>
      <c r="K53" s="172"/>
      <c r="M53" s="172"/>
    </row>
    <row r="54" spans="2:16" s="173" customFormat="1" ht="20.100000000000001" customHeight="1" x14ac:dyDescent="0.3">
      <c r="B54" s="478" t="s">
        <v>267</v>
      </c>
      <c r="C54" s="1868"/>
      <c r="D54" s="204"/>
      <c r="E54" s="889" t="s">
        <v>0</v>
      </c>
      <c r="F54" s="2151"/>
      <c r="G54" s="2152"/>
      <c r="H54" s="2152"/>
      <c r="I54" s="2153"/>
      <c r="J54" s="190"/>
      <c r="K54" s="190"/>
      <c r="M54" s="172"/>
    </row>
    <row r="55" spans="2:16" s="173" customFormat="1" ht="9.9" customHeight="1" x14ac:dyDescent="0.3">
      <c r="B55" s="136"/>
      <c r="C55" s="191"/>
      <c r="D55" s="191"/>
      <c r="E55" s="892"/>
      <c r="F55" s="191"/>
      <c r="G55" s="191"/>
      <c r="H55" s="191"/>
      <c r="I55" s="191"/>
      <c r="J55" s="172"/>
      <c r="K55" s="172"/>
      <c r="M55" s="172"/>
    </row>
    <row r="56" spans="2:16" s="173" customFormat="1" ht="20.100000000000001" customHeight="1" x14ac:dyDescent="0.3">
      <c r="B56" s="478" t="s">
        <v>367</v>
      </c>
      <c r="C56" s="2129"/>
      <c r="D56" s="2130"/>
      <c r="E56" s="889" t="s">
        <v>368</v>
      </c>
      <c r="F56" s="2129"/>
      <c r="G56" s="2130"/>
      <c r="H56" s="191"/>
      <c r="I56" s="191"/>
      <c r="J56" s="172"/>
      <c r="K56" s="172"/>
      <c r="M56" s="172"/>
    </row>
    <row r="57" spans="2:16" s="173" customFormat="1" ht="9.9" customHeight="1" x14ac:dyDescent="0.3">
      <c r="B57" s="136"/>
      <c r="C57" s="191"/>
      <c r="D57" s="191"/>
      <c r="E57" s="191"/>
      <c r="F57" s="191"/>
      <c r="G57" s="191"/>
      <c r="H57" s="191"/>
      <c r="I57" s="191"/>
      <c r="J57" s="172"/>
      <c r="K57" s="172"/>
      <c r="M57" s="172"/>
    </row>
    <row r="58" spans="2:16" s="173" customFormat="1" ht="20.100000000000001" customHeight="1" x14ac:dyDescent="0.3">
      <c r="B58" s="478" t="s">
        <v>239</v>
      </c>
      <c r="C58" s="186"/>
      <c r="D58" s="2133"/>
      <c r="E58" s="2154"/>
      <c r="F58" s="2154"/>
      <c r="G58" s="2155"/>
      <c r="H58" s="384" t="s">
        <v>238</v>
      </c>
      <c r="I58" s="482"/>
      <c r="J58" s="190"/>
      <c r="K58" s="190"/>
      <c r="M58" s="172"/>
    </row>
    <row r="59" spans="2:16" s="173" customFormat="1" ht="9.9" customHeight="1" x14ac:dyDescent="0.3">
      <c r="B59" s="136"/>
      <c r="C59" s="191"/>
      <c r="D59" s="191"/>
      <c r="E59" s="191"/>
      <c r="F59" s="191"/>
      <c r="G59" s="191"/>
      <c r="H59" s="191"/>
      <c r="I59" s="191"/>
      <c r="J59" s="172"/>
      <c r="K59" s="172"/>
      <c r="M59" s="172"/>
    </row>
    <row r="60" spans="2:16" s="173" customFormat="1" ht="20.100000000000001" customHeight="1" x14ac:dyDescent="0.3">
      <c r="B60" s="2142" t="s">
        <v>373</v>
      </c>
      <c r="C60" s="2143"/>
      <c r="D60" s="2156"/>
      <c r="E60" s="481"/>
      <c r="F60" s="485" t="s">
        <v>599</v>
      </c>
      <c r="G60" s="2139"/>
      <c r="H60" s="2140"/>
      <c r="I60" s="2141"/>
      <c r="J60" s="172"/>
      <c r="K60" s="172"/>
      <c r="M60" s="172"/>
    </row>
    <row r="61" spans="2:16" s="173" customFormat="1" ht="9.9" customHeight="1" x14ac:dyDescent="0.3">
      <c r="B61" s="488"/>
      <c r="C61" s="488"/>
      <c r="D61" s="488"/>
      <c r="E61" s="191"/>
      <c r="F61" s="191"/>
      <c r="G61" s="191"/>
      <c r="H61" s="191"/>
      <c r="I61" s="191"/>
      <c r="J61" s="172"/>
      <c r="K61" s="172"/>
      <c r="M61" s="172"/>
    </row>
    <row r="62" spans="2:16" s="173" customFormat="1" ht="20.100000000000001" customHeight="1" x14ac:dyDescent="0.3">
      <c r="B62" s="478" t="s">
        <v>90</v>
      </c>
      <c r="C62" s="191"/>
      <c r="D62" s="191"/>
      <c r="E62" s="2133"/>
      <c r="F62" s="2144"/>
      <c r="G62" s="2144"/>
      <c r="H62" s="2144"/>
      <c r="I62" s="2145"/>
      <c r="J62" s="172"/>
      <c r="K62" s="172"/>
      <c r="M62" s="172"/>
    </row>
    <row r="63" spans="2:16" x14ac:dyDescent="0.3">
      <c r="B63" s="157"/>
      <c r="E63" s="157"/>
      <c r="F63" s="157"/>
      <c r="G63" s="157"/>
      <c r="H63" s="157"/>
      <c r="I63" s="157"/>
    </row>
    <row r="64" spans="2:16" s="14" customFormat="1" ht="20.100000000000001" customHeight="1" x14ac:dyDescent="0.3">
      <c r="B64" s="21"/>
      <c r="C64" s="21"/>
      <c r="D64" s="21"/>
      <c r="E64" s="21"/>
      <c r="F64" s="21"/>
      <c r="G64" s="21"/>
      <c r="H64" s="21"/>
      <c r="I64" s="21"/>
      <c r="J64" s="15"/>
      <c r="K64" s="15"/>
      <c r="M64" s="15"/>
      <c r="N64" s="15"/>
      <c r="O64" s="15"/>
      <c r="P64" s="15"/>
    </row>
    <row r="65" spans="2:16" s="14" customFormat="1" x14ac:dyDescent="0.3">
      <c r="C65" s="21"/>
      <c r="D65" s="21"/>
      <c r="E65" s="21"/>
      <c r="F65" s="21"/>
      <c r="G65" s="21"/>
      <c r="H65" s="21"/>
      <c r="I65" s="21"/>
      <c r="J65" s="15"/>
      <c r="K65" s="15"/>
      <c r="M65" s="15"/>
      <c r="N65" s="15"/>
      <c r="O65" s="15"/>
      <c r="P65" s="15"/>
    </row>
    <row r="66" spans="2:16" s="14" customFormat="1" x14ac:dyDescent="0.3">
      <c r="C66" s="21"/>
      <c r="D66" s="21"/>
      <c r="E66" s="21"/>
      <c r="F66" s="21"/>
      <c r="G66" s="21"/>
      <c r="H66" s="21"/>
      <c r="I66" s="21"/>
      <c r="J66" s="15"/>
      <c r="K66" s="15"/>
      <c r="M66" s="15"/>
      <c r="N66" s="15"/>
      <c r="O66" s="15"/>
      <c r="P66" s="15"/>
    </row>
    <row r="67" spans="2:16" s="14" customFormat="1" x14ac:dyDescent="0.3">
      <c r="C67" s="21"/>
      <c r="D67" s="21"/>
      <c r="E67" s="21"/>
      <c r="F67" s="21"/>
      <c r="G67" s="21"/>
      <c r="H67" s="21"/>
      <c r="I67" s="21"/>
      <c r="J67" s="15"/>
      <c r="K67" s="15"/>
      <c r="M67" s="15"/>
      <c r="N67" s="15"/>
      <c r="O67" s="15"/>
      <c r="P67" s="15"/>
    </row>
    <row r="68" spans="2:16" s="728" customFormat="1" ht="14.4" x14ac:dyDescent="0.3">
      <c r="B68" s="747" t="s">
        <v>737</v>
      </c>
      <c r="D68" s="727" t="s">
        <v>111</v>
      </c>
      <c r="E68" s="727" t="s">
        <v>94</v>
      </c>
      <c r="F68" s="727" t="s">
        <v>195</v>
      </c>
      <c r="H68" s="729" t="s">
        <v>371</v>
      </c>
      <c r="I68" s="727" t="s">
        <v>594</v>
      </c>
      <c r="J68" s="730"/>
      <c r="K68" s="730"/>
      <c r="M68" s="730"/>
      <c r="N68" s="730"/>
      <c r="O68" s="730"/>
      <c r="P68" s="730"/>
    </row>
    <row r="69" spans="2:16" s="728" customFormat="1" ht="14.4" x14ac:dyDescent="0.3">
      <c r="B69" s="747" t="s">
        <v>738</v>
      </c>
      <c r="D69" s="727" t="s">
        <v>365</v>
      </c>
      <c r="E69" s="727" t="s">
        <v>95</v>
      </c>
      <c r="F69" s="727" t="s">
        <v>169</v>
      </c>
      <c r="H69" s="729" t="s">
        <v>372</v>
      </c>
      <c r="I69" s="727" t="s">
        <v>595</v>
      </c>
      <c r="J69" s="730"/>
      <c r="K69" s="730"/>
      <c r="M69" s="730"/>
      <c r="N69" s="730"/>
      <c r="O69" s="730"/>
      <c r="P69" s="730"/>
    </row>
    <row r="70" spans="2:16" s="728" customFormat="1" ht="14.4" x14ac:dyDescent="0.25">
      <c r="B70" s="727" t="s">
        <v>91</v>
      </c>
      <c r="C70" s="730"/>
      <c r="D70" s="727" t="s">
        <v>366</v>
      </c>
      <c r="F70" s="727" t="s">
        <v>369</v>
      </c>
      <c r="H70" s="729" t="s">
        <v>351</v>
      </c>
      <c r="I70" s="727" t="s">
        <v>596</v>
      </c>
      <c r="J70" s="730"/>
      <c r="K70" s="730"/>
      <c r="M70" s="730"/>
      <c r="N70" s="730"/>
      <c r="O70" s="730"/>
      <c r="P70" s="730"/>
    </row>
    <row r="71" spans="2:16" s="728" customFormat="1" ht="14.4" x14ac:dyDescent="0.25">
      <c r="B71" s="727" t="s">
        <v>92</v>
      </c>
      <c r="C71" s="730"/>
      <c r="F71" s="729" t="s">
        <v>168</v>
      </c>
      <c r="H71" s="727" t="s">
        <v>201</v>
      </c>
      <c r="I71" s="731" t="s">
        <v>593</v>
      </c>
      <c r="J71" s="730"/>
      <c r="K71" s="730"/>
      <c r="M71" s="730"/>
      <c r="N71" s="730"/>
      <c r="O71" s="730"/>
      <c r="P71" s="730"/>
    </row>
    <row r="72" spans="2:16" s="728" customFormat="1" ht="14.4" x14ac:dyDescent="0.25">
      <c r="B72" s="727" t="s">
        <v>401</v>
      </c>
      <c r="C72" s="730"/>
      <c r="F72" s="727" t="s">
        <v>170</v>
      </c>
      <c r="H72" s="729" t="s">
        <v>203</v>
      </c>
      <c r="I72" s="727" t="s">
        <v>597</v>
      </c>
      <c r="J72" s="730"/>
      <c r="K72" s="730"/>
      <c r="M72" s="730"/>
      <c r="N72" s="730"/>
      <c r="O72" s="730"/>
      <c r="P72" s="730"/>
    </row>
    <row r="73" spans="2:16" s="728" customFormat="1" ht="14.4" x14ac:dyDescent="0.25">
      <c r="C73" s="730"/>
      <c r="F73" s="727" t="s">
        <v>370</v>
      </c>
      <c r="H73" s="727" t="s">
        <v>269</v>
      </c>
      <c r="I73" s="727" t="s">
        <v>598</v>
      </c>
      <c r="J73" s="730"/>
      <c r="K73" s="730"/>
      <c r="M73" s="730"/>
      <c r="N73" s="730"/>
      <c r="O73" s="730"/>
      <c r="P73" s="730"/>
    </row>
    <row r="74" spans="2:16" s="728" customFormat="1" ht="14.4" x14ac:dyDescent="0.25">
      <c r="C74" s="730"/>
      <c r="F74" s="727" t="s">
        <v>196</v>
      </c>
      <c r="H74" s="727" t="s">
        <v>270</v>
      </c>
      <c r="J74" s="730"/>
      <c r="K74" s="730"/>
      <c r="M74" s="730"/>
      <c r="N74" s="730"/>
      <c r="O74" s="730"/>
      <c r="P74" s="730"/>
    </row>
    <row r="75" spans="2:16" s="723" customFormat="1" ht="14.4" x14ac:dyDescent="0.3">
      <c r="B75" s="728"/>
      <c r="C75" s="720"/>
      <c r="D75" s="748"/>
      <c r="E75" s="748"/>
      <c r="F75" s="749" t="s">
        <v>197</v>
      </c>
      <c r="G75" s="748"/>
      <c r="H75" s="749" t="s">
        <v>271</v>
      </c>
      <c r="I75" s="748"/>
      <c r="J75" s="720"/>
      <c r="K75" s="720"/>
      <c r="M75" s="720"/>
      <c r="N75" s="720"/>
      <c r="O75" s="720"/>
      <c r="P75" s="720"/>
    </row>
    <row r="76" spans="2:16" s="723" customFormat="1" ht="14.4" x14ac:dyDescent="0.3">
      <c r="B76" s="727"/>
      <c r="C76" s="720"/>
      <c r="D76" s="748"/>
      <c r="E76" s="748"/>
      <c r="F76" s="750" t="s">
        <v>198</v>
      </c>
      <c r="G76" s="748"/>
      <c r="H76" s="748"/>
      <c r="I76" s="748"/>
      <c r="J76" s="720"/>
      <c r="K76" s="720"/>
      <c r="M76" s="720"/>
      <c r="N76" s="720"/>
      <c r="O76" s="720"/>
      <c r="P76" s="720"/>
    </row>
    <row r="77" spans="2:16" s="723" customFormat="1" x14ac:dyDescent="0.3">
      <c r="C77" s="720"/>
      <c r="D77" s="748"/>
      <c r="E77" s="748"/>
      <c r="F77" s="750" t="s">
        <v>199</v>
      </c>
      <c r="G77" s="748"/>
      <c r="H77" s="748"/>
      <c r="I77" s="748"/>
      <c r="J77" s="720"/>
      <c r="K77" s="720"/>
      <c r="M77" s="720"/>
      <c r="N77" s="720"/>
      <c r="O77" s="720"/>
      <c r="P77" s="720"/>
    </row>
    <row r="78" spans="2:16" s="723" customFormat="1" x14ac:dyDescent="0.3">
      <c r="C78" s="720"/>
      <c r="D78" s="748"/>
      <c r="E78" s="748"/>
      <c r="F78" s="749" t="s">
        <v>171</v>
      </c>
      <c r="G78" s="748"/>
      <c r="H78" s="748"/>
      <c r="I78" s="748"/>
      <c r="J78" s="720"/>
      <c r="K78" s="720"/>
      <c r="M78" s="720"/>
      <c r="N78" s="720"/>
      <c r="O78" s="720"/>
      <c r="P78" s="720"/>
    </row>
    <row r="79" spans="2:16" s="723" customFormat="1" x14ac:dyDescent="0.3">
      <c r="C79" s="720"/>
      <c r="D79" s="748"/>
      <c r="E79" s="748"/>
      <c r="F79" s="749" t="s">
        <v>268</v>
      </c>
      <c r="G79" s="748"/>
      <c r="H79" s="748"/>
      <c r="I79" s="748"/>
      <c r="J79" s="720"/>
      <c r="K79" s="720"/>
      <c r="M79" s="720"/>
      <c r="N79" s="720"/>
      <c r="O79" s="720"/>
      <c r="P79" s="720"/>
    </row>
    <row r="80" spans="2:16" s="723" customFormat="1" x14ac:dyDescent="0.3">
      <c r="B80" s="749"/>
      <c r="C80" s="720"/>
      <c r="D80" s="748"/>
      <c r="E80" s="748"/>
      <c r="F80" s="750" t="s">
        <v>200</v>
      </c>
      <c r="G80" s="748"/>
      <c r="H80" s="748"/>
      <c r="I80" s="748"/>
      <c r="J80" s="720"/>
      <c r="K80" s="720"/>
      <c r="M80" s="720"/>
      <c r="N80" s="720"/>
      <c r="O80" s="720"/>
      <c r="P80" s="720"/>
    </row>
    <row r="81" spans="2:16" s="14" customFormat="1" x14ac:dyDescent="0.3">
      <c r="B81" s="70"/>
      <c r="C81" s="15"/>
      <c r="D81" s="21"/>
      <c r="E81" s="21"/>
      <c r="F81" s="21"/>
      <c r="G81" s="21"/>
      <c r="H81" s="21"/>
      <c r="I81" s="21"/>
      <c r="J81" s="15"/>
      <c r="K81" s="15"/>
      <c r="M81" s="15"/>
      <c r="N81" s="15"/>
      <c r="O81" s="15"/>
      <c r="P81" s="15"/>
    </row>
    <row r="82" spans="2:16" s="14" customFormat="1" x14ac:dyDescent="0.3">
      <c r="B82" s="70"/>
      <c r="C82" s="15"/>
      <c r="D82" s="21"/>
      <c r="E82" s="21"/>
      <c r="F82" s="21"/>
      <c r="G82" s="21"/>
      <c r="H82" s="21"/>
      <c r="I82" s="21"/>
      <c r="J82" s="15"/>
      <c r="K82" s="15"/>
      <c r="M82" s="15"/>
      <c r="N82" s="15"/>
      <c r="O82" s="15"/>
      <c r="P82" s="15"/>
    </row>
    <row r="83" spans="2:16" s="14" customFormat="1" x14ac:dyDescent="0.3">
      <c r="B83" s="320"/>
      <c r="C83" s="15"/>
      <c r="D83" s="21"/>
      <c r="E83" s="21"/>
      <c r="F83" s="21"/>
      <c r="G83" s="21"/>
      <c r="H83" s="21"/>
      <c r="I83" s="21"/>
      <c r="J83" s="15"/>
      <c r="K83" s="15"/>
      <c r="M83" s="15"/>
      <c r="N83" s="15"/>
      <c r="O83" s="15"/>
      <c r="P83" s="15"/>
    </row>
    <row r="84" spans="2:16" s="14" customFormat="1" x14ac:dyDescent="0.3">
      <c r="B84" s="15"/>
      <c r="C84" s="15"/>
      <c r="D84" s="21"/>
      <c r="E84" s="21"/>
      <c r="F84" s="21"/>
      <c r="G84" s="21"/>
      <c r="H84" s="21"/>
      <c r="I84" s="21"/>
      <c r="J84" s="15"/>
      <c r="K84" s="15"/>
      <c r="M84" s="15"/>
      <c r="N84" s="15"/>
      <c r="O84" s="15"/>
      <c r="P84" s="15"/>
    </row>
    <row r="85" spans="2:16" s="14" customFormat="1" x14ac:dyDescent="0.3">
      <c r="B85" s="320"/>
      <c r="C85" s="15"/>
      <c r="D85" s="21"/>
      <c r="E85" s="21"/>
      <c r="F85" s="21"/>
      <c r="G85" s="21"/>
      <c r="H85" s="21"/>
      <c r="I85" s="21"/>
      <c r="J85" s="15"/>
      <c r="K85" s="15"/>
      <c r="M85" s="15"/>
      <c r="N85" s="15"/>
      <c r="O85" s="15"/>
      <c r="P85" s="15"/>
    </row>
    <row r="86" spans="2:16" s="14" customFormat="1" x14ac:dyDescent="0.3">
      <c r="B86" s="15"/>
      <c r="C86" s="15"/>
      <c r="D86" s="21"/>
      <c r="E86" s="21"/>
      <c r="F86" s="21"/>
      <c r="G86" s="21"/>
      <c r="H86" s="21"/>
      <c r="I86" s="21"/>
      <c r="J86" s="15"/>
      <c r="K86" s="15"/>
      <c r="M86" s="15"/>
      <c r="N86" s="15"/>
      <c r="O86" s="15"/>
      <c r="P86" s="15"/>
    </row>
    <row r="87" spans="2:16" s="14" customFormat="1" x14ac:dyDescent="0.3">
      <c r="B87" s="15"/>
      <c r="C87" s="15"/>
      <c r="D87" s="21"/>
      <c r="E87" s="21"/>
      <c r="F87" s="21"/>
      <c r="G87" s="21"/>
      <c r="H87" s="21"/>
      <c r="I87" s="21"/>
      <c r="J87" s="15"/>
      <c r="K87" s="15"/>
      <c r="M87" s="15"/>
      <c r="N87" s="15"/>
      <c r="O87" s="15"/>
      <c r="P87" s="15"/>
    </row>
    <row r="88" spans="2:16" s="14" customFormat="1" x14ac:dyDescent="0.3">
      <c r="B88" s="320"/>
      <c r="C88" s="15"/>
      <c r="D88" s="21"/>
      <c r="E88" s="21"/>
      <c r="F88" s="21"/>
      <c r="G88" s="21"/>
      <c r="H88" s="21"/>
      <c r="I88" s="21"/>
      <c r="J88" s="15"/>
      <c r="K88" s="15"/>
      <c r="M88" s="15"/>
      <c r="N88" s="15"/>
      <c r="O88" s="15"/>
      <c r="P88" s="15"/>
    </row>
    <row r="89" spans="2:16" s="14" customFormat="1" x14ac:dyDescent="0.3">
      <c r="C89" s="15"/>
      <c r="D89" s="21"/>
      <c r="E89" s="21"/>
      <c r="F89" s="21"/>
      <c r="G89" s="21"/>
      <c r="H89" s="21"/>
      <c r="I89" s="21"/>
      <c r="J89" s="15"/>
      <c r="K89" s="15"/>
      <c r="M89" s="15"/>
      <c r="N89" s="15"/>
      <c r="O89" s="15"/>
      <c r="P89" s="15"/>
    </row>
    <row r="90" spans="2:16" s="14" customFormat="1" x14ac:dyDescent="0.3">
      <c r="C90" s="15"/>
      <c r="D90" s="21"/>
      <c r="E90" s="21"/>
      <c r="F90" s="21"/>
      <c r="G90" s="21"/>
      <c r="H90" s="21"/>
      <c r="I90" s="21"/>
      <c r="J90" s="15"/>
      <c r="K90" s="15"/>
      <c r="M90" s="15"/>
      <c r="N90" s="15"/>
      <c r="O90" s="15"/>
      <c r="P90" s="15"/>
    </row>
    <row r="91" spans="2:16" s="14" customFormat="1" x14ac:dyDescent="0.3">
      <c r="C91" s="15"/>
      <c r="D91" s="21"/>
      <c r="E91" s="21"/>
      <c r="F91" s="21"/>
      <c r="G91" s="21"/>
      <c r="H91" s="21"/>
      <c r="I91" s="21"/>
      <c r="J91" s="15"/>
      <c r="K91" s="15"/>
      <c r="M91" s="15"/>
      <c r="N91" s="15"/>
      <c r="O91" s="15"/>
      <c r="P91" s="15"/>
    </row>
    <row r="92" spans="2:16" s="14" customFormat="1" x14ac:dyDescent="0.3">
      <c r="C92" s="15"/>
      <c r="D92" s="21"/>
      <c r="E92" s="21"/>
      <c r="F92" s="21"/>
      <c r="G92" s="21"/>
      <c r="H92" s="21"/>
      <c r="I92" s="21"/>
      <c r="J92" s="15"/>
      <c r="K92" s="15"/>
      <c r="M92" s="15"/>
      <c r="N92" s="15"/>
      <c r="O92" s="15"/>
      <c r="P92" s="15"/>
    </row>
    <row r="93" spans="2:16" s="14" customFormat="1" x14ac:dyDescent="0.3">
      <c r="C93" s="15"/>
      <c r="D93" s="21"/>
      <c r="E93" s="21"/>
      <c r="F93" s="21"/>
      <c r="G93" s="21"/>
      <c r="H93" s="21"/>
      <c r="I93" s="21"/>
      <c r="J93" s="15"/>
      <c r="K93" s="15"/>
      <c r="M93" s="15"/>
      <c r="N93" s="15"/>
      <c r="O93" s="15"/>
      <c r="P93" s="15"/>
    </row>
    <row r="94" spans="2:16" s="14" customFormat="1" x14ac:dyDescent="0.3">
      <c r="C94" s="15"/>
      <c r="D94" s="21"/>
      <c r="E94" s="21"/>
      <c r="F94" s="21"/>
      <c r="G94" s="21"/>
      <c r="H94" s="21"/>
      <c r="I94" s="21"/>
      <c r="J94" s="15"/>
      <c r="K94" s="15"/>
      <c r="M94" s="15"/>
      <c r="N94" s="15"/>
      <c r="O94" s="15"/>
      <c r="P94" s="15"/>
    </row>
    <row r="95" spans="2:16" s="14" customFormat="1" x14ac:dyDescent="0.3">
      <c r="C95" s="15"/>
      <c r="D95" s="21"/>
      <c r="E95" s="21"/>
      <c r="F95" s="21"/>
      <c r="G95" s="21"/>
      <c r="H95" s="21"/>
      <c r="I95" s="21"/>
      <c r="J95" s="15"/>
      <c r="K95" s="15"/>
      <c r="M95" s="15"/>
      <c r="N95" s="15"/>
      <c r="O95" s="15"/>
      <c r="P95" s="15"/>
    </row>
    <row r="96" spans="2:16" s="14" customFormat="1" x14ac:dyDescent="0.3">
      <c r="C96" s="15"/>
      <c r="D96" s="21"/>
      <c r="E96" s="21"/>
      <c r="F96" s="21"/>
      <c r="G96" s="21"/>
      <c r="H96" s="21"/>
      <c r="I96" s="21"/>
      <c r="J96" s="15"/>
      <c r="K96" s="15"/>
      <c r="M96" s="15"/>
      <c r="N96" s="15"/>
      <c r="O96" s="15"/>
      <c r="P96" s="15"/>
    </row>
    <row r="97" spans="2:16" s="14" customFormat="1" x14ac:dyDescent="0.3">
      <c r="C97" s="15"/>
      <c r="D97" s="21"/>
      <c r="E97" s="21"/>
      <c r="F97" s="21"/>
      <c r="G97" s="21"/>
      <c r="H97" s="21"/>
      <c r="I97" s="21"/>
      <c r="J97" s="15"/>
      <c r="K97" s="15"/>
      <c r="M97" s="15"/>
      <c r="N97" s="15"/>
      <c r="O97" s="15"/>
      <c r="P97" s="15"/>
    </row>
    <row r="98" spans="2:16" s="14" customFormat="1" x14ac:dyDescent="0.3">
      <c r="C98" s="15"/>
      <c r="D98" s="21"/>
      <c r="E98" s="21"/>
      <c r="F98" s="21"/>
      <c r="G98" s="21"/>
      <c r="H98" s="21"/>
      <c r="I98" s="21"/>
      <c r="J98" s="15"/>
      <c r="K98" s="15"/>
      <c r="M98" s="15"/>
      <c r="N98" s="15"/>
      <c r="O98" s="15"/>
      <c r="P98" s="15"/>
    </row>
    <row r="99" spans="2:16" s="14" customFormat="1" x14ac:dyDescent="0.3">
      <c r="C99" s="15"/>
      <c r="D99" s="21"/>
      <c r="E99" s="21"/>
      <c r="F99" s="21"/>
      <c r="G99" s="21"/>
      <c r="H99" s="21"/>
      <c r="I99" s="21"/>
      <c r="J99" s="15"/>
      <c r="K99" s="15"/>
      <c r="M99" s="15"/>
      <c r="N99" s="15"/>
      <c r="O99" s="15"/>
      <c r="P99" s="15"/>
    </row>
    <row r="100" spans="2:16" s="14" customFormat="1" x14ac:dyDescent="0.3">
      <c r="C100" s="21"/>
      <c r="D100" s="21"/>
      <c r="E100" s="21"/>
      <c r="F100" s="21"/>
      <c r="G100" s="21"/>
      <c r="H100" s="21"/>
      <c r="I100" s="21"/>
      <c r="J100" s="15"/>
      <c r="K100" s="15"/>
      <c r="M100" s="15"/>
      <c r="N100" s="15"/>
      <c r="O100" s="15"/>
      <c r="P100" s="15"/>
    </row>
    <row r="101" spans="2:16" s="14" customFormat="1" x14ac:dyDescent="0.3">
      <c r="C101" s="21"/>
      <c r="D101" s="21"/>
      <c r="E101" s="21"/>
      <c r="F101" s="21"/>
      <c r="G101" s="21"/>
      <c r="H101" s="21"/>
      <c r="I101" s="21"/>
      <c r="J101" s="15"/>
      <c r="K101" s="15"/>
      <c r="M101" s="15"/>
      <c r="N101" s="15"/>
      <c r="O101" s="15"/>
      <c r="P101" s="15"/>
    </row>
    <row r="102" spans="2:16" s="14" customFormat="1" x14ac:dyDescent="0.3">
      <c r="C102" s="21"/>
      <c r="D102" s="21"/>
      <c r="E102" s="21"/>
      <c r="F102" s="21"/>
      <c r="G102" s="21"/>
      <c r="H102" s="21"/>
      <c r="I102" s="21"/>
      <c r="J102" s="15"/>
      <c r="K102" s="15"/>
      <c r="M102" s="15"/>
      <c r="N102" s="15"/>
      <c r="O102" s="15"/>
      <c r="P102" s="15"/>
    </row>
    <row r="103" spans="2:16" s="14" customFormat="1" x14ac:dyDescent="0.3">
      <c r="C103" s="21"/>
      <c r="D103" s="21"/>
      <c r="E103" s="21"/>
      <c r="F103" s="21"/>
      <c r="G103" s="21"/>
      <c r="H103" s="21"/>
      <c r="I103" s="21"/>
      <c r="J103" s="15"/>
      <c r="K103" s="15"/>
      <c r="M103" s="15"/>
      <c r="N103" s="15"/>
      <c r="O103" s="15"/>
      <c r="P103" s="15"/>
    </row>
    <row r="104" spans="2:16" x14ac:dyDescent="0.3">
      <c r="B104" s="14"/>
    </row>
    <row r="105" spans="2:16" x14ac:dyDescent="0.3">
      <c r="B105" s="14"/>
    </row>
    <row r="106" spans="2:16" x14ac:dyDescent="0.3">
      <c r="B106" s="148"/>
    </row>
    <row r="107" spans="2:16" x14ac:dyDescent="0.3">
      <c r="B107" s="148"/>
    </row>
    <row r="108" spans="2:16" x14ac:dyDescent="0.3">
      <c r="B108" s="148"/>
    </row>
    <row r="109" spans="2:16" x14ac:dyDescent="0.3">
      <c r="B109" s="148"/>
    </row>
    <row r="110" spans="2:16" x14ac:dyDescent="0.3">
      <c r="B110" s="148"/>
    </row>
  </sheetData>
  <sheetProtection algorithmName="SHA-512" hashValue="wLO44Bpb32ZlDErONPvIotsXN9ujw0Fgrw4XdQF6Zt7RWzPTOfSaQ7HvY4HNVTJTxVOACnxunxAbdXV3QMouGg==" saltValue="1LxzuHg035L1IkduDzqLRQ==" spinCount="100000" sheet="1" formatCells="0" formatColumns="0" formatRows="0" insertColumns="0" insertRows="0" insertHyperlinks="0" deleteColumns="0" deleteRows="0" sort="0" autoFilter="0" pivotTables="0"/>
  <sortState ref="K42:K45">
    <sortCondition ref="K41"/>
  </sortState>
  <mergeCells count="40">
    <mergeCell ref="B44:C44"/>
    <mergeCell ref="G60:I60"/>
    <mergeCell ref="H26:I26"/>
    <mergeCell ref="F54:I54"/>
    <mergeCell ref="F56:G56"/>
    <mergeCell ref="D38:G38"/>
    <mergeCell ref="E62:I62"/>
    <mergeCell ref="C36:D36"/>
    <mergeCell ref="F30:G30"/>
    <mergeCell ref="F36:G36"/>
    <mergeCell ref="D58:G58"/>
    <mergeCell ref="F50:G50"/>
    <mergeCell ref="C48:I48"/>
    <mergeCell ref="E42:I42"/>
    <mergeCell ref="C50:D50"/>
    <mergeCell ref="H46:I46"/>
    <mergeCell ref="C46:E46"/>
    <mergeCell ref="C56:D56"/>
    <mergeCell ref="F34:I34"/>
    <mergeCell ref="B40:D40"/>
    <mergeCell ref="G40:I40"/>
    <mergeCell ref="B60:D60"/>
    <mergeCell ref="B2:I2"/>
    <mergeCell ref="F14:I14"/>
    <mergeCell ref="H6:I6"/>
    <mergeCell ref="C8:I8"/>
    <mergeCell ref="F10:G10"/>
    <mergeCell ref="C6:E6"/>
    <mergeCell ref="C10:D10"/>
    <mergeCell ref="B4:C4"/>
    <mergeCell ref="F16:G16"/>
    <mergeCell ref="C30:D30"/>
    <mergeCell ref="D18:G18"/>
    <mergeCell ref="C28:I28"/>
    <mergeCell ref="G20:I20"/>
    <mergeCell ref="C16:D16"/>
    <mergeCell ref="C26:E26"/>
    <mergeCell ref="B20:D20"/>
    <mergeCell ref="E22:I22"/>
    <mergeCell ref="B24:C24"/>
  </mergeCells>
  <phoneticPr fontId="0" type="noConversion"/>
  <dataValidations count="7">
    <dataValidation type="list" allowBlank="1" showInputMessage="1" showErrorMessage="1" sqref="F52 F32 F12" xr:uid="{00000000-0002-0000-0200-000000000000}">
      <formula1>$D$68:$D$70</formula1>
    </dataValidation>
    <dataValidation type="list" allowBlank="1" showInputMessage="1" showErrorMessage="1" sqref="I52 I32 I12" xr:uid="{00000000-0002-0000-0200-000001000000}">
      <formula1>$E$68:$E$69</formula1>
    </dataValidation>
    <dataValidation type="list" allowBlank="1" showInputMessage="1" showErrorMessage="1" sqref="F56:G56 F16:G16 F36:G36" xr:uid="{00000000-0002-0000-0200-000002000000}">
      <formula1>$H$68:$H$75</formula1>
    </dataValidation>
    <dataValidation type="list" allowBlank="1" showInputMessage="1" showErrorMessage="1" sqref="C56:D56 C16:D16 C36:D36" xr:uid="{00000000-0002-0000-0200-000003000000}">
      <formula1>$F$68:$F$80</formula1>
    </dataValidation>
    <dataValidation allowBlank="1" showInputMessage="1" showErrorMessage="1" prompt="Précisez le nombre de personnes à charge" sqref="C54 C34 C14" xr:uid="{00000000-0002-0000-0200-000004000000}"/>
    <dataValidation type="list" allowBlank="1" showInputMessage="1" showErrorMessage="1" sqref="E20 E60 E40" xr:uid="{00000000-0002-0000-0200-000005000000}">
      <formula1>$I$68:$I$73</formula1>
    </dataValidation>
    <dataValidation type="list" allowBlank="1" showInputMessage="1" showErrorMessage="1" sqref="C32 C12 C52" xr:uid="{00000000-0002-0000-0200-000006000000}">
      <formula1>$B$68:$B$72</formula1>
    </dataValidation>
  </dataValidations>
  <printOptions horizontalCentered="1" verticalCentered="1"/>
  <pageMargins left="0" right="0" top="0" bottom="0" header="0" footer="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indexed="53"/>
    <pageSetUpPr fitToPage="1"/>
  </sheetPr>
  <dimension ref="B1:W176"/>
  <sheetViews>
    <sheetView showGridLines="0" showRowColHeaders="0" workbookViewId="0">
      <selection activeCell="J106" sqref="J106:N106"/>
    </sheetView>
  </sheetViews>
  <sheetFormatPr baseColWidth="10" defaultColWidth="10.77734375" defaultRowHeight="13.8" x14ac:dyDescent="0.3"/>
  <cols>
    <col min="1" max="1" width="1.77734375" style="148" customWidth="1"/>
    <col min="2" max="2" width="34" style="148" customWidth="1"/>
    <col min="3" max="4" width="10.77734375" style="148" customWidth="1"/>
    <col min="5" max="5" width="12.77734375" style="148" customWidth="1"/>
    <col min="6" max="6" width="13.77734375" style="148" customWidth="1"/>
    <col min="7" max="7" width="11.77734375" style="148" customWidth="1"/>
    <col min="8" max="8" width="12.77734375" style="148" customWidth="1"/>
    <col min="9" max="9" width="13.77734375" style="148" customWidth="1"/>
    <col min="10" max="11" width="10.77734375" style="148" customWidth="1"/>
    <col min="12" max="12" width="11.77734375" style="148" customWidth="1"/>
    <col min="13" max="13" width="10.77734375" style="148" customWidth="1"/>
    <col min="14" max="14" width="14.77734375" style="148" customWidth="1"/>
    <col min="15" max="15" width="10.77734375" style="148" customWidth="1"/>
    <col min="16" max="16" width="1.77734375" style="146" customWidth="1"/>
    <col min="17" max="17" width="6.77734375" style="148" customWidth="1"/>
    <col min="18" max="18" width="10.77734375" style="146"/>
    <col min="19" max="19" width="28.6640625" style="146" customWidth="1"/>
    <col min="20" max="20" width="19" style="146" bestFit="1" customWidth="1"/>
    <col min="21" max="21" width="10.77734375" style="146"/>
    <col min="22" max="16384" width="10.77734375" style="148"/>
  </cols>
  <sheetData>
    <row r="1" spans="2:21" ht="6" customHeight="1" x14ac:dyDescent="0.3"/>
    <row r="2" spans="2:21" ht="21.9" customHeight="1" x14ac:dyDescent="0.3">
      <c r="B2" s="2148" t="s">
        <v>1067</v>
      </c>
      <c r="C2" s="2149"/>
      <c r="D2" s="2149"/>
      <c r="E2" s="2149"/>
      <c r="F2" s="2149"/>
      <c r="G2" s="2149"/>
      <c r="H2" s="2149"/>
      <c r="I2" s="2149"/>
      <c r="J2" s="2149"/>
      <c r="K2" s="2149"/>
      <c r="L2" s="2149"/>
      <c r="M2" s="2177"/>
      <c r="N2" s="2177"/>
      <c r="O2" s="2178"/>
      <c r="P2" s="137"/>
      <c r="Q2" s="145"/>
      <c r="S2" s="147"/>
    </row>
    <row r="3" spans="2:21" s="146" customFormat="1" ht="15" customHeight="1" x14ac:dyDescent="0.3">
      <c r="B3" s="149"/>
      <c r="C3" s="149"/>
      <c r="D3" s="150"/>
      <c r="E3" s="150"/>
      <c r="F3" s="150"/>
      <c r="G3" s="150"/>
      <c r="S3" s="151"/>
      <c r="T3" s="151"/>
    </row>
    <row r="4" spans="2:21" s="152" customFormat="1" ht="20.100000000000001" customHeight="1" x14ac:dyDescent="0.25">
      <c r="B4" s="2165" t="s">
        <v>787</v>
      </c>
      <c r="C4" s="2166"/>
      <c r="D4" s="2166"/>
      <c r="I4" s="2165" t="s">
        <v>868</v>
      </c>
      <c r="J4" s="2165"/>
      <c r="K4" s="2165"/>
      <c r="L4" s="2166"/>
      <c r="M4" s="2166"/>
      <c r="N4" s="2166"/>
      <c r="O4" s="2166"/>
    </row>
    <row r="5" spans="2:21" s="173" customFormat="1" ht="20.100000000000001" customHeight="1" x14ac:dyDescent="0.3">
      <c r="B5" s="2161"/>
      <c r="C5" s="2161"/>
      <c r="D5" s="2161"/>
      <c r="E5" s="2161"/>
      <c r="F5" s="2161"/>
      <c r="G5" s="2161"/>
      <c r="I5" s="2161"/>
      <c r="J5" s="2161"/>
      <c r="K5" s="2161"/>
      <c r="L5" s="2162"/>
      <c r="M5" s="2162"/>
      <c r="N5" s="2162"/>
      <c r="O5" s="2162"/>
      <c r="P5" s="174"/>
      <c r="Q5" s="175"/>
      <c r="R5" s="176"/>
      <c r="S5" s="172"/>
      <c r="T5" s="172"/>
      <c r="U5" s="172"/>
    </row>
    <row r="6" spans="2:21" s="173" customFormat="1" ht="20.100000000000001" customHeight="1" x14ac:dyDescent="0.3">
      <c r="B6" s="2161"/>
      <c r="C6" s="2161"/>
      <c r="D6" s="2161"/>
      <c r="E6" s="2161"/>
      <c r="F6" s="2161"/>
      <c r="G6" s="2161"/>
      <c r="I6" s="2161"/>
      <c r="J6" s="2161"/>
      <c r="K6" s="2161"/>
      <c r="L6" s="2162"/>
      <c r="M6" s="2162"/>
      <c r="N6" s="2162"/>
      <c r="O6" s="2162"/>
      <c r="P6" s="174"/>
      <c r="Q6" s="175"/>
      <c r="R6" s="176"/>
      <c r="S6" s="172"/>
      <c r="T6" s="172"/>
      <c r="U6" s="172"/>
    </row>
    <row r="7" spans="2:21" s="173" customFormat="1" ht="20.100000000000001" customHeight="1" x14ac:dyDescent="0.3">
      <c r="B7" s="486"/>
      <c r="C7" s="486"/>
      <c r="D7" s="486"/>
      <c r="E7" s="486"/>
      <c r="F7" s="486"/>
      <c r="G7" s="486"/>
      <c r="I7" s="486"/>
      <c r="J7" s="879"/>
      <c r="K7" s="879"/>
      <c r="L7" s="487"/>
      <c r="M7" s="487"/>
      <c r="N7" s="877"/>
      <c r="O7" s="487"/>
      <c r="P7" s="174"/>
      <c r="Q7" s="175"/>
      <c r="R7" s="176"/>
      <c r="S7" s="172"/>
      <c r="T7" s="172"/>
      <c r="U7" s="172"/>
    </row>
    <row r="8" spans="2:21" s="173" customFormat="1" ht="20.100000000000001" customHeight="1" x14ac:dyDescent="0.3">
      <c r="B8" s="2161"/>
      <c r="C8" s="2161"/>
      <c r="D8" s="2161"/>
      <c r="E8" s="2161"/>
      <c r="F8" s="2161"/>
      <c r="G8" s="2161"/>
      <c r="I8" s="2161"/>
      <c r="J8" s="2161"/>
      <c r="K8" s="2161"/>
      <c r="L8" s="2162"/>
      <c r="M8" s="2162"/>
      <c r="N8" s="2162"/>
      <c r="O8" s="2162"/>
      <c r="P8" s="174"/>
      <c r="Q8" s="175"/>
      <c r="R8" s="176"/>
      <c r="S8" s="172"/>
      <c r="T8" s="172"/>
      <c r="U8" s="172"/>
    </row>
    <row r="9" spans="2:21" s="173" customFormat="1" ht="20.100000000000001" customHeight="1" x14ac:dyDescent="0.3">
      <c r="B9" s="2161"/>
      <c r="C9" s="2161"/>
      <c r="D9" s="2161"/>
      <c r="E9" s="2161"/>
      <c r="F9" s="2161"/>
      <c r="G9" s="2161"/>
      <c r="I9" s="2161"/>
      <c r="J9" s="2161"/>
      <c r="K9" s="2161"/>
      <c r="L9" s="2162"/>
      <c r="M9" s="2162"/>
      <c r="N9" s="2162"/>
      <c r="O9" s="2162"/>
      <c r="P9" s="174"/>
      <c r="Q9" s="175"/>
      <c r="R9" s="177"/>
      <c r="S9" s="172"/>
      <c r="T9" s="172"/>
      <c r="U9" s="172"/>
    </row>
    <row r="10" spans="2:21" s="173" customFormat="1" ht="20.100000000000001" customHeight="1" x14ac:dyDescent="0.3">
      <c r="B10" s="2161"/>
      <c r="C10" s="2161"/>
      <c r="D10" s="2161"/>
      <c r="E10" s="2161"/>
      <c r="F10" s="2161"/>
      <c r="G10" s="2161"/>
      <c r="I10" s="2161"/>
      <c r="J10" s="2161"/>
      <c r="K10" s="2161"/>
      <c r="L10" s="2162"/>
      <c r="M10" s="2162"/>
      <c r="N10" s="2162"/>
      <c r="O10" s="2162"/>
      <c r="P10" s="174"/>
      <c r="Q10" s="175"/>
      <c r="R10" s="177"/>
      <c r="S10" s="172"/>
      <c r="T10" s="172"/>
      <c r="U10" s="172"/>
    </row>
    <row r="11" spans="2:21" s="173" customFormat="1" ht="20.100000000000001" customHeight="1" x14ac:dyDescent="0.3">
      <c r="B11" s="2161"/>
      <c r="C11" s="2161"/>
      <c r="D11" s="2161"/>
      <c r="E11" s="2161"/>
      <c r="F11" s="2161"/>
      <c r="G11" s="2161"/>
      <c r="I11" s="2161"/>
      <c r="J11" s="2161"/>
      <c r="K11" s="2161"/>
      <c r="L11" s="2162"/>
      <c r="M11" s="2162"/>
      <c r="N11" s="2162"/>
      <c r="O11" s="2162"/>
      <c r="P11" s="174"/>
      <c r="Q11" s="175"/>
      <c r="R11" s="172"/>
      <c r="S11" s="172"/>
      <c r="T11" s="172"/>
      <c r="U11" s="172"/>
    </row>
    <row r="12" spans="2:21" s="172" customFormat="1" ht="9.9" customHeight="1" x14ac:dyDescent="0.3">
      <c r="B12" s="178"/>
      <c r="C12" s="178"/>
      <c r="D12" s="179"/>
      <c r="E12" s="179"/>
      <c r="F12" s="179"/>
      <c r="G12" s="179"/>
      <c r="H12" s="180"/>
      <c r="I12" s="181"/>
      <c r="J12" s="181"/>
      <c r="K12" s="181"/>
      <c r="L12" s="181"/>
      <c r="M12" s="181"/>
      <c r="N12" s="181"/>
      <c r="O12" s="181"/>
      <c r="P12" s="177"/>
      <c r="Q12" s="181"/>
      <c r="S12" s="182"/>
      <c r="T12" s="182"/>
    </row>
    <row r="13" spans="2:21" s="173" customFormat="1" ht="20.100000000000001" customHeight="1" x14ac:dyDescent="0.3">
      <c r="B13" s="497" t="s">
        <v>981</v>
      </c>
      <c r="C13" s="2235"/>
      <c r="D13" s="2236"/>
      <c r="E13" s="990" t="s">
        <v>982</v>
      </c>
      <c r="F13" s="2159"/>
      <c r="G13" s="2237"/>
      <c r="H13" s="2238"/>
      <c r="I13" s="2233" t="s">
        <v>975</v>
      </c>
      <c r="J13" s="2234"/>
      <c r="K13" s="2235"/>
      <c r="L13" s="2236"/>
      <c r="M13" s="384" t="s">
        <v>137</v>
      </c>
      <c r="N13" s="2159" t="s">
        <v>457</v>
      </c>
      <c r="O13" s="2160"/>
      <c r="P13" s="184"/>
      <c r="R13" s="172"/>
      <c r="S13" s="182"/>
      <c r="T13" s="182"/>
      <c r="U13" s="172"/>
    </row>
    <row r="14" spans="2:21" s="173" customFormat="1" ht="20.100000000000001" customHeight="1" x14ac:dyDescent="0.3">
      <c r="B14" s="183"/>
      <c r="C14" s="183"/>
      <c r="D14" s="183"/>
      <c r="E14" s="183"/>
      <c r="F14" s="183"/>
      <c r="G14" s="183"/>
      <c r="H14" s="183"/>
      <c r="I14" s="183"/>
      <c r="J14" s="183"/>
      <c r="N14" s="183"/>
      <c r="O14" s="183"/>
      <c r="P14" s="184"/>
      <c r="R14" s="172"/>
      <c r="S14" s="182"/>
      <c r="T14" s="182"/>
      <c r="U14" s="172"/>
    </row>
    <row r="15" spans="2:21" s="186" customFormat="1" ht="20.100000000000001" customHeight="1" x14ac:dyDescent="0.25">
      <c r="B15" s="386" t="s">
        <v>788</v>
      </c>
      <c r="C15" s="185"/>
      <c r="P15" s="187"/>
      <c r="R15" s="187"/>
      <c r="S15" s="187"/>
      <c r="T15" s="187"/>
      <c r="U15" s="187"/>
    </row>
    <row r="16" spans="2:21" s="191" customFormat="1" ht="20.100000000000001" customHeight="1" x14ac:dyDescent="0.25">
      <c r="B16" s="387" t="s">
        <v>296</v>
      </c>
      <c r="C16" s="2252"/>
      <c r="D16" s="2253"/>
      <c r="E16" s="2253"/>
      <c r="F16" s="2253"/>
      <c r="G16" s="2253"/>
      <c r="H16" s="2254"/>
      <c r="I16" s="2250" t="s">
        <v>173</v>
      </c>
      <c r="J16" s="2250"/>
      <c r="K16" s="2251"/>
      <c r="L16" s="2229"/>
      <c r="M16" s="2230"/>
      <c r="N16" s="2231"/>
      <c r="O16" s="2232"/>
      <c r="P16" s="179"/>
      <c r="R16" s="179"/>
      <c r="S16" s="179"/>
      <c r="T16" s="179"/>
      <c r="U16" s="179"/>
    </row>
    <row r="17" spans="2:21" s="191" customFormat="1" ht="9.9" customHeight="1" x14ac:dyDescent="0.25">
      <c r="B17" s="186"/>
      <c r="C17" s="186"/>
      <c r="D17" s="186"/>
      <c r="E17" s="186"/>
      <c r="F17" s="186"/>
      <c r="G17" s="186"/>
      <c r="H17" s="186"/>
      <c r="P17" s="179"/>
      <c r="R17" s="179"/>
      <c r="S17" s="179"/>
      <c r="T17" s="179"/>
      <c r="U17" s="179"/>
    </row>
    <row r="18" spans="2:21" s="191" customFormat="1" ht="20.100000000000001" customHeight="1" x14ac:dyDescent="0.25">
      <c r="B18" s="387" t="s">
        <v>297</v>
      </c>
      <c r="C18" s="2226"/>
      <c r="D18" s="2227"/>
      <c r="E18" s="2228"/>
      <c r="F18" s="497"/>
      <c r="G18" s="498"/>
      <c r="H18" s="186"/>
      <c r="I18" s="2250" t="s">
        <v>893</v>
      </c>
      <c r="J18" s="2250"/>
      <c r="K18" s="2251"/>
      <c r="L18" s="891"/>
      <c r="R18" s="179"/>
      <c r="S18" s="179"/>
      <c r="T18" s="179"/>
      <c r="U18" s="179"/>
    </row>
    <row r="19" spans="2:21" s="191" customFormat="1" ht="9.9" customHeight="1" x14ac:dyDescent="0.25">
      <c r="B19" s="186"/>
      <c r="C19" s="186"/>
      <c r="D19" s="498"/>
      <c r="E19" s="498"/>
      <c r="F19" s="498"/>
      <c r="G19" s="498"/>
      <c r="H19" s="186"/>
      <c r="L19" s="186"/>
      <c r="P19" s="179"/>
      <c r="R19" s="179"/>
      <c r="S19" s="179"/>
      <c r="T19" s="179"/>
      <c r="U19" s="179"/>
    </row>
    <row r="20" spans="2:21" s="191" customFormat="1" ht="20.100000000000001" customHeight="1" x14ac:dyDescent="0.25">
      <c r="B20" s="478" t="s">
        <v>355</v>
      </c>
      <c r="C20" s="2151"/>
      <c r="D20" s="2195"/>
      <c r="E20" s="2195"/>
      <c r="F20" s="2195"/>
      <c r="G20" s="2195"/>
      <c r="H20" s="2195"/>
      <c r="I20" s="2196"/>
      <c r="J20" s="885"/>
      <c r="K20" s="383" t="s">
        <v>524</v>
      </c>
      <c r="L20" s="2269"/>
      <c r="M20" s="2270"/>
      <c r="N20" s="2270"/>
      <c r="O20" s="2271"/>
      <c r="P20" s="179"/>
      <c r="Q20" s="497"/>
      <c r="R20" s="179"/>
      <c r="S20" s="179"/>
      <c r="T20" s="179"/>
      <c r="U20" s="179"/>
    </row>
    <row r="21" spans="2:21" s="191" customFormat="1" ht="9.9" customHeight="1" x14ac:dyDescent="0.25">
      <c r="P21" s="179"/>
      <c r="R21" s="179"/>
      <c r="S21" s="179"/>
      <c r="T21" s="179"/>
      <c r="U21" s="179"/>
    </row>
    <row r="22" spans="2:21" s="191" customFormat="1" ht="20.100000000000001" customHeight="1" x14ac:dyDescent="0.25">
      <c r="B22" s="387" t="s">
        <v>176</v>
      </c>
      <c r="C22" s="481"/>
      <c r="I22" s="478" t="s">
        <v>600</v>
      </c>
      <c r="K22" s="478"/>
      <c r="L22" s="481"/>
      <c r="N22" s="479"/>
      <c r="P22" s="179"/>
      <c r="R22" s="179"/>
      <c r="S22" s="179"/>
      <c r="T22" s="179"/>
      <c r="U22" s="179"/>
    </row>
    <row r="23" spans="2:21" s="173" customFormat="1" ht="20.100000000000001" customHeight="1" x14ac:dyDescent="0.3">
      <c r="B23" s="387" t="s">
        <v>175</v>
      </c>
      <c r="I23" s="387" t="s">
        <v>175</v>
      </c>
      <c r="J23" s="387"/>
      <c r="K23" s="387"/>
      <c r="P23" s="172"/>
      <c r="R23" s="172"/>
    </row>
    <row r="24" spans="2:21" s="173" customFormat="1" ht="20.100000000000001" customHeight="1" x14ac:dyDescent="0.3">
      <c r="B24" s="2182"/>
      <c r="C24" s="2182"/>
      <c r="D24" s="2182"/>
      <c r="E24" s="2182"/>
      <c r="F24" s="2182"/>
      <c r="G24" s="189"/>
      <c r="I24" s="2182"/>
      <c r="J24" s="2182"/>
      <c r="K24" s="2182"/>
      <c r="L24" s="2182"/>
      <c r="M24" s="2182"/>
      <c r="N24" s="2182"/>
      <c r="O24" s="2182"/>
      <c r="P24" s="172"/>
      <c r="R24" s="172"/>
    </row>
    <row r="25" spans="2:21" s="173" customFormat="1" ht="20.100000000000001" customHeight="1" x14ac:dyDescent="0.3">
      <c r="B25" s="2182"/>
      <c r="C25" s="2182"/>
      <c r="D25" s="2182"/>
      <c r="E25" s="2182"/>
      <c r="F25" s="2182"/>
      <c r="G25" s="189"/>
      <c r="I25" s="2182"/>
      <c r="J25" s="2182"/>
      <c r="K25" s="2182"/>
      <c r="L25" s="2182"/>
      <c r="M25" s="2182"/>
      <c r="N25" s="2182"/>
      <c r="O25" s="2182"/>
      <c r="P25" s="172"/>
      <c r="R25" s="172"/>
      <c r="T25" s="182"/>
    </row>
    <row r="26" spans="2:21" s="173" customFormat="1" ht="20.100000000000001" customHeight="1" x14ac:dyDescent="0.3">
      <c r="B26" s="2182"/>
      <c r="C26" s="2182"/>
      <c r="D26" s="2182"/>
      <c r="E26" s="2182"/>
      <c r="F26" s="2182"/>
      <c r="G26" s="189"/>
      <c r="I26" s="2182"/>
      <c r="J26" s="2182"/>
      <c r="K26" s="2182"/>
      <c r="L26" s="2182"/>
      <c r="M26" s="2182"/>
      <c r="N26" s="878"/>
      <c r="O26" s="489"/>
      <c r="P26" s="184"/>
      <c r="Q26" s="188"/>
      <c r="R26" s="172"/>
      <c r="T26" s="182"/>
    </row>
    <row r="27" spans="2:21" s="173" customFormat="1" ht="20.100000000000001" customHeight="1" x14ac:dyDescent="0.3">
      <c r="B27" s="387" t="s">
        <v>245</v>
      </c>
      <c r="P27" s="184"/>
      <c r="Q27" s="188"/>
      <c r="R27" s="172"/>
      <c r="T27" s="182"/>
    </row>
    <row r="28" spans="2:21" s="173" customFormat="1" ht="20.100000000000001" customHeight="1" x14ac:dyDescent="0.3">
      <c r="B28" s="2183"/>
      <c r="C28" s="2184"/>
      <c r="D28" s="2184"/>
      <c r="E28" s="2184"/>
      <c r="F28" s="2184"/>
      <c r="G28" s="2184"/>
      <c r="H28" s="2184"/>
      <c r="I28" s="2184"/>
      <c r="J28" s="2185"/>
      <c r="K28" s="2185"/>
      <c r="L28" s="2184"/>
      <c r="M28" s="2184"/>
      <c r="N28" s="2185"/>
      <c r="O28" s="2186"/>
      <c r="P28" s="184"/>
      <c r="Q28" s="188"/>
      <c r="R28" s="172"/>
      <c r="T28" s="182"/>
    </row>
    <row r="29" spans="2:21" s="173" customFormat="1" ht="20.100000000000001" customHeight="1" x14ac:dyDescent="0.3">
      <c r="B29" s="2187"/>
      <c r="C29" s="2188"/>
      <c r="D29" s="2188"/>
      <c r="E29" s="2188"/>
      <c r="F29" s="2188"/>
      <c r="G29" s="2188"/>
      <c r="H29" s="2188"/>
      <c r="I29" s="2188"/>
      <c r="J29" s="2189"/>
      <c r="K29" s="2189"/>
      <c r="L29" s="2188"/>
      <c r="M29" s="2188"/>
      <c r="N29" s="2189"/>
      <c r="O29" s="2190"/>
      <c r="P29" s="172"/>
      <c r="R29" s="172"/>
      <c r="S29" s="172"/>
      <c r="T29" s="172"/>
    </row>
    <row r="30" spans="2:21" s="168" customFormat="1" ht="24.9" customHeight="1" x14ac:dyDescent="0.25">
      <c r="B30" s="2191" t="s">
        <v>515</v>
      </c>
      <c r="C30" s="2192"/>
      <c r="D30" s="2192"/>
      <c r="E30" s="2192"/>
      <c r="F30" s="2192"/>
      <c r="G30" s="2192"/>
      <c r="H30" s="2192"/>
      <c r="I30" s="2191" t="s">
        <v>516</v>
      </c>
      <c r="J30" s="2193"/>
      <c r="K30" s="2193"/>
      <c r="L30" s="2194"/>
      <c r="M30" s="2192"/>
      <c r="N30" s="880"/>
      <c r="P30" s="150"/>
      <c r="R30" s="150"/>
      <c r="S30" s="150"/>
      <c r="T30" s="150"/>
      <c r="U30" s="150"/>
    </row>
    <row r="31" spans="2:21" ht="21.9" customHeight="1" x14ac:dyDescent="0.3">
      <c r="B31" s="2179" t="s">
        <v>1058</v>
      </c>
      <c r="C31" s="2180"/>
      <c r="D31" s="2180"/>
      <c r="E31" s="2180"/>
      <c r="F31" s="2180"/>
      <c r="G31" s="2180"/>
      <c r="H31" s="2180"/>
      <c r="I31" s="2180"/>
      <c r="J31" s="2180"/>
      <c r="K31" s="2180"/>
      <c r="L31" s="2180"/>
      <c r="M31" s="2180"/>
      <c r="N31" s="2180"/>
      <c r="O31" s="2181"/>
    </row>
    <row r="32" spans="2:21" ht="15" customHeight="1" x14ac:dyDescent="0.3"/>
    <row r="33" spans="2:21" ht="20.100000000000001" customHeight="1" x14ac:dyDescent="0.3">
      <c r="B33" s="2167" t="s">
        <v>789</v>
      </c>
      <c r="C33" s="2167"/>
      <c r="D33" s="2167"/>
      <c r="E33" s="2167"/>
      <c r="F33" s="2168"/>
      <c r="G33" s="2168"/>
      <c r="H33" s="158"/>
      <c r="I33" s="2167" t="s">
        <v>869</v>
      </c>
      <c r="J33" s="2167"/>
      <c r="K33" s="2167"/>
      <c r="L33" s="2223"/>
      <c r="M33" s="2223"/>
      <c r="N33" s="876"/>
      <c r="O33" s="158"/>
    </row>
    <row r="34" spans="2:21" s="173" customFormat="1" ht="20.100000000000001" customHeight="1" x14ac:dyDescent="0.3">
      <c r="B34" s="2161"/>
      <c r="C34" s="2163"/>
      <c r="D34" s="2163"/>
      <c r="E34" s="2163"/>
      <c r="F34" s="2163"/>
      <c r="G34" s="2163"/>
      <c r="H34" s="487"/>
      <c r="I34" s="2162"/>
      <c r="J34" s="2162"/>
      <c r="K34" s="2162"/>
      <c r="L34" s="2162"/>
      <c r="M34" s="2162"/>
      <c r="N34" s="2162"/>
      <c r="O34" s="2162"/>
      <c r="P34" s="172"/>
      <c r="R34" s="172"/>
      <c r="S34" s="182"/>
      <c r="T34" s="182"/>
      <c r="U34" s="172"/>
    </row>
    <row r="35" spans="2:21" s="173" customFormat="1" ht="20.100000000000001" customHeight="1" x14ac:dyDescent="0.3">
      <c r="B35" s="2161"/>
      <c r="C35" s="2163"/>
      <c r="D35" s="2163"/>
      <c r="E35" s="2163"/>
      <c r="F35" s="2163"/>
      <c r="G35" s="2163"/>
      <c r="H35" s="487"/>
      <c r="I35" s="2162"/>
      <c r="J35" s="2162"/>
      <c r="K35" s="2162"/>
      <c r="L35" s="2162"/>
      <c r="M35" s="2162"/>
      <c r="N35" s="2162"/>
      <c r="O35" s="2162"/>
      <c r="P35" s="190"/>
      <c r="R35" s="172"/>
      <c r="S35" s="182"/>
      <c r="T35" s="172"/>
      <c r="U35" s="172"/>
    </row>
    <row r="36" spans="2:21" s="173" customFormat="1" ht="20.100000000000001" customHeight="1" x14ac:dyDescent="0.3">
      <c r="B36" s="2161"/>
      <c r="C36" s="2163"/>
      <c r="D36" s="2163"/>
      <c r="E36" s="2163"/>
      <c r="F36" s="2163"/>
      <c r="G36" s="2163"/>
      <c r="H36" s="487"/>
      <c r="I36" s="2162"/>
      <c r="J36" s="2162"/>
      <c r="K36" s="2162"/>
      <c r="L36" s="2162"/>
      <c r="M36" s="2162"/>
      <c r="N36" s="2162"/>
      <c r="O36" s="2162"/>
      <c r="P36" s="172"/>
      <c r="R36" s="172"/>
      <c r="S36" s="179"/>
      <c r="T36" s="172"/>
      <c r="U36" s="172"/>
    </row>
    <row r="37" spans="2:21" s="191" customFormat="1" ht="20.100000000000001" customHeight="1" x14ac:dyDescent="0.3">
      <c r="B37" s="2161"/>
      <c r="C37" s="2163"/>
      <c r="D37" s="2163"/>
      <c r="E37" s="2163"/>
      <c r="F37" s="2163"/>
      <c r="G37" s="2163"/>
      <c r="H37" s="487"/>
      <c r="I37" s="2162"/>
      <c r="J37" s="2162"/>
      <c r="K37" s="2162"/>
      <c r="L37" s="2162"/>
      <c r="M37" s="2162"/>
      <c r="N37" s="2162"/>
      <c r="O37" s="2162"/>
      <c r="P37" s="179"/>
      <c r="R37" s="179"/>
      <c r="S37" s="172"/>
      <c r="T37" s="179"/>
      <c r="U37" s="179"/>
    </row>
    <row r="38" spans="2:21" s="173" customFormat="1" ht="20.100000000000001" customHeight="1" x14ac:dyDescent="0.3">
      <c r="B38" s="2161"/>
      <c r="C38" s="2163"/>
      <c r="D38" s="2163"/>
      <c r="E38" s="2163"/>
      <c r="F38" s="2163"/>
      <c r="G38" s="2163"/>
      <c r="H38" s="487"/>
      <c r="I38" s="2162"/>
      <c r="J38" s="2162"/>
      <c r="K38" s="2162"/>
      <c r="L38" s="2162"/>
      <c r="M38" s="2162"/>
      <c r="N38" s="2162"/>
      <c r="O38" s="2162"/>
      <c r="P38" s="177"/>
      <c r="R38" s="172"/>
      <c r="S38" s="172"/>
      <c r="T38" s="172"/>
      <c r="U38" s="172"/>
    </row>
    <row r="39" spans="2:21" s="173" customFormat="1" ht="20.100000000000001" customHeight="1" x14ac:dyDescent="0.3">
      <c r="B39" s="2161"/>
      <c r="C39" s="2163"/>
      <c r="D39" s="2163"/>
      <c r="E39" s="2163"/>
      <c r="F39" s="2163"/>
      <c r="G39" s="2163"/>
      <c r="H39" s="487"/>
      <c r="I39" s="2162"/>
      <c r="J39" s="2162"/>
      <c r="K39" s="2162"/>
      <c r="L39" s="2162"/>
      <c r="M39" s="2162"/>
      <c r="N39" s="2162"/>
      <c r="O39" s="2162"/>
      <c r="P39" s="177"/>
      <c r="R39" s="172"/>
      <c r="S39" s="172"/>
      <c r="T39" s="172"/>
      <c r="U39" s="172"/>
    </row>
    <row r="40" spans="2:21" s="173" customFormat="1" ht="20.100000000000001" customHeight="1" x14ac:dyDescent="0.3">
      <c r="B40" s="2220"/>
      <c r="C40" s="2163"/>
      <c r="D40" s="2163"/>
      <c r="E40" s="2163"/>
      <c r="F40" s="2163"/>
      <c r="G40" s="2163"/>
      <c r="H40" s="495"/>
      <c r="I40" s="2171"/>
      <c r="J40" s="2171"/>
      <c r="K40" s="2171"/>
      <c r="L40" s="2171"/>
      <c r="M40" s="2171"/>
      <c r="N40" s="2171"/>
      <c r="O40" s="2171"/>
      <c r="P40" s="177"/>
      <c r="R40" s="172"/>
      <c r="S40" s="172"/>
      <c r="T40" s="172"/>
      <c r="U40" s="172"/>
    </row>
    <row r="41" spans="2:21" ht="6" customHeight="1" x14ac:dyDescent="0.3">
      <c r="P41" s="155"/>
    </row>
    <row r="42" spans="2:21" ht="21.9" customHeight="1" x14ac:dyDescent="0.3">
      <c r="B42" s="2167" t="s">
        <v>790</v>
      </c>
      <c r="C42" s="2167"/>
      <c r="D42" s="2168"/>
      <c r="E42" s="2168"/>
      <c r="F42" s="2241"/>
      <c r="G42" s="2242"/>
      <c r="H42" s="2242"/>
      <c r="I42" s="2242"/>
      <c r="J42" s="881"/>
      <c r="K42" s="882"/>
      <c r="L42" s="793"/>
      <c r="M42" s="793"/>
      <c r="N42" s="793"/>
      <c r="O42" s="158"/>
      <c r="P42" s="161"/>
    </row>
    <row r="43" spans="2:21" ht="6" customHeight="1" x14ac:dyDescent="0.3">
      <c r="B43" s="162"/>
      <c r="C43" s="162"/>
      <c r="P43" s="161"/>
      <c r="S43" s="160"/>
    </row>
    <row r="44" spans="2:21" s="158" customFormat="1" ht="20.100000000000001" customHeight="1" x14ac:dyDescent="0.3">
      <c r="B44" s="2169" t="s">
        <v>791</v>
      </c>
      <c r="C44" s="2222"/>
      <c r="D44" s="2170"/>
      <c r="E44" s="2170"/>
      <c r="F44" s="2170"/>
      <c r="G44" s="2170"/>
      <c r="H44" s="2223"/>
      <c r="I44" s="2223"/>
      <c r="J44" s="876"/>
      <c r="K44" s="876"/>
      <c r="P44" s="160"/>
      <c r="R44" s="160"/>
      <c r="S44" s="146"/>
      <c r="T44" s="160"/>
      <c r="U44" s="160"/>
    </row>
    <row r="45" spans="2:21" s="173" customFormat="1" ht="20.100000000000001" customHeight="1" x14ac:dyDescent="0.3">
      <c r="B45" s="2161"/>
      <c r="C45" s="2162"/>
      <c r="D45" s="2162"/>
      <c r="E45" s="2162"/>
      <c r="F45" s="2162"/>
      <c r="G45" s="2162"/>
      <c r="H45" s="2162"/>
      <c r="I45" s="2162"/>
      <c r="J45" s="2162"/>
      <c r="K45" s="2162"/>
      <c r="L45" s="2162"/>
      <c r="M45" s="2162"/>
      <c r="N45" s="2162"/>
      <c r="O45" s="2162"/>
      <c r="P45" s="172"/>
      <c r="R45" s="172"/>
      <c r="S45" s="172"/>
      <c r="T45" s="172"/>
      <c r="U45" s="172"/>
    </row>
    <row r="46" spans="2:21" s="173" customFormat="1" ht="20.100000000000001" customHeight="1" x14ac:dyDescent="0.3">
      <c r="B46" s="2161"/>
      <c r="C46" s="2162"/>
      <c r="D46" s="2162"/>
      <c r="E46" s="2162"/>
      <c r="F46" s="2162"/>
      <c r="G46" s="2162"/>
      <c r="H46" s="2162"/>
      <c r="I46" s="2162"/>
      <c r="J46" s="2162"/>
      <c r="K46" s="2162"/>
      <c r="L46" s="2162"/>
      <c r="M46" s="2162"/>
      <c r="N46" s="2162"/>
      <c r="O46" s="2162"/>
      <c r="P46" s="172"/>
      <c r="R46" s="172"/>
      <c r="S46" s="172"/>
      <c r="T46" s="172"/>
      <c r="U46" s="172"/>
    </row>
    <row r="47" spans="2:21" s="173" customFormat="1" ht="20.100000000000001" customHeight="1" x14ac:dyDescent="0.3">
      <c r="B47" s="2161"/>
      <c r="C47" s="2162"/>
      <c r="D47" s="2162"/>
      <c r="E47" s="2162"/>
      <c r="F47" s="2162"/>
      <c r="G47" s="2162"/>
      <c r="H47" s="2162"/>
      <c r="I47" s="2162"/>
      <c r="J47" s="2162"/>
      <c r="K47" s="2162"/>
      <c r="L47" s="2162"/>
      <c r="M47" s="2162"/>
      <c r="N47" s="2162"/>
      <c r="O47" s="2162"/>
      <c r="P47" s="172"/>
      <c r="R47" s="172"/>
      <c r="S47" s="179"/>
      <c r="T47" s="172"/>
      <c r="U47" s="172"/>
    </row>
    <row r="48" spans="2:21" s="191" customFormat="1" ht="20.100000000000001" customHeight="1" x14ac:dyDescent="0.3">
      <c r="B48" s="2161"/>
      <c r="C48" s="2162"/>
      <c r="D48" s="2162"/>
      <c r="E48" s="2162"/>
      <c r="F48" s="2162"/>
      <c r="G48" s="2162"/>
      <c r="H48" s="2162"/>
      <c r="I48" s="2162"/>
      <c r="J48" s="2162"/>
      <c r="K48" s="2162"/>
      <c r="L48" s="2162"/>
      <c r="M48" s="2162"/>
      <c r="N48" s="2162"/>
      <c r="O48" s="2162"/>
      <c r="P48" s="179"/>
      <c r="R48" s="179"/>
      <c r="S48" s="172"/>
      <c r="T48" s="179"/>
      <c r="U48" s="179"/>
    </row>
    <row r="49" spans="2:23" s="173" customFormat="1" ht="20.100000000000001" customHeight="1" x14ac:dyDescent="0.3">
      <c r="B49" s="2161"/>
      <c r="C49" s="2162"/>
      <c r="D49" s="2162"/>
      <c r="E49" s="2162"/>
      <c r="F49" s="2162"/>
      <c r="G49" s="2162"/>
      <c r="H49" s="2162"/>
      <c r="I49" s="2162"/>
      <c r="J49" s="2162"/>
      <c r="K49" s="2162"/>
      <c r="L49" s="2162"/>
      <c r="M49" s="2162"/>
      <c r="N49" s="2162"/>
      <c r="O49" s="2162"/>
      <c r="P49" s="192"/>
      <c r="R49" s="172"/>
      <c r="S49" s="172"/>
      <c r="T49" s="172"/>
      <c r="U49" s="172"/>
    </row>
    <row r="50" spans="2:23" s="173" customFormat="1" ht="20.100000000000001" customHeight="1" x14ac:dyDescent="0.3">
      <c r="B50" s="2161"/>
      <c r="C50" s="2162"/>
      <c r="D50" s="2162"/>
      <c r="E50" s="2162"/>
      <c r="F50" s="2162"/>
      <c r="G50" s="2162"/>
      <c r="H50" s="2162"/>
      <c r="I50" s="2162"/>
      <c r="J50" s="2162"/>
      <c r="K50" s="2162"/>
      <c r="L50" s="2162"/>
      <c r="M50" s="2162"/>
      <c r="N50" s="2162"/>
      <c r="O50" s="2162"/>
      <c r="P50" s="192"/>
      <c r="R50" s="172"/>
      <c r="S50" s="172"/>
      <c r="T50" s="172"/>
      <c r="U50" s="172"/>
    </row>
    <row r="51" spans="2:23" ht="6" customHeight="1" x14ac:dyDescent="0.3">
      <c r="B51" s="430"/>
      <c r="C51" s="430"/>
      <c r="D51" s="430"/>
      <c r="E51" s="430"/>
      <c r="F51" s="430"/>
      <c r="G51" s="430"/>
      <c r="H51" s="431"/>
      <c r="I51" s="431"/>
      <c r="J51" s="431"/>
      <c r="K51" s="431"/>
      <c r="L51" s="431"/>
      <c r="M51" s="431"/>
      <c r="N51" s="431"/>
      <c r="O51" s="431"/>
      <c r="P51" s="161"/>
    </row>
    <row r="52" spans="2:23" ht="20.100000000000001" customHeight="1" x14ac:dyDescent="0.3">
      <c r="B52" s="2167" t="s">
        <v>792</v>
      </c>
      <c r="C52" s="2167"/>
      <c r="D52" s="2167"/>
      <c r="E52" s="2167"/>
      <c r="F52" s="2224"/>
      <c r="G52" s="2223"/>
      <c r="H52" s="2223"/>
      <c r="I52" s="2223"/>
      <c r="J52" s="876"/>
      <c r="K52" s="876"/>
      <c r="L52" s="158"/>
      <c r="M52" s="158"/>
      <c r="N52" s="158"/>
      <c r="O52" s="158"/>
      <c r="P52" s="161"/>
    </row>
    <row r="53" spans="2:23" s="491" customFormat="1" ht="20.100000000000001" customHeight="1" x14ac:dyDescent="0.3">
      <c r="B53" s="1834" t="s">
        <v>326</v>
      </c>
      <c r="C53" s="1835" t="s">
        <v>380</v>
      </c>
      <c r="D53" s="2197" t="s">
        <v>326</v>
      </c>
      <c r="E53" s="2198"/>
      <c r="F53" s="2199"/>
      <c r="G53" s="1835" t="s">
        <v>380</v>
      </c>
      <c r="H53" s="2197" t="s">
        <v>326</v>
      </c>
      <c r="I53" s="2198"/>
      <c r="J53" s="2199"/>
      <c r="K53" s="1835" t="s">
        <v>380</v>
      </c>
      <c r="L53" s="2197" t="s">
        <v>326</v>
      </c>
      <c r="M53" s="2198"/>
      <c r="N53" s="2199"/>
      <c r="O53" s="1835" t="s">
        <v>380</v>
      </c>
      <c r="P53" s="490"/>
      <c r="R53" s="490"/>
      <c r="S53" s="490"/>
      <c r="T53" s="490"/>
      <c r="U53" s="490"/>
    </row>
    <row r="54" spans="2:23" s="173" customFormat="1" ht="20.100000000000001" customHeight="1" x14ac:dyDescent="0.3">
      <c r="B54" s="1743" t="s">
        <v>327</v>
      </c>
      <c r="C54" s="1744"/>
      <c r="D54" s="2172" t="s">
        <v>102</v>
      </c>
      <c r="E54" s="2147"/>
      <c r="F54" s="2147"/>
      <c r="G54" s="1744"/>
      <c r="H54" s="2257" t="s">
        <v>808</v>
      </c>
      <c r="I54" s="2258"/>
      <c r="J54" s="2258"/>
      <c r="K54" s="1744"/>
      <c r="L54" s="2257" t="s">
        <v>950</v>
      </c>
      <c r="M54" s="2258"/>
      <c r="N54" s="2258"/>
      <c r="O54" s="1744"/>
      <c r="P54" s="172"/>
      <c r="R54" s="172"/>
      <c r="S54" s="172"/>
      <c r="T54" s="172"/>
      <c r="U54" s="172"/>
    </row>
    <row r="55" spans="2:23" s="173" customFormat="1" ht="20.100000000000001" customHeight="1" x14ac:dyDescent="0.3">
      <c r="B55" s="1741" t="s">
        <v>167</v>
      </c>
      <c r="C55" s="1745"/>
      <c r="D55" s="2243" t="s">
        <v>329</v>
      </c>
      <c r="E55" s="2244"/>
      <c r="F55" s="2244"/>
      <c r="G55" s="1745"/>
      <c r="H55" s="2243" t="s">
        <v>328</v>
      </c>
      <c r="I55" s="2244"/>
      <c r="J55" s="2244"/>
      <c r="K55" s="1745"/>
      <c r="L55" s="2264"/>
      <c r="M55" s="2265"/>
      <c r="N55" s="2265"/>
      <c r="O55" s="1745"/>
      <c r="P55" s="172"/>
      <c r="R55" s="172"/>
      <c r="S55" s="179"/>
      <c r="T55" s="172"/>
      <c r="U55" s="172"/>
    </row>
    <row r="56" spans="2:23" s="191" customFormat="1" ht="20.100000000000001" customHeight="1" x14ac:dyDescent="0.3">
      <c r="B56" s="1742" t="s">
        <v>112</v>
      </c>
      <c r="C56" s="1746"/>
      <c r="D56" s="2173" t="s">
        <v>166</v>
      </c>
      <c r="E56" s="2174"/>
      <c r="F56" s="2174"/>
      <c r="G56" s="1746"/>
      <c r="H56" s="2259" t="s">
        <v>24</v>
      </c>
      <c r="I56" s="2260"/>
      <c r="J56" s="2260"/>
      <c r="K56" s="1746"/>
      <c r="L56" s="2266"/>
      <c r="M56" s="2267"/>
      <c r="N56" s="2267"/>
      <c r="O56" s="1746"/>
      <c r="P56" s="179"/>
      <c r="R56" s="179"/>
      <c r="S56" s="172"/>
      <c r="T56" s="179"/>
      <c r="U56" s="179"/>
      <c r="V56" s="173"/>
      <c r="W56" s="173"/>
    </row>
    <row r="57" spans="2:23" ht="6" customHeight="1" x14ac:dyDescent="0.3">
      <c r="K57" s="1749"/>
      <c r="S57" s="14"/>
    </row>
    <row r="58" spans="2:23" ht="20.100000000000001" customHeight="1" x14ac:dyDescent="0.3">
      <c r="B58" s="2225" t="s">
        <v>793</v>
      </c>
      <c r="C58" s="2168"/>
      <c r="D58" s="2168"/>
      <c r="G58" s="136"/>
      <c r="I58" s="136"/>
      <c r="J58" s="136"/>
      <c r="K58" s="136"/>
      <c r="L58" s="136"/>
      <c r="M58" s="14"/>
      <c r="N58" s="14"/>
      <c r="O58" s="322" t="str">
        <f>IF((C54+C55+C56+G54+G55+G56+K54+K55+K56+O54+O55+O56)&gt;100%,"Attention : total supérieur à 100% du C.A."," ")</f>
        <v xml:space="preserve"> </v>
      </c>
      <c r="P58" s="14"/>
      <c r="Q58" s="14"/>
      <c r="R58" s="14"/>
      <c r="S58" s="14"/>
      <c r="T58" s="14"/>
    </row>
    <row r="59" spans="2:23" s="173" customFormat="1" ht="20.100000000000001" customHeight="1" x14ac:dyDescent="0.3">
      <c r="B59" s="2268" t="s">
        <v>891</v>
      </c>
      <c r="C59" s="2168"/>
      <c r="D59" s="2168"/>
      <c r="E59" s="2168"/>
      <c r="P59" s="4"/>
      <c r="Q59" s="4"/>
      <c r="R59" s="4"/>
      <c r="S59" s="4"/>
      <c r="U59" s="172"/>
    </row>
    <row r="60" spans="2:23" s="173" customFormat="1" ht="3" customHeight="1" x14ac:dyDescent="0.3">
      <c r="C60" s="4"/>
      <c r="G60" s="193"/>
      <c r="I60" s="136"/>
      <c r="J60" s="136"/>
      <c r="K60" s="136"/>
      <c r="L60" s="136"/>
      <c r="M60" s="4"/>
      <c r="N60" s="4"/>
      <c r="O60" s="4"/>
      <c r="P60" s="4"/>
      <c r="Q60" s="4"/>
      <c r="R60" s="4"/>
      <c r="S60" s="4"/>
      <c r="U60" s="172"/>
    </row>
    <row r="61" spans="2:23" s="173" customFormat="1" ht="20.100000000000001" customHeight="1" x14ac:dyDescent="0.3">
      <c r="B61" s="2255" t="s">
        <v>605</v>
      </c>
      <c r="C61" s="2256"/>
      <c r="D61" s="500"/>
      <c r="F61" s="2263" t="s">
        <v>604</v>
      </c>
      <c r="G61" s="2262"/>
      <c r="H61" s="886"/>
      <c r="I61" s="1036" t="s">
        <v>892</v>
      </c>
      <c r="J61" s="887"/>
      <c r="K61" s="2261" t="s">
        <v>894</v>
      </c>
      <c r="L61" s="2262"/>
      <c r="M61" s="194"/>
      <c r="N61" s="890" t="s">
        <v>892</v>
      </c>
      <c r="O61" s="887"/>
      <c r="P61" s="4"/>
      <c r="Q61" s="4"/>
      <c r="R61" s="4"/>
      <c r="S61" s="4"/>
      <c r="U61" s="172"/>
    </row>
    <row r="62" spans="2:23" s="173" customFormat="1" ht="6" customHeight="1" x14ac:dyDescent="0.3">
      <c r="C62" s="4"/>
      <c r="G62" s="193"/>
      <c r="I62" s="136"/>
      <c r="J62" s="136"/>
      <c r="K62" s="136"/>
      <c r="L62" s="136"/>
      <c r="M62" s="4"/>
      <c r="N62" s="4"/>
      <c r="O62" s="4"/>
      <c r="P62" s="4"/>
      <c r="Q62" s="4"/>
      <c r="R62" s="4"/>
      <c r="S62" s="4"/>
      <c r="U62" s="172"/>
    </row>
    <row r="63" spans="2:23" s="173" customFormat="1" ht="20.100000000000001" customHeight="1" x14ac:dyDescent="0.3">
      <c r="B63" s="2175" t="s">
        <v>180</v>
      </c>
      <c r="C63" s="2170"/>
      <c r="D63" s="2170"/>
      <c r="E63" s="2170"/>
      <c r="F63" s="2170"/>
      <c r="G63" s="2176"/>
      <c r="H63" s="194"/>
      <c r="I63" s="136"/>
      <c r="J63" s="136"/>
      <c r="K63" s="136"/>
      <c r="L63" s="136"/>
      <c r="M63" s="4"/>
      <c r="N63" s="4"/>
      <c r="O63" s="4"/>
      <c r="P63" s="4"/>
      <c r="Q63" s="4"/>
      <c r="R63" s="4"/>
      <c r="S63" s="179"/>
      <c r="U63" s="172"/>
    </row>
    <row r="64" spans="2:23" s="158" customFormat="1" ht="9" customHeight="1" x14ac:dyDescent="0.3">
      <c r="B64" s="148"/>
      <c r="C64" s="148"/>
      <c r="D64" s="148"/>
      <c r="E64" s="148"/>
      <c r="F64" s="148"/>
      <c r="G64" s="148"/>
      <c r="I64" s="4"/>
      <c r="J64" s="4"/>
      <c r="K64" s="4"/>
      <c r="L64" s="4"/>
      <c r="M64" s="4"/>
      <c r="N64" s="4"/>
      <c r="P64" s="160"/>
      <c r="R64" s="160"/>
      <c r="S64" s="146"/>
      <c r="T64" s="160"/>
      <c r="U64" s="160"/>
      <c r="V64" s="148"/>
      <c r="W64" s="148"/>
    </row>
    <row r="65" spans="2:21" ht="20.100000000000001" customHeight="1" x14ac:dyDescent="0.3">
      <c r="B65" s="2167" t="s">
        <v>794</v>
      </c>
      <c r="C65" s="2245"/>
      <c r="D65" s="2223"/>
      <c r="E65" s="2223"/>
      <c r="F65" s="158"/>
      <c r="G65" s="158"/>
      <c r="H65" s="158"/>
      <c r="I65" s="2167" t="s">
        <v>795</v>
      </c>
      <c r="J65" s="2167"/>
      <c r="K65" s="2167"/>
      <c r="L65" s="2167"/>
      <c r="M65" s="2223"/>
      <c r="N65" s="876"/>
      <c r="O65" s="158"/>
      <c r="P65" s="161"/>
      <c r="Q65" s="156"/>
    </row>
    <row r="66" spans="2:21" s="173" customFormat="1" ht="20.100000000000001" customHeight="1" x14ac:dyDescent="0.3">
      <c r="B66" s="2161"/>
      <c r="C66" s="2164"/>
      <c r="D66" s="2164"/>
      <c r="E66" s="2164"/>
      <c r="F66" s="2164"/>
      <c r="G66" s="2164"/>
      <c r="H66" s="487"/>
      <c r="I66" s="2162"/>
      <c r="J66" s="2162"/>
      <c r="K66" s="2162"/>
      <c r="L66" s="2162"/>
      <c r="M66" s="2162"/>
      <c r="N66" s="2162"/>
      <c r="O66" s="2162"/>
      <c r="P66" s="192"/>
      <c r="Q66" s="181"/>
      <c r="R66" s="172"/>
      <c r="S66" s="172"/>
      <c r="T66" s="172"/>
      <c r="U66" s="172"/>
    </row>
    <row r="67" spans="2:21" s="173" customFormat="1" ht="20.100000000000001" customHeight="1" x14ac:dyDescent="0.3">
      <c r="B67" s="2161"/>
      <c r="C67" s="2164"/>
      <c r="D67" s="2164"/>
      <c r="E67" s="2164"/>
      <c r="F67" s="2164"/>
      <c r="G67" s="2164"/>
      <c r="H67" s="487"/>
      <c r="I67" s="2162"/>
      <c r="J67" s="2162"/>
      <c r="K67" s="2162"/>
      <c r="L67" s="2162"/>
      <c r="M67" s="2162"/>
      <c r="N67" s="2162"/>
      <c r="O67" s="2162"/>
      <c r="P67" s="192"/>
      <c r="Q67" s="181"/>
      <c r="R67" s="172"/>
      <c r="S67" s="172"/>
      <c r="T67" s="172"/>
      <c r="U67" s="172"/>
    </row>
    <row r="68" spans="2:21" s="173" customFormat="1" ht="20.100000000000001" customHeight="1" x14ac:dyDescent="0.3">
      <c r="B68" s="494"/>
      <c r="C68" s="496"/>
      <c r="D68" s="496"/>
      <c r="E68" s="496"/>
      <c r="F68" s="496"/>
      <c r="G68" s="496"/>
      <c r="H68" s="493"/>
      <c r="I68" s="493"/>
      <c r="J68" s="877"/>
      <c r="K68" s="877"/>
      <c r="L68" s="493"/>
      <c r="M68" s="493"/>
      <c r="N68" s="877"/>
      <c r="O68" s="493"/>
      <c r="P68" s="192"/>
      <c r="Q68" s="181"/>
      <c r="R68" s="172"/>
      <c r="S68" s="172"/>
      <c r="T68" s="172"/>
      <c r="U68" s="172"/>
    </row>
    <row r="69" spans="2:21" s="173" customFormat="1" ht="20.100000000000001" customHeight="1" x14ac:dyDescent="0.3">
      <c r="B69" s="2161"/>
      <c r="C69" s="2164"/>
      <c r="D69" s="2164"/>
      <c r="E69" s="2164"/>
      <c r="F69" s="2164"/>
      <c r="G69" s="2164"/>
      <c r="H69" s="487"/>
      <c r="I69" s="2162"/>
      <c r="J69" s="2162"/>
      <c r="K69" s="2162"/>
      <c r="L69" s="2162"/>
      <c r="M69" s="2162"/>
      <c r="N69" s="2162"/>
      <c r="O69" s="2162"/>
      <c r="P69" s="192"/>
      <c r="Q69" s="181"/>
      <c r="R69" s="172"/>
      <c r="S69" s="172"/>
      <c r="T69" s="172"/>
      <c r="U69" s="172"/>
    </row>
    <row r="70" spans="2:21" s="173" customFormat="1" ht="20.100000000000001" customHeight="1" x14ac:dyDescent="0.3">
      <c r="B70" s="2161"/>
      <c r="C70" s="2164"/>
      <c r="D70" s="2164"/>
      <c r="E70" s="2164"/>
      <c r="F70" s="2164"/>
      <c r="G70" s="2164"/>
      <c r="H70" s="487"/>
      <c r="I70" s="2162"/>
      <c r="J70" s="2162"/>
      <c r="K70" s="2162"/>
      <c r="L70" s="2162"/>
      <c r="M70" s="2162"/>
      <c r="N70" s="2162"/>
      <c r="O70" s="2162"/>
      <c r="P70" s="192"/>
      <c r="Q70" s="181"/>
      <c r="R70" s="172"/>
      <c r="S70" s="172"/>
      <c r="T70" s="172"/>
      <c r="U70" s="172"/>
    </row>
    <row r="71" spans="2:21" s="173" customFormat="1" ht="20.100000000000001" customHeight="1" x14ac:dyDescent="0.3">
      <c r="B71" s="2161"/>
      <c r="C71" s="2164"/>
      <c r="D71" s="2164"/>
      <c r="E71" s="2164"/>
      <c r="F71" s="2164"/>
      <c r="G71" s="2164"/>
      <c r="H71" s="487"/>
      <c r="I71" s="2162"/>
      <c r="J71" s="2162"/>
      <c r="K71" s="2162"/>
      <c r="L71" s="2162"/>
      <c r="M71" s="2162"/>
      <c r="N71" s="2162"/>
      <c r="O71" s="2162"/>
      <c r="P71" s="192"/>
      <c r="Q71" s="181"/>
      <c r="R71" s="172"/>
      <c r="S71" s="172"/>
      <c r="T71" s="172"/>
      <c r="U71" s="172"/>
    </row>
    <row r="72" spans="2:21" s="173" customFormat="1" ht="20.100000000000001" customHeight="1" x14ac:dyDescent="0.3">
      <c r="B72" s="2161"/>
      <c r="C72" s="2164"/>
      <c r="D72" s="2164"/>
      <c r="E72" s="2164"/>
      <c r="F72" s="2164"/>
      <c r="G72" s="2164"/>
      <c r="H72" s="487"/>
      <c r="I72" s="2162"/>
      <c r="J72" s="2162"/>
      <c r="K72" s="2162"/>
      <c r="L72" s="2162"/>
      <c r="M72" s="2162"/>
      <c r="N72" s="2162"/>
      <c r="O72" s="2162"/>
      <c r="P72" s="172"/>
      <c r="R72" s="172"/>
      <c r="S72" s="179"/>
      <c r="T72" s="172"/>
      <c r="U72" s="172"/>
    </row>
    <row r="73" spans="2:21" ht="20.100000000000001" customHeight="1" x14ac:dyDescent="0.3">
      <c r="P73" s="159"/>
      <c r="Q73" s="163"/>
      <c r="S73" s="151"/>
    </row>
    <row r="74" spans="2:21" ht="24" customHeight="1" x14ac:dyDescent="0.3">
      <c r="B74" s="2179" t="s">
        <v>1059</v>
      </c>
      <c r="C74" s="2180"/>
      <c r="D74" s="2180"/>
      <c r="E74" s="2180"/>
      <c r="F74" s="2180"/>
      <c r="G74" s="2180"/>
      <c r="H74" s="2180"/>
      <c r="I74" s="2180"/>
      <c r="J74" s="2180"/>
      <c r="K74" s="2180"/>
      <c r="L74" s="2180"/>
      <c r="M74" s="2180"/>
      <c r="N74" s="2180"/>
      <c r="O74" s="2181"/>
      <c r="S74" s="160"/>
    </row>
    <row r="75" spans="2:21" s="158" customFormat="1" ht="15" customHeight="1" x14ac:dyDescent="0.3">
      <c r="B75" s="148"/>
      <c r="C75" s="148"/>
      <c r="D75" s="148"/>
      <c r="E75" s="148"/>
      <c r="F75" s="148"/>
      <c r="G75" s="148"/>
      <c r="H75" s="148"/>
      <c r="I75" s="148"/>
      <c r="J75" s="148"/>
      <c r="K75" s="148"/>
      <c r="L75" s="148"/>
      <c r="M75" s="148"/>
      <c r="N75" s="148"/>
      <c r="O75" s="148"/>
      <c r="P75" s="160"/>
      <c r="R75" s="160"/>
      <c r="S75" s="146"/>
      <c r="T75" s="160"/>
      <c r="U75" s="160"/>
    </row>
    <row r="76" spans="2:21" ht="20.100000000000001" customHeight="1" x14ac:dyDescent="0.3">
      <c r="B76" s="2167" t="s">
        <v>796</v>
      </c>
      <c r="C76" s="2223"/>
      <c r="D76" s="2223"/>
      <c r="E76" s="158"/>
      <c r="F76" s="158"/>
      <c r="G76" s="158"/>
      <c r="H76" s="158"/>
      <c r="I76" s="2167" t="s">
        <v>797</v>
      </c>
      <c r="J76" s="2167"/>
      <c r="K76" s="2167"/>
      <c r="L76" s="2223"/>
      <c r="M76" s="158"/>
      <c r="N76" s="158"/>
      <c r="O76" s="158"/>
      <c r="P76" s="153"/>
      <c r="Q76" s="154"/>
    </row>
    <row r="77" spans="2:21" s="173" customFormat="1" ht="20.100000000000001" customHeight="1" x14ac:dyDescent="0.3">
      <c r="B77" s="2220"/>
      <c r="C77" s="2163"/>
      <c r="D77" s="2163"/>
      <c r="E77" s="2163"/>
      <c r="F77" s="2163"/>
      <c r="G77" s="2163"/>
      <c r="H77" s="495"/>
      <c r="I77" s="2171"/>
      <c r="J77" s="2171"/>
      <c r="K77" s="2171"/>
      <c r="L77" s="2171"/>
      <c r="M77" s="2171"/>
      <c r="N77" s="2171"/>
      <c r="O77" s="2171"/>
      <c r="P77" s="174"/>
      <c r="Q77" s="175"/>
      <c r="R77" s="172"/>
      <c r="S77" s="172"/>
      <c r="T77" s="172"/>
      <c r="U77" s="172"/>
    </row>
    <row r="78" spans="2:21" s="173" customFormat="1" ht="20.100000000000001" customHeight="1" x14ac:dyDescent="0.3">
      <c r="B78" s="2161"/>
      <c r="C78" s="2163"/>
      <c r="D78" s="2163"/>
      <c r="E78" s="2163"/>
      <c r="F78" s="2163"/>
      <c r="G78" s="2163"/>
      <c r="H78" s="493"/>
      <c r="I78" s="2162"/>
      <c r="J78" s="2162"/>
      <c r="K78" s="2162"/>
      <c r="L78" s="2162"/>
      <c r="M78" s="2162"/>
      <c r="N78" s="2162"/>
      <c r="O78" s="2162"/>
      <c r="P78" s="174"/>
      <c r="Q78" s="175"/>
      <c r="R78" s="172"/>
      <c r="S78" s="172"/>
      <c r="T78" s="172"/>
      <c r="U78" s="172"/>
    </row>
    <row r="79" spans="2:21" s="173" customFormat="1" ht="20.100000000000001" customHeight="1" x14ac:dyDescent="0.3">
      <c r="B79" s="2220"/>
      <c r="C79" s="2163"/>
      <c r="D79" s="2163"/>
      <c r="E79" s="2163"/>
      <c r="F79" s="2163"/>
      <c r="G79" s="2163"/>
      <c r="H79" s="495"/>
      <c r="I79" s="2171"/>
      <c r="J79" s="2171"/>
      <c r="K79" s="2171"/>
      <c r="L79" s="2171"/>
      <c r="M79" s="2171"/>
      <c r="N79" s="2171"/>
      <c r="O79" s="2171"/>
      <c r="P79" s="174"/>
      <c r="Q79" s="175"/>
      <c r="R79" s="172"/>
      <c r="S79" s="172"/>
      <c r="T79" s="172"/>
      <c r="U79" s="172"/>
    </row>
    <row r="80" spans="2:21" s="173" customFormat="1" ht="20.100000000000001" customHeight="1" x14ac:dyDescent="0.3">
      <c r="B80" s="2220"/>
      <c r="C80" s="2163"/>
      <c r="D80" s="2163"/>
      <c r="E80" s="2163"/>
      <c r="F80" s="2163"/>
      <c r="G80" s="2163"/>
      <c r="H80" s="495"/>
      <c r="I80" s="2171"/>
      <c r="J80" s="2171"/>
      <c r="K80" s="2171"/>
      <c r="L80" s="2171"/>
      <c r="M80" s="2171"/>
      <c r="N80" s="2171"/>
      <c r="O80" s="2171"/>
      <c r="P80" s="174"/>
      <c r="Q80" s="175"/>
      <c r="R80" s="172"/>
      <c r="S80" s="172"/>
      <c r="T80" s="172"/>
      <c r="U80" s="172"/>
    </row>
    <row r="81" spans="2:21" s="173" customFormat="1" ht="20.100000000000001" customHeight="1" x14ac:dyDescent="0.3">
      <c r="B81" s="2220"/>
      <c r="C81" s="2163"/>
      <c r="D81" s="2163"/>
      <c r="E81" s="2163"/>
      <c r="F81" s="2163"/>
      <c r="G81" s="2163"/>
      <c r="H81" s="495"/>
      <c r="I81" s="2171"/>
      <c r="J81" s="2171"/>
      <c r="K81" s="2171"/>
      <c r="L81" s="2171"/>
      <c r="M81" s="2171"/>
      <c r="N81" s="2171"/>
      <c r="O81" s="2171"/>
      <c r="P81" s="174"/>
      <c r="Q81" s="175"/>
      <c r="R81" s="172"/>
      <c r="S81" s="172"/>
      <c r="T81" s="172"/>
      <c r="U81" s="172"/>
    </row>
    <row r="82" spans="2:21" s="173" customFormat="1" ht="20.100000000000001" customHeight="1" x14ac:dyDescent="0.3">
      <c r="B82" s="2220"/>
      <c r="C82" s="2163"/>
      <c r="D82" s="2163"/>
      <c r="E82" s="2163"/>
      <c r="F82" s="2163"/>
      <c r="G82" s="2163"/>
      <c r="H82" s="495"/>
      <c r="I82" s="2171"/>
      <c r="J82" s="2171"/>
      <c r="K82" s="2171"/>
      <c r="L82" s="2171"/>
      <c r="M82" s="2171"/>
      <c r="N82" s="2171"/>
      <c r="O82" s="2171"/>
      <c r="P82" s="174"/>
      <c r="Q82" s="175"/>
      <c r="R82" s="172"/>
      <c r="S82" s="172"/>
      <c r="T82" s="172"/>
      <c r="U82" s="172"/>
    </row>
    <row r="83" spans="2:21" s="173" customFormat="1" ht="20.100000000000001" customHeight="1" x14ac:dyDescent="0.3">
      <c r="B83" s="2220"/>
      <c r="C83" s="2163"/>
      <c r="D83" s="2163"/>
      <c r="E83" s="2163"/>
      <c r="F83" s="2163"/>
      <c r="G83" s="2163"/>
      <c r="H83" s="495"/>
      <c r="I83" s="2171"/>
      <c r="J83" s="2171"/>
      <c r="K83" s="2171"/>
      <c r="L83" s="2171"/>
      <c r="M83" s="2171"/>
      <c r="N83" s="2171"/>
      <c r="O83" s="2171"/>
      <c r="P83" s="174"/>
      <c r="Q83" s="175"/>
      <c r="R83" s="172"/>
      <c r="S83" s="179"/>
      <c r="T83" s="172"/>
      <c r="U83" s="172"/>
    </row>
    <row r="84" spans="2:21" s="158" customFormat="1" ht="6" customHeight="1" x14ac:dyDescent="0.3">
      <c r="B84" s="154"/>
      <c r="C84" s="154"/>
      <c r="D84" s="154"/>
      <c r="E84" s="154"/>
      <c r="F84" s="154"/>
      <c r="G84" s="154"/>
      <c r="H84" s="148"/>
      <c r="I84" s="154"/>
      <c r="J84" s="154"/>
      <c r="K84" s="154"/>
      <c r="L84" s="154"/>
      <c r="M84" s="154"/>
      <c r="N84" s="154"/>
      <c r="O84" s="154"/>
      <c r="P84" s="164"/>
      <c r="Q84" s="165"/>
      <c r="R84" s="160"/>
      <c r="S84" s="146"/>
      <c r="T84" s="160"/>
      <c r="U84" s="160"/>
    </row>
    <row r="85" spans="2:21" ht="20.100000000000001" customHeight="1" x14ac:dyDescent="0.3">
      <c r="B85" s="2167" t="s">
        <v>798</v>
      </c>
      <c r="C85" s="2223"/>
      <c r="D85" s="2223"/>
      <c r="E85" s="158"/>
      <c r="F85" s="158"/>
      <c r="G85" s="158"/>
      <c r="H85" s="158"/>
      <c r="I85" s="2167" t="s">
        <v>799</v>
      </c>
      <c r="J85" s="2167"/>
      <c r="K85" s="2167"/>
      <c r="L85" s="2167"/>
      <c r="M85" s="2223"/>
      <c r="N85" s="876"/>
      <c r="O85" s="158"/>
      <c r="P85" s="153"/>
      <c r="Q85" s="154"/>
    </row>
    <row r="86" spans="2:21" s="173" customFormat="1" ht="20.100000000000001" customHeight="1" x14ac:dyDescent="0.3">
      <c r="B86" s="2220"/>
      <c r="C86" s="2221"/>
      <c r="D86" s="2221"/>
      <c r="E86" s="2221"/>
      <c r="F86" s="2221"/>
      <c r="G86" s="2221"/>
      <c r="H86" s="495"/>
      <c r="I86" s="2171"/>
      <c r="J86" s="2171"/>
      <c r="K86" s="2171"/>
      <c r="L86" s="2171"/>
      <c r="M86" s="2171"/>
      <c r="N86" s="2171"/>
      <c r="O86" s="2171"/>
      <c r="P86" s="174"/>
      <c r="Q86" s="175"/>
      <c r="R86" s="172"/>
      <c r="S86" s="172"/>
      <c r="T86" s="172"/>
      <c r="U86" s="172"/>
    </row>
    <row r="87" spans="2:21" s="173" customFormat="1" ht="20.100000000000001" customHeight="1" x14ac:dyDescent="0.3">
      <c r="B87" s="2220"/>
      <c r="C87" s="2221"/>
      <c r="D87" s="2221"/>
      <c r="E87" s="2221"/>
      <c r="F87" s="2221"/>
      <c r="G87" s="2221"/>
      <c r="H87" s="495"/>
      <c r="I87" s="2171"/>
      <c r="J87" s="2171"/>
      <c r="K87" s="2171"/>
      <c r="L87" s="2171"/>
      <c r="M87" s="2171"/>
      <c r="N87" s="2171"/>
      <c r="O87" s="2171"/>
      <c r="P87" s="174"/>
      <c r="Q87" s="175"/>
      <c r="R87" s="172"/>
      <c r="S87" s="172"/>
      <c r="T87" s="172"/>
      <c r="U87" s="172"/>
    </row>
    <row r="88" spans="2:21" s="173" customFormat="1" ht="20.100000000000001" customHeight="1" x14ac:dyDescent="0.3">
      <c r="B88" s="2220"/>
      <c r="C88" s="2221"/>
      <c r="D88" s="2221"/>
      <c r="E88" s="2221"/>
      <c r="F88" s="2221"/>
      <c r="G88" s="2221"/>
      <c r="H88" s="495"/>
      <c r="I88" s="2171"/>
      <c r="J88" s="2171"/>
      <c r="K88" s="2171"/>
      <c r="L88" s="2171"/>
      <c r="M88" s="2171"/>
      <c r="N88" s="2171"/>
      <c r="O88" s="2171"/>
      <c r="P88" s="174"/>
      <c r="Q88" s="175"/>
      <c r="R88" s="172"/>
      <c r="S88" s="172"/>
      <c r="T88" s="172"/>
      <c r="U88" s="172"/>
    </row>
    <row r="89" spans="2:21" s="173" customFormat="1" ht="20.100000000000001" customHeight="1" x14ac:dyDescent="0.3">
      <c r="B89" s="2220"/>
      <c r="C89" s="2221"/>
      <c r="D89" s="2221"/>
      <c r="E89" s="2221"/>
      <c r="F89" s="2221"/>
      <c r="G89" s="2221"/>
      <c r="H89" s="495"/>
      <c r="I89" s="2171"/>
      <c r="J89" s="2171"/>
      <c r="K89" s="2171"/>
      <c r="L89" s="2171"/>
      <c r="M89" s="2171"/>
      <c r="N89" s="2171"/>
      <c r="O89" s="2171"/>
      <c r="P89" s="174"/>
      <c r="Q89" s="175"/>
      <c r="R89" s="172"/>
      <c r="S89" s="172"/>
      <c r="T89" s="172"/>
      <c r="U89" s="172"/>
    </row>
    <row r="90" spans="2:21" s="173" customFormat="1" ht="20.100000000000001" customHeight="1" x14ac:dyDescent="0.3">
      <c r="B90" s="2220"/>
      <c r="C90" s="2221"/>
      <c r="D90" s="2221"/>
      <c r="E90" s="2221"/>
      <c r="F90" s="2221"/>
      <c r="G90" s="2221"/>
      <c r="H90" s="495"/>
      <c r="I90" s="2171"/>
      <c r="J90" s="2171"/>
      <c r="K90" s="2171"/>
      <c r="L90" s="2171"/>
      <c r="M90" s="2171"/>
      <c r="N90" s="2171"/>
      <c r="O90" s="2171"/>
      <c r="P90" s="174"/>
      <c r="Q90" s="175"/>
      <c r="R90" s="172"/>
      <c r="S90" s="172"/>
      <c r="T90" s="172"/>
      <c r="U90" s="172"/>
    </row>
    <row r="91" spans="2:21" s="173" customFormat="1" ht="20.100000000000001" customHeight="1" x14ac:dyDescent="0.3">
      <c r="B91" s="2220"/>
      <c r="C91" s="2221"/>
      <c r="D91" s="2221"/>
      <c r="E91" s="2221"/>
      <c r="F91" s="2221"/>
      <c r="G91" s="2221"/>
      <c r="H91" s="495"/>
      <c r="I91" s="2171"/>
      <c r="J91" s="2171"/>
      <c r="K91" s="2171"/>
      <c r="L91" s="2171"/>
      <c r="M91" s="2171"/>
      <c r="N91" s="2171"/>
      <c r="O91" s="2171"/>
      <c r="P91" s="174"/>
      <c r="Q91" s="175"/>
      <c r="R91" s="172"/>
      <c r="S91" s="172"/>
      <c r="T91" s="172"/>
      <c r="U91" s="172"/>
    </row>
    <row r="92" spans="2:21" s="173" customFormat="1" ht="20.100000000000001" customHeight="1" x14ac:dyDescent="0.3">
      <c r="B92" s="2220"/>
      <c r="C92" s="2221"/>
      <c r="D92" s="2221"/>
      <c r="E92" s="2221"/>
      <c r="F92" s="2221"/>
      <c r="G92" s="2221"/>
      <c r="H92" s="495"/>
      <c r="I92" s="2171"/>
      <c r="J92" s="2171"/>
      <c r="K92" s="2171"/>
      <c r="L92" s="2171"/>
      <c r="M92" s="2171"/>
      <c r="N92" s="2171"/>
      <c r="O92" s="2171"/>
      <c r="P92" s="174"/>
      <c r="Q92" s="175"/>
      <c r="R92" s="172"/>
      <c r="S92" s="179"/>
      <c r="T92" s="172"/>
      <c r="U92" s="172"/>
    </row>
    <row r="93" spans="2:21" ht="6" customHeight="1" x14ac:dyDescent="0.3"/>
    <row r="94" spans="2:21" ht="20.100000000000001" customHeight="1" x14ac:dyDescent="0.3">
      <c r="B94" s="2167" t="s">
        <v>837</v>
      </c>
      <c r="C94" s="2248"/>
      <c r="D94" s="2248"/>
      <c r="E94" s="2249"/>
      <c r="F94" s="2249"/>
      <c r="I94" s="2167" t="s">
        <v>836</v>
      </c>
      <c r="J94" s="2167"/>
      <c r="K94" s="2167"/>
      <c r="L94" s="2223"/>
      <c r="M94" s="2223"/>
      <c r="N94" s="876"/>
    </row>
    <row r="95" spans="2:21" ht="20.100000000000001" customHeight="1" x14ac:dyDescent="0.3"/>
    <row r="96" spans="2:21" ht="20.100000000000001" customHeight="1" x14ac:dyDescent="0.3"/>
    <row r="97" spans="2:21" ht="20.100000000000001" customHeight="1" x14ac:dyDescent="0.3"/>
    <row r="98" spans="2:21" ht="20.100000000000001" customHeight="1" x14ac:dyDescent="0.3"/>
    <row r="99" spans="2:21" ht="20.100000000000001" customHeight="1" x14ac:dyDescent="0.3"/>
    <row r="100" spans="2:21" ht="20.100000000000001" customHeight="1" x14ac:dyDescent="0.3"/>
    <row r="101" spans="2:21" ht="20.100000000000001" customHeight="1" x14ac:dyDescent="0.3"/>
    <row r="102" spans="2:21" ht="30" customHeight="1" x14ac:dyDescent="0.3"/>
    <row r="103" spans="2:21" ht="24" customHeight="1" x14ac:dyDescent="0.3">
      <c r="B103" s="2179" t="s">
        <v>1060</v>
      </c>
      <c r="C103" s="2180"/>
      <c r="D103" s="2180"/>
      <c r="E103" s="2180"/>
      <c r="F103" s="2180"/>
      <c r="G103" s="2180"/>
      <c r="H103" s="2180"/>
      <c r="I103" s="2180"/>
      <c r="J103" s="2180"/>
      <c r="K103" s="2180"/>
      <c r="L103" s="2180"/>
      <c r="M103" s="2180"/>
      <c r="N103" s="2180"/>
      <c r="O103" s="2181"/>
      <c r="S103" s="160"/>
    </row>
    <row r="105" spans="2:21" ht="20.100000000000001" customHeight="1" x14ac:dyDescent="0.3">
      <c r="B105" s="2169" t="s">
        <v>800</v>
      </c>
      <c r="C105" s="2169"/>
      <c r="D105" s="2170"/>
      <c r="E105" s="2170"/>
      <c r="F105" s="2166"/>
      <c r="G105" s="2166"/>
      <c r="H105" s="158"/>
      <c r="O105" s="499"/>
      <c r="P105" s="499"/>
      <c r="Q105" s="499"/>
    </row>
    <row r="106" spans="2:21" ht="45" customHeight="1" x14ac:dyDescent="0.3">
      <c r="B106" s="1847" t="s">
        <v>519</v>
      </c>
      <c r="C106" s="2210" t="s">
        <v>439</v>
      </c>
      <c r="D106" s="2211"/>
      <c r="E106" s="2212" t="s">
        <v>520</v>
      </c>
      <c r="F106" s="2213"/>
      <c r="G106" s="1836" t="s">
        <v>521</v>
      </c>
      <c r="H106" s="1861" t="s">
        <v>522</v>
      </c>
      <c r="J106" s="2239" t="s">
        <v>895</v>
      </c>
      <c r="K106" s="2239"/>
      <c r="L106" s="2239"/>
      <c r="M106" s="2239"/>
      <c r="N106" s="2240"/>
      <c r="O106" s="859"/>
    </row>
    <row r="107" spans="2:21" s="168" customFormat="1" ht="20.100000000000001" customHeight="1" x14ac:dyDescent="0.25">
      <c r="B107" s="1838"/>
      <c r="C107" s="2216"/>
      <c r="D107" s="2217"/>
      <c r="E107" s="2218">
        <v>100000</v>
      </c>
      <c r="F107" s="2219"/>
      <c r="G107" s="1839">
        <v>0.5</v>
      </c>
      <c r="H107" s="1862"/>
      <c r="J107" s="2246" t="s">
        <v>897</v>
      </c>
      <c r="K107" s="2246"/>
      <c r="L107" s="2246"/>
      <c r="M107" s="2246"/>
      <c r="N107" s="2247"/>
      <c r="O107" s="888"/>
      <c r="P107" s="150"/>
      <c r="R107" s="150"/>
      <c r="S107" s="150"/>
      <c r="T107" s="150"/>
      <c r="U107" s="150"/>
    </row>
    <row r="108" spans="2:21" s="168" customFormat="1" ht="20.100000000000001" customHeight="1" x14ac:dyDescent="0.25">
      <c r="B108" s="1841"/>
      <c r="C108" s="2208"/>
      <c r="D108" s="2209"/>
      <c r="E108" s="2204"/>
      <c r="F108" s="2205"/>
      <c r="G108" s="1842"/>
      <c r="H108" s="1863"/>
      <c r="P108" s="150"/>
      <c r="R108" s="150"/>
      <c r="S108" s="150"/>
      <c r="T108" s="150"/>
      <c r="U108" s="150"/>
    </row>
    <row r="109" spans="2:21" s="168" customFormat="1" ht="20.100000000000001" customHeight="1" x14ac:dyDescent="0.25">
      <c r="B109" s="1844"/>
      <c r="C109" s="2214"/>
      <c r="D109" s="2215"/>
      <c r="E109" s="2206"/>
      <c r="F109" s="2207"/>
      <c r="G109" s="1845"/>
      <c r="H109" s="1864"/>
      <c r="P109" s="150"/>
      <c r="R109" s="150"/>
      <c r="S109" s="150"/>
      <c r="T109" s="150"/>
      <c r="U109" s="150"/>
    </row>
    <row r="110" spans="2:21" s="168" customFormat="1" ht="3" customHeight="1" x14ac:dyDescent="0.25">
      <c r="B110" s="1739"/>
      <c r="C110" s="1739"/>
      <c r="D110" s="1738"/>
      <c r="E110" s="206"/>
      <c r="F110" s="321"/>
      <c r="G110" s="207"/>
      <c r="H110" s="208"/>
      <c r="P110" s="150"/>
      <c r="R110" s="150"/>
      <c r="S110" s="150"/>
      <c r="T110" s="150"/>
      <c r="U110" s="150"/>
    </row>
    <row r="111" spans="2:21" s="168" customFormat="1" ht="20.100000000000001" customHeight="1" x14ac:dyDescent="0.25">
      <c r="B111" s="55"/>
      <c r="C111" s="2200" t="s">
        <v>205</v>
      </c>
      <c r="D111" s="2201"/>
      <c r="E111" s="2202">
        <f>SUM(E107:F110)</f>
        <v>100000</v>
      </c>
      <c r="F111" s="2203"/>
      <c r="G111" s="1748">
        <f>SUM(G107:G110)</f>
        <v>0.5</v>
      </c>
      <c r="H111" s="1865"/>
      <c r="P111" s="150"/>
      <c r="R111" s="150"/>
      <c r="S111" s="150"/>
      <c r="T111" s="150"/>
      <c r="U111" s="150"/>
    </row>
    <row r="112" spans="2:21" ht="20.100000000000001" customHeight="1" x14ac:dyDescent="0.3"/>
    <row r="113" spans="2:21" ht="45" customHeight="1" x14ac:dyDescent="0.3">
      <c r="B113" s="1847" t="s">
        <v>523</v>
      </c>
      <c r="C113" s="2210" t="s">
        <v>439</v>
      </c>
      <c r="D113" s="2211"/>
      <c r="E113" s="2212" t="s">
        <v>520</v>
      </c>
      <c r="F113" s="2213"/>
      <c r="G113" s="1836" t="s">
        <v>438</v>
      </c>
      <c r="H113" s="1837" t="s">
        <v>522</v>
      </c>
      <c r="J113" s="2239" t="s">
        <v>896</v>
      </c>
      <c r="K113" s="2239"/>
      <c r="L113" s="2239"/>
      <c r="M113" s="2239"/>
      <c r="N113" s="2240"/>
      <c r="O113" s="859"/>
      <c r="P113" s="492"/>
      <c r="Q113" s="492"/>
      <c r="R113" s="492"/>
    </row>
    <row r="114" spans="2:21" s="168" customFormat="1" ht="20.100000000000001" customHeight="1" x14ac:dyDescent="0.25">
      <c r="B114" s="1838"/>
      <c r="C114" s="2216"/>
      <c r="D114" s="2217"/>
      <c r="E114" s="2218"/>
      <c r="F114" s="2219"/>
      <c r="G114" s="1839"/>
      <c r="H114" s="1840"/>
      <c r="J114" s="2246" t="s">
        <v>898</v>
      </c>
      <c r="K114" s="2246"/>
      <c r="L114" s="2246"/>
      <c r="M114" s="2246"/>
      <c r="N114" s="2247"/>
      <c r="O114" s="888"/>
      <c r="P114" s="150"/>
      <c r="R114" s="150"/>
      <c r="S114" s="150"/>
      <c r="T114" s="150"/>
      <c r="U114" s="150"/>
    </row>
    <row r="115" spans="2:21" s="168" customFormat="1" ht="20.100000000000001" customHeight="1" x14ac:dyDescent="0.25">
      <c r="B115" s="1841"/>
      <c r="C115" s="2208"/>
      <c r="D115" s="2209"/>
      <c r="E115" s="2204"/>
      <c r="F115" s="2205"/>
      <c r="G115" s="1842"/>
      <c r="H115" s="1843"/>
      <c r="P115" s="150"/>
      <c r="R115" s="150"/>
      <c r="S115" s="150"/>
      <c r="T115" s="150"/>
      <c r="U115" s="150"/>
    </row>
    <row r="116" spans="2:21" s="168" customFormat="1" ht="20.100000000000001" customHeight="1" x14ac:dyDescent="0.25">
      <c r="B116" s="1844"/>
      <c r="C116" s="2214"/>
      <c r="D116" s="2215"/>
      <c r="E116" s="2206"/>
      <c r="F116" s="2207"/>
      <c r="G116" s="1845"/>
      <c r="H116" s="1846"/>
      <c r="P116" s="150"/>
      <c r="R116" s="150"/>
      <c r="S116" s="150"/>
      <c r="T116" s="150"/>
      <c r="U116" s="150"/>
    </row>
    <row r="117" spans="2:21" s="168" customFormat="1" ht="3" customHeight="1" x14ac:dyDescent="0.25">
      <c r="B117" s="1739"/>
      <c r="C117" s="1739"/>
      <c r="D117" s="1738"/>
      <c r="E117" s="206"/>
      <c r="F117" s="321"/>
      <c r="G117" s="207"/>
      <c r="H117" s="208"/>
      <c r="P117" s="150"/>
      <c r="R117" s="150"/>
      <c r="S117" s="150"/>
      <c r="T117" s="150"/>
      <c r="U117" s="150"/>
    </row>
    <row r="118" spans="2:21" s="168" customFormat="1" ht="20.100000000000001" customHeight="1" x14ac:dyDescent="0.25">
      <c r="B118" s="55"/>
      <c r="C118" s="2200" t="s">
        <v>205</v>
      </c>
      <c r="D118" s="2201"/>
      <c r="E118" s="2202">
        <f>SUM(E114:F117)</f>
        <v>0</v>
      </c>
      <c r="F118" s="2203"/>
      <c r="G118" s="1748">
        <f>SUM(G114:G117)</f>
        <v>0</v>
      </c>
      <c r="H118" s="1747"/>
      <c r="P118" s="150"/>
      <c r="R118" s="150"/>
      <c r="S118" s="150"/>
      <c r="T118" s="150"/>
      <c r="U118" s="150"/>
    </row>
    <row r="119" spans="2:21" s="168" customFormat="1" ht="6" customHeight="1" x14ac:dyDescent="0.25">
      <c r="B119" s="55"/>
      <c r="C119" s="55"/>
      <c r="D119" s="233"/>
      <c r="E119" s="206"/>
      <c r="F119" s="321"/>
      <c r="G119" s="207"/>
      <c r="H119" s="208"/>
      <c r="P119" s="150"/>
      <c r="R119" s="150"/>
      <c r="S119" s="150"/>
      <c r="T119" s="150"/>
      <c r="U119" s="150"/>
    </row>
    <row r="120" spans="2:21" ht="20.100000000000001" customHeight="1" x14ac:dyDescent="0.3"/>
    <row r="122" spans="2:21" s="14" customFormat="1" ht="14.4" x14ac:dyDescent="0.3">
      <c r="B122" s="722" t="s">
        <v>601</v>
      </c>
      <c r="C122" s="682"/>
      <c r="D122" s="682"/>
      <c r="E122" s="682"/>
      <c r="F122" s="682"/>
      <c r="G122" s="682"/>
      <c r="H122" s="682"/>
      <c r="I122" s="682"/>
      <c r="J122" s="682"/>
      <c r="K122" s="682"/>
      <c r="P122" s="15"/>
      <c r="R122" s="15"/>
      <c r="S122" s="15"/>
      <c r="T122" s="15"/>
      <c r="U122" s="15"/>
    </row>
    <row r="123" spans="2:21" s="14" customFormat="1" ht="14.4" x14ac:dyDescent="0.3">
      <c r="B123" s="722" t="s">
        <v>602</v>
      </c>
      <c r="C123" s="682"/>
      <c r="D123" s="682"/>
      <c r="E123" s="682"/>
      <c r="F123" s="682"/>
      <c r="G123" s="682"/>
      <c r="H123" s="682"/>
      <c r="I123" s="682"/>
      <c r="J123" s="682"/>
      <c r="K123" s="682"/>
      <c r="P123" s="15"/>
      <c r="R123" s="15"/>
      <c r="S123" s="15"/>
      <c r="T123" s="15"/>
      <c r="U123" s="15"/>
    </row>
    <row r="124" spans="2:21" s="14" customFormat="1" ht="14.4" x14ac:dyDescent="0.3">
      <c r="B124" s="722" t="s">
        <v>603</v>
      </c>
      <c r="C124" s="682"/>
      <c r="D124" s="682"/>
      <c r="E124" s="682"/>
      <c r="F124" s="682"/>
      <c r="G124" s="682"/>
      <c r="H124" s="682"/>
      <c r="I124" s="682"/>
      <c r="J124" s="682"/>
      <c r="K124" s="682"/>
      <c r="P124" s="15"/>
      <c r="R124" s="15"/>
      <c r="S124" s="15"/>
      <c r="T124" s="15"/>
      <c r="U124" s="15"/>
    </row>
    <row r="125" spans="2:21" s="723" customFormat="1" x14ac:dyDescent="0.3">
      <c r="B125" s="750" t="s">
        <v>972</v>
      </c>
      <c r="C125" s="750" t="s">
        <v>976</v>
      </c>
      <c r="E125" s="749" t="s">
        <v>456</v>
      </c>
      <c r="G125" s="1023" t="s">
        <v>606</v>
      </c>
      <c r="P125" s="720"/>
      <c r="R125" s="720"/>
      <c r="S125" s="720"/>
      <c r="T125" s="720"/>
      <c r="U125" s="720"/>
    </row>
    <row r="126" spans="2:21" s="723" customFormat="1" x14ac:dyDescent="0.3">
      <c r="B126" s="750" t="s">
        <v>951</v>
      </c>
      <c r="C126" s="750" t="s">
        <v>980</v>
      </c>
      <c r="E126" s="749" t="s">
        <v>457</v>
      </c>
      <c r="G126" s="1023" t="s">
        <v>607</v>
      </c>
      <c r="P126" s="720"/>
      <c r="R126" s="720"/>
      <c r="S126" s="720"/>
      <c r="T126" s="720"/>
      <c r="U126" s="720"/>
    </row>
    <row r="127" spans="2:21" s="723" customFormat="1" x14ac:dyDescent="0.3">
      <c r="B127" s="750" t="s">
        <v>952</v>
      </c>
      <c r="C127" s="750" t="s">
        <v>977</v>
      </c>
      <c r="G127" s="1023" t="s">
        <v>608</v>
      </c>
      <c r="P127" s="720"/>
      <c r="R127" s="720"/>
      <c r="S127" s="720"/>
      <c r="T127" s="720"/>
      <c r="U127" s="720"/>
    </row>
    <row r="128" spans="2:21" s="723" customFormat="1" x14ac:dyDescent="0.3">
      <c r="B128" s="749" t="s">
        <v>174</v>
      </c>
      <c r="C128" s="750" t="s">
        <v>865</v>
      </c>
      <c r="G128" s="1024" t="s">
        <v>460</v>
      </c>
      <c r="P128" s="720"/>
      <c r="R128" s="720"/>
      <c r="S128" s="720"/>
      <c r="T128" s="720"/>
      <c r="U128" s="720"/>
    </row>
    <row r="129" spans="2:21" s="723" customFormat="1" x14ac:dyDescent="0.3">
      <c r="B129" s="749" t="s">
        <v>953</v>
      </c>
      <c r="C129" s="723" t="s">
        <v>979</v>
      </c>
      <c r="G129" s="1024" t="s">
        <v>458</v>
      </c>
      <c r="P129" s="720"/>
      <c r="R129" s="720"/>
      <c r="S129" s="720"/>
      <c r="T129" s="720"/>
      <c r="U129" s="720"/>
    </row>
    <row r="130" spans="2:21" s="723" customFormat="1" x14ac:dyDescent="0.3">
      <c r="B130" s="749" t="s">
        <v>956</v>
      </c>
      <c r="C130" s="750" t="s">
        <v>978</v>
      </c>
      <c r="G130" s="1024" t="s">
        <v>459</v>
      </c>
      <c r="P130" s="720"/>
      <c r="R130" s="720"/>
      <c r="S130" s="720"/>
      <c r="T130" s="720"/>
      <c r="U130" s="720"/>
    </row>
    <row r="131" spans="2:21" s="723" customFormat="1" x14ac:dyDescent="0.3">
      <c r="B131" s="749" t="s">
        <v>957</v>
      </c>
      <c r="G131" s="1023" t="s">
        <v>375</v>
      </c>
      <c r="P131" s="720"/>
      <c r="R131" s="720"/>
      <c r="S131" s="720"/>
      <c r="T131" s="720"/>
      <c r="U131" s="720"/>
    </row>
    <row r="132" spans="2:21" s="723" customFormat="1" x14ac:dyDescent="0.3">
      <c r="B132" s="749" t="s">
        <v>973</v>
      </c>
      <c r="G132" s="1023" t="s">
        <v>294</v>
      </c>
      <c r="P132" s="720"/>
      <c r="R132" s="720"/>
      <c r="S132" s="720"/>
      <c r="T132" s="720"/>
      <c r="U132" s="720"/>
    </row>
    <row r="133" spans="2:21" s="682" customFormat="1" x14ac:dyDescent="0.3">
      <c r="B133" s="749" t="s">
        <v>172</v>
      </c>
      <c r="P133" s="681"/>
      <c r="R133" s="681"/>
      <c r="S133" s="681"/>
      <c r="T133" s="681"/>
      <c r="U133" s="681"/>
    </row>
    <row r="134" spans="2:21" s="682" customFormat="1" x14ac:dyDescent="0.3">
      <c r="B134" s="749" t="s">
        <v>954</v>
      </c>
      <c r="P134" s="681"/>
      <c r="R134" s="681"/>
      <c r="S134" s="681"/>
      <c r="T134" s="681"/>
      <c r="U134" s="681"/>
    </row>
    <row r="135" spans="2:21" s="682" customFormat="1" x14ac:dyDescent="0.3">
      <c r="B135" s="749" t="s">
        <v>955</v>
      </c>
      <c r="P135" s="681"/>
      <c r="R135" s="681"/>
      <c r="S135" s="681"/>
      <c r="T135" s="681"/>
      <c r="U135" s="681"/>
    </row>
    <row r="136" spans="2:21" s="682" customFormat="1" x14ac:dyDescent="0.3">
      <c r="B136" s="749" t="s">
        <v>958</v>
      </c>
      <c r="P136" s="681"/>
      <c r="R136" s="681"/>
      <c r="S136" s="681"/>
      <c r="T136" s="681"/>
      <c r="U136" s="681"/>
    </row>
    <row r="137" spans="2:21" s="682" customFormat="1" x14ac:dyDescent="0.3">
      <c r="B137" s="749" t="s">
        <v>959</v>
      </c>
      <c r="P137" s="681"/>
      <c r="R137" s="681"/>
      <c r="S137" s="681"/>
      <c r="T137" s="681"/>
      <c r="U137" s="681"/>
    </row>
    <row r="138" spans="2:21" s="682" customFormat="1" x14ac:dyDescent="0.3">
      <c r="B138" s="749" t="s">
        <v>960</v>
      </c>
      <c r="P138" s="681"/>
      <c r="R138" s="681"/>
      <c r="S138" s="681"/>
      <c r="T138" s="681"/>
      <c r="U138" s="681"/>
    </row>
    <row r="139" spans="2:21" s="682" customFormat="1" x14ac:dyDescent="0.3">
      <c r="B139" s="749" t="s">
        <v>961</v>
      </c>
      <c r="P139" s="681"/>
      <c r="R139" s="681"/>
      <c r="S139" s="681"/>
      <c r="T139" s="681"/>
      <c r="U139" s="681"/>
    </row>
    <row r="140" spans="2:21" s="682" customFormat="1" x14ac:dyDescent="0.3">
      <c r="B140" s="749" t="s">
        <v>962</v>
      </c>
      <c r="P140" s="681"/>
      <c r="R140" s="681"/>
      <c r="S140" s="681"/>
      <c r="T140" s="681"/>
      <c r="U140" s="681"/>
    </row>
    <row r="141" spans="2:21" s="682" customFormat="1" x14ac:dyDescent="0.3">
      <c r="B141" s="747" t="s">
        <v>374</v>
      </c>
      <c r="P141" s="681"/>
      <c r="R141" s="681"/>
      <c r="S141" s="681"/>
      <c r="T141" s="681"/>
      <c r="U141" s="681"/>
    </row>
    <row r="142" spans="2:21" s="682" customFormat="1" x14ac:dyDescent="0.3">
      <c r="B142" s="749" t="s">
        <v>963</v>
      </c>
      <c r="P142" s="681"/>
      <c r="R142" s="681"/>
      <c r="S142" s="681"/>
      <c r="T142" s="681"/>
      <c r="U142" s="681"/>
    </row>
    <row r="143" spans="2:21" s="682" customFormat="1" x14ac:dyDescent="0.3">
      <c r="B143" s="749" t="s">
        <v>964</v>
      </c>
      <c r="P143" s="681"/>
      <c r="R143" s="681"/>
      <c r="S143" s="681"/>
      <c r="T143" s="681"/>
      <c r="U143" s="681"/>
    </row>
    <row r="144" spans="2:21" s="682" customFormat="1" x14ac:dyDescent="0.3">
      <c r="B144" s="749" t="s">
        <v>965</v>
      </c>
      <c r="P144" s="681"/>
      <c r="R144" s="681"/>
      <c r="S144" s="681"/>
      <c r="T144" s="681"/>
      <c r="U144" s="681"/>
    </row>
    <row r="145" spans="2:21" s="682" customFormat="1" x14ac:dyDescent="0.3">
      <c r="B145" s="749" t="s">
        <v>966</v>
      </c>
      <c r="P145" s="681"/>
      <c r="R145" s="681"/>
      <c r="S145" s="681"/>
      <c r="T145" s="681"/>
      <c r="U145" s="681"/>
    </row>
    <row r="146" spans="2:21" s="682" customFormat="1" x14ac:dyDescent="0.3">
      <c r="B146" s="749" t="s">
        <v>967</v>
      </c>
      <c r="P146" s="681"/>
      <c r="R146" s="681"/>
      <c r="S146" s="681"/>
      <c r="T146" s="681"/>
      <c r="U146" s="681"/>
    </row>
    <row r="147" spans="2:21" s="682" customFormat="1" x14ac:dyDescent="0.3">
      <c r="B147" s="749" t="s">
        <v>968</v>
      </c>
      <c r="P147" s="681"/>
      <c r="R147" s="681"/>
      <c r="S147" s="681"/>
      <c r="T147" s="681"/>
      <c r="U147" s="681"/>
    </row>
    <row r="148" spans="2:21" s="682" customFormat="1" x14ac:dyDescent="0.3">
      <c r="B148" s="749" t="s">
        <v>969</v>
      </c>
      <c r="P148" s="681"/>
      <c r="R148" s="681"/>
      <c r="S148" s="681"/>
      <c r="T148" s="681"/>
      <c r="U148" s="681"/>
    </row>
    <row r="149" spans="2:21" s="682" customFormat="1" x14ac:dyDescent="0.3">
      <c r="B149" s="750" t="s">
        <v>970</v>
      </c>
      <c r="P149" s="681"/>
      <c r="R149" s="681"/>
      <c r="S149" s="681"/>
      <c r="T149" s="681"/>
      <c r="U149" s="681"/>
    </row>
    <row r="150" spans="2:21" s="682" customFormat="1" x14ac:dyDescent="0.3">
      <c r="B150" s="747" t="s">
        <v>974</v>
      </c>
      <c r="P150" s="681"/>
      <c r="R150" s="681"/>
      <c r="S150" s="681"/>
      <c r="T150" s="681"/>
      <c r="U150" s="681"/>
    </row>
    <row r="151" spans="2:21" s="682" customFormat="1" x14ac:dyDescent="0.3">
      <c r="B151" s="747" t="s">
        <v>971</v>
      </c>
      <c r="P151" s="681"/>
      <c r="R151" s="681"/>
      <c r="S151" s="681"/>
      <c r="T151" s="681"/>
      <c r="U151" s="681"/>
    </row>
    <row r="152" spans="2:21" s="682" customFormat="1" ht="14.4" x14ac:dyDescent="0.3">
      <c r="B152" s="1025"/>
      <c r="P152" s="681"/>
      <c r="R152" s="681"/>
      <c r="S152" s="681"/>
      <c r="T152" s="681"/>
      <c r="U152" s="681"/>
    </row>
    <row r="153" spans="2:21" s="682" customFormat="1" ht="14.4" x14ac:dyDescent="0.3">
      <c r="B153" s="1025"/>
      <c r="P153" s="681"/>
      <c r="R153" s="681"/>
      <c r="S153" s="681"/>
      <c r="T153" s="681"/>
      <c r="U153" s="681"/>
    </row>
    <row r="154" spans="2:21" s="682" customFormat="1" ht="14.4" x14ac:dyDescent="0.3">
      <c r="B154" s="1025"/>
      <c r="P154" s="681"/>
      <c r="R154" s="681"/>
      <c r="S154" s="681"/>
      <c r="T154" s="681"/>
      <c r="U154" s="681"/>
    </row>
    <row r="155" spans="2:21" s="682" customFormat="1" ht="14.4" x14ac:dyDescent="0.3">
      <c r="B155" s="1025"/>
      <c r="P155" s="681"/>
      <c r="R155" s="681"/>
      <c r="S155" s="681"/>
      <c r="T155" s="681"/>
      <c r="U155" s="681"/>
    </row>
    <row r="156" spans="2:21" s="682" customFormat="1" ht="14.4" x14ac:dyDescent="0.3">
      <c r="B156" s="1025"/>
      <c r="P156" s="681"/>
      <c r="R156" s="681"/>
      <c r="S156" s="681"/>
      <c r="T156" s="681"/>
      <c r="U156" s="681"/>
    </row>
    <row r="157" spans="2:21" s="682" customFormat="1" ht="14.4" x14ac:dyDescent="0.3">
      <c r="B157" s="1025"/>
      <c r="P157" s="681"/>
      <c r="R157" s="681"/>
      <c r="S157" s="681"/>
      <c r="T157" s="681"/>
      <c r="U157" s="681"/>
    </row>
    <row r="158" spans="2:21" s="682" customFormat="1" ht="14.4" x14ac:dyDescent="0.3">
      <c r="B158" s="1025"/>
      <c r="P158" s="681"/>
      <c r="R158" s="681"/>
      <c r="S158" s="681"/>
      <c r="T158" s="681"/>
      <c r="U158" s="681"/>
    </row>
    <row r="159" spans="2:21" s="682" customFormat="1" ht="14.4" x14ac:dyDescent="0.3">
      <c r="B159" s="1025"/>
      <c r="P159" s="681"/>
      <c r="R159" s="681"/>
      <c r="S159" s="681"/>
      <c r="T159" s="681"/>
      <c r="U159" s="681"/>
    </row>
    <row r="160" spans="2:21" s="682" customFormat="1" x14ac:dyDescent="0.3">
      <c r="P160" s="681"/>
      <c r="R160" s="681"/>
      <c r="S160" s="681"/>
      <c r="T160" s="681"/>
      <c r="U160" s="681"/>
    </row>
    <row r="161" spans="2:21" s="682" customFormat="1" x14ac:dyDescent="0.3">
      <c r="P161" s="681"/>
      <c r="R161" s="681"/>
      <c r="S161" s="681"/>
      <c r="T161" s="681"/>
      <c r="U161" s="681"/>
    </row>
    <row r="162" spans="2:21" s="682" customFormat="1" x14ac:dyDescent="0.3">
      <c r="P162" s="681"/>
      <c r="R162" s="681"/>
      <c r="S162" s="681"/>
      <c r="T162" s="681"/>
      <c r="U162" s="681"/>
    </row>
    <row r="163" spans="2:21" s="682" customFormat="1" x14ac:dyDescent="0.3">
      <c r="P163" s="681"/>
      <c r="R163" s="681"/>
      <c r="S163" s="681"/>
      <c r="T163" s="681"/>
      <c r="U163" s="681"/>
    </row>
    <row r="164" spans="2:21" s="682" customFormat="1" x14ac:dyDescent="0.3">
      <c r="P164" s="681"/>
      <c r="R164" s="681"/>
      <c r="S164" s="681"/>
      <c r="T164" s="681"/>
      <c r="U164" s="681"/>
    </row>
    <row r="165" spans="2:21" s="682" customFormat="1" x14ac:dyDescent="0.3">
      <c r="P165" s="681"/>
      <c r="R165" s="681"/>
      <c r="S165" s="681"/>
      <c r="T165" s="681"/>
      <c r="U165" s="681"/>
    </row>
    <row r="166" spans="2:21" x14ac:dyDescent="0.3">
      <c r="B166" s="14"/>
    </row>
    <row r="167" spans="2:21" x14ac:dyDescent="0.3">
      <c r="B167" s="14"/>
    </row>
    <row r="168" spans="2:21" x14ac:dyDescent="0.3">
      <c r="B168" s="14"/>
    </row>
    <row r="169" spans="2:21" x14ac:dyDescent="0.3">
      <c r="B169" s="14"/>
    </row>
    <row r="170" spans="2:21" x14ac:dyDescent="0.3">
      <c r="B170" s="14"/>
    </row>
    <row r="171" spans="2:21" x14ac:dyDescent="0.3">
      <c r="B171" s="14"/>
    </row>
    <row r="172" spans="2:21" x14ac:dyDescent="0.3">
      <c r="B172" s="14"/>
    </row>
    <row r="173" spans="2:21" x14ac:dyDescent="0.3">
      <c r="B173" s="14"/>
    </row>
    <row r="174" spans="2:21" x14ac:dyDescent="0.3">
      <c r="B174" s="14"/>
    </row>
    <row r="175" spans="2:21" x14ac:dyDescent="0.3">
      <c r="B175" s="14"/>
    </row>
    <row r="176" spans="2:21" x14ac:dyDescent="0.3">
      <c r="B176" s="14"/>
    </row>
  </sheetData>
  <sheetProtection formatCells="0" formatColumns="0" formatRows="0" insertColumns="0" insertRows="0" insertHyperlinks="0" deleteColumns="0" deleteRows="0" sort="0" autoFilter="0" pivotTables="0"/>
  <mergeCells count="156">
    <mergeCell ref="J113:N113"/>
    <mergeCell ref="J107:N107"/>
    <mergeCell ref="I94:M94"/>
    <mergeCell ref="B94:F94"/>
    <mergeCell ref="J114:N114"/>
    <mergeCell ref="I16:K16"/>
    <mergeCell ref="I18:K18"/>
    <mergeCell ref="K13:L13"/>
    <mergeCell ref="C16:H16"/>
    <mergeCell ref="L53:N53"/>
    <mergeCell ref="B61:C61"/>
    <mergeCell ref="H54:J54"/>
    <mergeCell ref="H55:J55"/>
    <mergeCell ref="H56:J56"/>
    <mergeCell ref="K61:L61"/>
    <mergeCell ref="F61:G61"/>
    <mergeCell ref="L54:N54"/>
    <mergeCell ref="L55:N55"/>
    <mergeCell ref="L56:N56"/>
    <mergeCell ref="B59:E59"/>
    <mergeCell ref="L20:O20"/>
    <mergeCell ref="H53:J53"/>
    <mergeCell ref="I86:O86"/>
    <mergeCell ref="I87:O87"/>
    <mergeCell ref="B91:G91"/>
    <mergeCell ref="B92:G92"/>
    <mergeCell ref="B87:G87"/>
    <mergeCell ref="J106:N106"/>
    <mergeCell ref="B40:G40"/>
    <mergeCell ref="I34:O34"/>
    <mergeCell ref="I35:O35"/>
    <mergeCell ref="B37:G37"/>
    <mergeCell ref="B38:G38"/>
    <mergeCell ref="B42:E42"/>
    <mergeCell ref="F42:I42"/>
    <mergeCell ref="D55:F55"/>
    <mergeCell ref="B86:G86"/>
    <mergeCell ref="B49:O49"/>
    <mergeCell ref="B65:E65"/>
    <mergeCell ref="I65:M65"/>
    <mergeCell ref="I39:O39"/>
    <mergeCell ref="I40:O40"/>
    <mergeCell ref="B76:D76"/>
    <mergeCell ref="I76:L76"/>
    <mergeCell ref="B85:D85"/>
    <mergeCell ref="I85:M85"/>
    <mergeCell ref="I77:O77"/>
    <mergeCell ref="I78:O78"/>
    <mergeCell ref="I81:O81"/>
    <mergeCell ref="I82:O82"/>
    <mergeCell ref="I83:O83"/>
    <mergeCell ref="B77:G77"/>
    <mergeCell ref="B78:G78"/>
    <mergeCell ref="B79:G79"/>
    <mergeCell ref="B80:G80"/>
    <mergeCell ref="B81:G81"/>
    <mergeCell ref="B82:G82"/>
    <mergeCell ref="B83:G83"/>
    <mergeCell ref="I79:O79"/>
    <mergeCell ref="I80:O80"/>
    <mergeCell ref="B44:I44"/>
    <mergeCell ref="B52:I52"/>
    <mergeCell ref="B58:D58"/>
    <mergeCell ref="I36:O36"/>
    <mergeCell ref="I37:O37"/>
    <mergeCell ref="I38:O38"/>
    <mergeCell ref="B36:G36"/>
    <mergeCell ref="I11:O11"/>
    <mergeCell ref="I10:O10"/>
    <mergeCell ref="B10:G10"/>
    <mergeCell ref="B25:F25"/>
    <mergeCell ref="C18:E18"/>
    <mergeCell ref="B24:F24"/>
    <mergeCell ref="I24:O24"/>
    <mergeCell ref="L16:O16"/>
    <mergeCell ref="B35:G35"/>
    <mergeCell ref="I33:M33"/>
    <mergeCell ref="I13:J13"/>
    <mergeCell ref="C13:D13"/>
    <mergeCell ref="F13:H13"/>
    <mergeCell ref="B26:F26"/>
    <mergeCell ref="B46:O46"/>
    <mergeCell ref="B48:O48"/>
    <mergeCell ref="B39:G39"/>
    <mergeCell ref="B71:G71"/>
    <mergeCell ref="C118:D118"/>
    <mergeCell ref="E118:F118"/>
    <mergeCell ref="E108:F108"/>
    <mergeCell ref="E109:F109"/>
    <mergeCell ref="C108:D108"/>
    <mergeCell ref="E115:F115"/>
    <mergeCell ref="C113:D113"/>
    <mergeCell ref="E113:F113"/>
    <mergeCell ref="C116:D116"/>
    <mergeCell ref="E116:F116"/>
    <mergeCell ref="E111:F111"/>
    <mergeCell ref="C111:D111"/>
    <mergeCell ref="C115:D115"/>
    <mergeCell ref="C114:D114"/>
    <mergeCell ref="E114:F114"/>
    <mergeCell ref="C109:D109"/>
    <mergeCell ref="C107:D107"/>
    <mergeCell ref="E107:F107"/>
    <mergeCell ref="C106:D106"/>
    <mergeCell ref="E106:F106"/>
    <mergeCell ref="B88:G88"/>
    <mergeCell ref="B89:G89"/>
    <mergeCell ref="B90:G90"/>
    <mergeCell ref="B11:G11"/>
    <mergeCell ref="B2:O2"/>
    <mergeCell ref="B74:O74"/>
    <mergeCell ref="B103:O103"/>
    <mergeCell ref="B5:G5"/>
    <mergeCell ref="B6:G6"/>
    <mergeCell ref="B8:G8"/>
    <mergeCell ref="I6:O6"/>
    <mergeCell ref="I5:O5"/>
    <mergeCell ref="I26:M26"/>
    <mergeCell ref="B28:O29"/>
    <mergeCell ref="B31:O31"/>
    <mergeCell ref="B30:H30"/>
    <mergeCell ref="I30:M30"/>
    <mergeCell ref="B47:O47"/>
    <mergeCell ref="B45:O45"/>
    <mergeCell ref="C20:I20"/>
    <mergeCell ref="I25:O25"/>
    <mergeCell ref="I8:O8"/>
    <mergeCell ref="D53:F53"/>
    <mergeCell ref="B50:O50"/>
    <mergeCell ref="B67:G67"/>
    <mergeCell ref="B69:G69"/>
    <mergeCell ref="B70:G70"/>
    <mergeCell ref="N13:O13"/>
    <mergeCell ref="I9:O9"/>
    <mergeCell ref="B34:G34"/>
    <mergeCell ref="B66:G66"/>
    <mergeCell ref="B4:D4"/>
    <mergeCell ref="I4:O4"/>
    <mergeCell ref="B33:G33"/>
    <mergeCell ref="B105:G105"/>
    <mergeCell ref="I88:O88"/>
    <mergeCell ref="I89:O89"/>
    <mergeCell ref="I90:O90"/>
    <mergeCell ref="I91:O91"/>
    <mergeCell ref="I92:O92"/>
    <mergeCell ref="B72:G72"/>
    <mergeCell ref="I66:O66"/>
    <mergeCell ref="I67:O67"/>
    <mergeCell ref="I69:O69"/>
    <mergeCell ref="I70:O70"/>
    <mergeCell ref="I71:O71"/>
    <mergeCell ref="I72:O72"/>
    <mergeCell ref="D54:F54"/>
    <mergeCell ref="D56:F56"/>
    <mergeCell ref="B9:G9"/>
    <mergeCell ref="B63:G63"/>
  </mergeCells>
  <phoneticPr fontId="0" type="noConversion"/>
  <conditionalFormatting sqref="E111:G111">
    <cfRule type="cellIs" dxfId="821" priority="11" stopIfTrue="1" operator="equal">
      <formula>0</formula>
    </cfRule>
  </conditionalFormatting>
  <conditionalFormatting sqref="O106">
    <cfRule type="cellIs" dxfId="820" priority="7" operator="equal">
      <formula>"Oui"</formula>
    </cfRule>
  </conditionalFormatting>
  <conditionalFormatting sqref="O113">
    <cfRule type="cellIs" dxfId="819" priority="6" operator="equal">
      <formula>"Oui"</formula>
    </cfRule>
  </conditionalFormatting>
  <conditionalFormatting sqref="D61">
    <cfRule type="cellIs" dxfId="818" priority="5" operator="equal">
      <formula>"Oui"</formula>
    </cfRule>
  </conditionalFormatting>
  <conditionalFormatting sqref="O107 O114">
    <cfRule type="cellIs" dxfId="817" priority="2" operator="greaterThan">
      <formula>0</formula>
    </cfRule>
  </conditionalFormatting>
  <conditionalFormatting sqref="E118:G118">
    <cfRule type="cellIs" dxfId="816" priority="1" stopIfTrue="1" operator="equal">
      <formula>0</formula>
    </cfRule>
  </conditionalFormatting>
  <dataValidations count="7">
    <dataValidation type="list" allowBlank="1" showInputMessage="1" showErrorMessage="1" sqref="O113 O106 H61 M61 H63 D61" xr:uid="{00000000-0002-0000-0300-000000000000}">
      <formula1>"Non, Oui"</formula1>
    </dataValidation>
    <dataValidation type="list" allowBlank="1" showInputMessage="1" showErrorMessage="1" sqref="L16" xr:uid="{00000000-0002-0000-0300-000001000000}">
      <formula1>$G$125:$G$132</formula1>
    </dataValidation>
    <dataValidation type="list" allowBlank="1" showInputMessage="1" showErrorMessage="1" sqref="C22 L22" xr:uid="{00000000-0002-0000-0300-000002000000}">
      <formula1>"Non,Oui"</formula1>
    </dataValidation>
    <dataValidation type="list" allowBlank="1" showInputMessage="1" showErrorMessage="1" sqref="N13" xr:uid="{00000000-0002-0000-0300-000003000000}">
      <formula1>$E$125:$E$126</formula1>
    </dataValidation>
    <dataValidation type="list" allowBlank="1" showInputMessage="1" showErrorMessage="1" sqref="K13" xr:uid="{00000000-0002-0000-0300-000004000000}">
      <formula1>"Autorisation,Déclaration,Néant"</formula1>
    </dataValidation>
    <dataValidation type="list" allowBlank="1" showInputMessage="1" showErrorMessage="1" sqref="F13" xr:uid="{00000000-0002-0000-0300-000005000000}">
      <formula1>$B$125:$B$151</formula1>
    </dataValidation>
    <dataValidation type="list" allowBlank="1" showInputMessage="1" showErrorMessage="1" sqref="C13" xr:uid="{00000000-0002-0000-0300-000006000000}">
      <formula1>$C$125:$C$130</formula1>
    </dataValidation>
  </dataValidations>
  <hyperlinks>
    <hyperlink ref="B30" r:id="rId1" xr:uid="{00000000-0004-0000-0300-000000000000}"/>
    <hyperlink ref="I30" r:id="rId2" xr:uid="{00000000-0004-0000-0300-000001000000}"/>
  </hyperlinks>
  <printOptions horizontalCentered="1"/>
  <pageMargins left="0" right="0" top="0" bottom="0" header="0" footer="0"/>
  <pageSetup paperSize="9" scale="36"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81" r:id="rId6" name="Button 17">
              <controlPr defaultSize="0" print="0" autoFill="0" autoPict="0" macro="[0]!accueil">
                <anchor moveWithCells="1" sizeWithCells="1">
                  <from>
                    <xdr:col>7</xdr:col>
                    <xdr:colOff>457200</xdr:colOff>
                    <xdr:row>0</xdr:row>
                    <xdr:rowOff>0</xdr:rowOff>
                  </from>
                  <to>
                    <xdr:col>9</xdr:col>
                    <xdr:colOff>0</xdr:colOff>
                    <xdr:row>0</xdr:row>
                    <xdr:rowOff>0</xdr:rowOff>
                  </to>
                </anchor>
              </controlPr>
            </control>
          </mc:Choice>
        </mc:AlternateContent>
        <mc:AlternateContent xmlns:mc="http://schemas.openxmlformats.org/markup-compatibility/2006">
          <mc:Choice Requires="x14">
            <control shapeId="11346" r:id="rId7" name="Check Box 82">
              <controlPr defaultSize="0" autoFill="0" autoLine="0" autoPict="0">
                <anchor moveWithCells="1">
                  <from>
                    <xdr:col>5</xdr:col>
                    <xdr:colOff>144780</xdr:colOff>
                    <xdr:row>41</xdr:row>
                    <xdr:rowOff>38100</xdr:rowOff>
                  </from>
                  <to>
                    <xdr:col>6</xdr:col>
                    <xdr:colOff>289560</xdr:colOff>
                    <xdr:row>41</xdr:row>
                    <xdr:rowOff>259080</xdr:rowOff>
                  </to>
                </anchor>
              </controlPr>
            </control>
          </mc:Choice>
        </mc:AlternateContent>
        <mc:AlternateContent xmlns:mc="http://schemas.openxmlformats.org/markup-compatibility/2006">
          <mc:Choice Requires="x14">
            <control shapeId="11347" r:id="rId8" name="Check Box 83">
              <controlPr defaultSize="0" autoFill="0" autoLine="0" autoPict="0">
                <anchor moveWithCells="1">
                  <from>
                    <xdr:col>6</xdr:col>
                    <xdr:colOff>198120</xdr:colOff>
                    <xdr:row>41</xdr:row>
                    <xdr:rowOff>38100</xdr:rowOff>
                  </from>
                  <to>
                    <xdr:col>7</xdr:col>
                    <xdr:colOff>480060</xdr:colOff>
                    <xdr:row>41</xdr:row>
                    <xdr:rowOff>259080</xdr:rowOff>
                  </to>
                </anchor>
              </controlPr>
            </control>
          </mc:Choice>
        </mc:AlternateContent>
        <mc:AlternateContent xmlns:mc="http://schemas.openxmlformats.org/markup-compatibility/2006">
          <mc:Choice Requires="x14">
            <control shapeId="11348" r:id="rId9" name="Check Box 84">
              <controlPr defaultSize="0" autoFill="0" autoLine="0" autoPict="0">
                <anchor moveWithCells="1">
                  <from>
                    <xdr:col>7</xdr:col>
                    <xdr:colOff>601980</xdr:colOff>
                    <xdr:row>41</xdr:row>
                    <xdr:rowOff>38100</xdr:rowOff>
                  </from>
                  <to>
                    <xdr:col>9</xdr:col>
                    <xdr:colOff>60960</xdr:colOff>
                    <xdr:row>41</xdr:row>
                    <xdr:rowOff>259080</xdr:rowOff>
                  </to>
                </anchor>
              </controlPr>
            </control>
          </mc:Choice>
        </mc:AlternateContent>
        <mc:AlternateContent xmlns:mc="http://schemas.openxmlformats.org/markup-compatibility/2006">
          <mc:Choice Requires="x14">
            <control shapeId="11349" r:id="rId10" name="Check Box 85">
              <controlPr defaultSize="0" autoFill="0" autoLine="0" autoPict="0">
                <anchor moveWithCells="1">
                  <from>
                    <xdr:col>9</xdr:col>
                    <xdr:colOff>160020</xdr:colOff>
                    <xdr:row>41</xdr:row>
                    <xdr:rowOff>38100</xdr:rowOff>
                  </from>
                  <to>
                    <xdr:col>10</xdr:col>
                    <xdr:colOff>495300</xdr:colOff>
                    <xdr:row>41</xdr:row>
                    <xdr:rowOff>259080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indexed="21"/>
    <pageSetUpPr fitToPage="1"/>
  </sheetPr>
  <dimension ref="B1:X79"/>
  <sheetViews>
    <sheetView showGridLines="0" showRowColHeaders="0" zoomScaleNormal="100" workbookViewId="0">
      <pane ySplit="3" topLeftCell="A4" activePane="bottomLeft" state="frozenSplit"/>
      <selection pane="bottomLeft" activeCell="C8" sqref="C8"/>
    </sheetView>
  </sheetViews>
  <sheetFormatPr baseColWidth="10" defaultColWidth="10.77734375" defaultRowHeight="13.8" x14ac:dyDescent="0.3"/>
  <cols>
    <col min="1" max="1" width="1.77734375" style="45" customWidth="1"/>
    <col min="2" max="2" width="14.77734375" style="45" customWidth="1"/>
    <col min="3" max="3" width="13.77734375" style="45" customWidth="1"/>
    <col min="4" max="4" width="1" style="45" customWidth="1"/>
    <col min="5" max="6" width="13.77734375" style="45" customWidth="1"/>
    <col min="7" max="7" width="1" style="45" customWidth="1"/>
    <col min="8" max="16" width="13.77734375" style="45" customWidth="1"/>
    <col min="17" max="17" width="23.6640625" style="45" customWidth="1"/>
    <col min="18" max="16384" width="10.77734375" style="45"/>
  </cols>
  <sheetData>
    <row r="1" spans="2:17" ht="6" customHeight="1" x14ac:dyDescent="0.3"/>
    <row r="2" spans="2:17" s="522" customFormat="1" ht="21.9" customHeight="1" x14ac:dyDescent="0.3">
      <c r="B2" s="2274" t="str">
        <f>IF(ISBLANK(dossier)," ",dossier)</f>
        <v xml:space="preserve"> </v>
      </c>
      <c r="C2" s="2147"/>
      <c r="D2" s="2147"/>
      <c r="E2" s="2147"/>
      <c r="F2" s="2275"/>
      <c r="G2" s="2041"/>
      <c r="H2" s="2273" t="s">
        <v>872</v>
      </c>
      <c r="I2" s="2149"/>
      <c r="J2" s="2149"/>
      <c r="K2" s="2149"/>
      <c r="L2" s="2149"/>
      <c r="M2" s="2149"/>
      <c r="N2" s="2149"/>
      <c r="O2" s="2149"/>
      <c r="P2" s="2150"/>
      <c r="Q2" s="1087"/>
    </row>
    <row r="3" spans="2:17" ht="20.100000000000001" customHeight="1" x14ac:dyDescent="0.3">
      <c r="B3" s="2298" t="s">
        <v>211</v>
      </c>
      <c r="C3" s="2298"/>
      <c r="D3" s="2040"/>
    </row>
    <row r="4" spans="2:17" s="67" customFormat="1" ht="24.9" customHeight="1" x14ac:dyDescent="0.25">
      <c r="B4" s="857" t="s">
        <v>871</v>
      </c>
      <c r="C4" s="856"/>
      <c r="D4" s="2039"/>
      <c r="E4" s="856"/>
      <c r="F4" s="858"/>
      <c r="G4" s="2042"/>
      <c r="H4" s="795"/>
      <c r="I4" s="795"/>
      <c r="J4" s="795"/>
    </row>
    <row r="5" spans="2:17" s="427" customFormat="1" ht="21.9" customHeight="1" x14ac:dyDescent="0.3">
      <c r="B5" s="2280" t="s">
        <v>1039</v>
      </c>
      <c r="C5" s="2281"/>
      <c r="D5" s="2047"/>
      <c r="E5" s="2280" t="s">
        <v>1037</v>
      </c>
      <c r="F5" s="2281"/>
      <c r="G5" s="2047"/>
      <c r="H5" s="2280" t="s">
        <v>1038</v>
      </c>
      <c r="I5" s="2281"/>
      <c r="J5" s="1063"/>
      <c r="K5" s="1076"/>
      <c r="L5" s="1076"/>
    </row>
    <row r="6" spans="2:17" ht="3" customHeight="1" x14ac:dyDescent="0.3">
      <c r="D6" s="46"/>
      <c r="G6" s="46"/>
    </row>
    <row r="7" spans="2:17" s="46" customFormat="1" ht="20.100000000000001" customHeight="1" x14ac:dyDescent="0.3">
      <c r="B7" s="1069" t="s">
        <v>84</v>
      </c>
      <c r="C7" s="1070" t="s">
        <v>85</v>
      </c>
      <c r="D7" s="2048"/>
      <c r="E7" s="1069" t="s">
        <v>84</v>
      </c>
      <c r="F7" s="1070" t="s">
        <v>85</v>
      </c>
      <c r="G7" s="2048"/>
      <c r="H7" s="1069" t="s">
        <v>84</v>
      </c>
      <c r="I7" s="1070" t="s">
        <v>85</v>
      </c>
      <c r="J7" s="1066"/>
    </row>
    <row r="8" spans="2:17" s="46" customFormat="1" ht="24.9" customHeight="1" x14ac:dyDescent="0.3">
      <c r="B8" s="1067"/>
      <c r="C8" s="1068"/>
      <c r="D8" s="2049"/>
      <c r="E8" s="1067"/>
      <c r="F8" s="1068"/>
      <c r="G8" s="2049"/>
      <c r="H8" s="1067"/>
      <c r="I8" s="1068"/>
    </row>
    <row r="9" spans="2:17" s="1077" customFormat="1" ht="3" customHeight="1" x14ac:dyDescent="0.3">
      <c r="B9" s="1078"/>
      <c r="C9" s="1071">
        <f>C8/1000</f>
        <v>0</v>
      </c>
      <c r="D9" s="1071"/>
      <c r="E9" s="1079"/>
      <c r="F9" s="1071">
        <f>F8/1000</f>
        <v>0</v>
      </c>
      <c r="G9" s="1071"/>
      <c r="H9" s="1079"/>
      <c r="I9" s="1071">
        <f>I8/1000</f>
        <v>0</v>
      </c>
      <c r="J9" s="1080"/>
    </row>
    <row r="10" spans="2:17" s="46" customFormat="1" ht="20.100000000000001" customHeight="1" x14ac:dyDescent="0.3">
      <c r="F10" s="1095" t="str">
        <f>IF(ISERROR(IF(ISBLANK(ca_2)," ",(ca_2/ca_1)-1))," ",IF(ISBLANK(ca_2)," ",(ca_2/ca_1)-1))</f>
        <v xml:space="preserve"> </v>
      </c>
      <c r="I10" s="1095" t="str">
        <f>IF(ISERROR(IF(ISBLANK(ca_3)," ",(ca_3/ca_2)-1))," ",IF(ISBLANK(ca_3)," ",(ca_3/ca_2)-1))</f>
        <v xml:space="preserve"> </v>
      </c>
    </row>
    <row r="11" spans="2:17" s="46" customFormat="1" ht="3" customHeight="1" x14ac:dyDescent="0.3">
      <c r="B11" s="143"/>
      <c r="C11" s="144"/>
      <c r="D11" s="144"/>
      <c r="E11" s="143"/>
      <c r="F11" s="144"/>
      <c r="G11" s="144"/>
      <c r="H11" s="143"/>
      <c r="I11" s="144"/>
      <c r="J11" s="141"/>
      <c r="K11" s="142"/>
      <c r="L11" s="142"/>
    </row>
    <row r="12" spans="2:17" s="1081" customFormat="1" ht="24.9" customHeight="1" x14ac:dyDescent="0.25">
      <c r="B12" s="2272" t="str">
        <f>IF(AND(ca_1&gt;0,durée_1=0),"Durée du 1° exercice ? 
Donnée indispensable !"," ")</f>
        <v xml:space="preserve"> </v>
      </c>
      <c r="C12" s="2272"/>
      <c r="D12" s="2050"/>
      <c r="E12" s="2272" t="str">
        <f>IF(AND(ca_2&gt;0,durée_2=0),"Durée du 2° exercice ? 
Donnée indispensable !"," ")</f>
        <v xml:space="preserve"> </v>
      </c>
      <c r="F12" s="2272"/>
      <c r="G12" s="2050"/>
      <c r="H12" s="2272" t="str">
        <f>IF(AND(ca_3&gt;0,durée_3=0),"Durée du 3°exercice ? 
Donnée indispensable !"," ")</f>
        <v xml:space="preserve"> </v>
      </c>
      <c r="I12" s="2272"/>
      <c r="J12" s="1082"/>
      <c r="K12" s="1083"/>
      <c r="L12" s="1083"/>
    </row>
    <row r="13" spans="2:17" s="46" customFormat="1" ht="3" customHeight="1" x14ac:dyDescent="0.3">
      <c r="B13" s="143"/>
      <c r="C13" s="144"/>
      <c r="D13" s="144"/>
      <c r="E13" s="143"/>
      <c r="F13" s="144"/>
      <c r="G13" s="144"/>
      <c r="H13" s="143"/>
      <c r="I13" s="144"/>
      <c r="J13" s="141"/>
      <c r="K13" s="142"/>
      <c r="L13" s="142"/>
    </row>
    <row r="14" spans="2:17" s="46" customFormat="1" ht="30" customHeight="1" x14ac:dyDescent="0.3">
      <c r="B14" s="1096" t="s">
        <v>805</v>
      </c>
      <c r="C14" s="1097"/>
      <c r="D14" s="2051"/>
      <c r="E14" s="1096" t="s">
        <v>805</v>
      </c>
      <c r="F14" s="1097"/>
      <c r="G14" s="2051"/>
      <c r="H14" s="1096" t="s">
        <v>805</v>
      </c>
      <c r="I14" s="1097"/>
      <c r="J14" s="141"/>
    </row>
    <row r="15" spans="2:17" ht="3" customHeight="1" x14ac:dyDescent="0.3">
      <c r="P15" s="46"/>
    </row>
    <row r="16" spans="2:17" ht="20.100000000000001" customHeight="1" x14ac:dyDescent="0.3">
      <c r="B16" s="1064">
        <f>IF(AND(ISBLANK(durée_1),ca_1&gt;0),1,0)</f>
        <v>0</v>
      </c>
      <c r="E16" s="1064">
        <f>IF(AND(ISBLANK(durée_2),ca_2&gt;0),1,0)</f>
        <v>0</v>
      </c>
      <c r="F16" s="1095" t="str">
        <f>IF(ISBLANK(F14)," ",(F14/C14)-1)</f>
        <v xml:space="preserve"> </v>
      </c>
      <c r="H16" s="1064">
        <f>IF(AND(ISBLANK(durée_3),ca_3&gt;0),1,0)</f>
        <v>0</v>
      </c>
      <c r="I16" s="1095" t="str">
        <f>IF(ISBLANK(I14)," ",(I14/F14)-1)</f>
        <v xml:space="preserve"> </v>
      </c>
      <c r="P16" s="46"/>
    </row>
    <row r="17" spans="2:24" ht="20.100000000000001" customHeight="1" x14ac:dyDescent="0.3">
      <c r="F17" s="1065"/>
      <c r="I17" s="1065"/>
      <c r="N17" s="2286"/>
      <c r="O17" s="2287"/>
      <c r="P17" s="1026" t="str">
        <f>IF(AND(ISBLANK(départ),P32&lt;&gt;0),1," ")</f>
        <v xml:space="preserve"> </v>
      </c>
    </row>
    <row r="18" spans="2:24" ht="20.100000000000001" customHeight="1" x14ac:dyDescent="0.3">
      <c r="B18" s="1062" t="s">
        <v>1029</v>
      </c>
      <c r="C18" s="857"/>
      <c r="D18" s="857"/>
      <c r="E18" s="857"/>
      <c r="F18" s="857"/>
      <c r="G18" s="857"/>
      <c r="H18" s="857"/>
      <c r="I18" s="857"/>
      <c r="J18" s="499"/>
      <c r="L18" s="2284" t="str">
        <f>IF(départ=0,"1er mois de l'exercice ?","1er mois de l'exercice :")</f>
        <v>1er mois de l'exercice ?</v>
      </c>
      <c r="M18" s="2285"/>
      <c r="N18" s="1084"/>
      <c r="P18" s="1728" t="s">
        <v>215</v>
      </c>
    </row>
    <row r="19" spans="2:24" ht="3" customHeight="1" x14ac:dyDescent="0.3">
      <c r="B19" s="860">
        <v>42400</v>
      </c>
      <c r="C19" s="860">
        <v>40237</v>
      </c>
      <c r="D19" s="860">
        <v>40268</v>
      </c>
      <c r="E19" s="860">
        <v>40298</v>
      </c>
      <c r="F19" s="860">
        <v>40329</v>
      </c>
      <c r="G19" s="860">
        <v>40359</v>
      </c>
      <c r="H19" s="860">
        <v>40390</v>
      </c>
      <c r="I19" s="860">
        <v>40421</v>
      </c>
      <c r="J19" s="860">
        <v>40451</v>
      </c>
      <c r="K19" s="860">
        <v>40482</v>
      </c>
      <c r="L19" s="860">
        <v>40512</v>
      </c>
      <c r="M19" s="860">
        <v>40543</v>
      </c>
      <c r="O19" s="861"/>
    </row>
    <row r="20" spans="2:24" s="797" customFormat="1" ht="3" customHeight="1" x14ac:dyDescent="0.25">
      <c r="B20" s="862"/>
      <c r="C20" s="2300">
        <f>IF(1&gt;durée_1,0,IF(ISBLANK(départ),0,1))</f>
        <v>0</v>
      </c>
      <c r="D20" s="2300"/>
      <c r="E20" s="862">
        <f>IF(C20=0,0,IF((C20+1)&gt;durée_1,0,C20+1))</f>
        <v>0</v>
      </c>
      <c r="F20" s="2300">
        <f t="shared" ref="F20:P20" si="0">IF(E20=0,0,IF((E20+1)&gt;durée_1,0,E20+1))</f>
        <v>0</v>
      </c>
      <c r="G20" s="2300"/>
      <c r="H20" s="862">
        <f>IF(F20=0,0,IF((F20+1)&gt;durée_1,0,F20+1))</f>
        <v>0</v>
      </c>
      <c r="I20" s="862">
        <f t="shared" si="0"/>
        <v>0</v>
      </c>
      <c r="J20" s="862">
        <f t="shared" si="0"/>
        <v>0</v>
      </c>
      <c r="K20" s="862">
        <f t="shared" si="0"/>
        <v>0</v>
      </c>
      <c r="L20" s="862">
        <f t="shared" si="0"/>
        <v>0</v>
      </c>
      <c r="M20" s="862">
        <f t="shared" si="0"/>
        <v>0</v>
      </c>
      <c r="N20" s="862">
        <f t="shared" si="0"/>
        <v>0</v>
      </c>
      <c r="O20" s="862">
        <f t="shared" si="0"/>
        <v>0</v>
      </c>
      <c r="P20" s="862">
        <f t="shared" si="0"/>
        <v>0</v>
      </c>
    </row>
    <row r="21" spans="2:24" s="797" customFormat="1" ht="3" customHeight="1" x14ac:dyDescent="0.25">
      <c r="B21" s="862"/>
      <c r="C21" s="2062">
        <f>C24</f>
        <v>0</v>
      </c>
      <c r="D21" s="2062"/>
      <c r="E21" s="1071">
        <f>C21+E24</f>
        <v>0</v>
      </c>
      <c r="F21" s="2062">
        <f t="shared" ref="F21:P21" si="1">E21+F24</f>
        <v>0</v>
      </c>
      <c r="G21" s="2062"/>
      <c r="H21" s="1071">
        <f>F21+H24</f>
        <v>0</v>
      </c>
      <c r="I21" s="1071">
        <f t="shared" si="1"/>
        <v>0</v>
      </c>
      <c r="J21" s="1071">
        <f t="shared" si="1"/>
        <v>0</v>
      </c>
      <c r="K21" s="1071">
        <f t="shared" si="1"/>
        <v>0</v>
      </c>
      <c r="L21" s="1071">
        <f t="shared" si="1"/>
        <v>0</v>
      </c>
      <c r="M21" s="1071">
        <f t="shared" si="1"/>
        <v>0</v>
      </c>
      <c r="N21" s="1071">
        <f t="shared" si="1"/>
        <v>0</v>
      </c>
      <c r="O21" s="1071">
        <f t="shared" si="1"/>
        <v>0</v>
      </c>
      <c r="P21" s="1071">
        <f t="shared" si="1"/>
        <v>0</v>
      </c>
    </row>
    <row r="22" spans="2:24" ht="15" customHeight="1" x14ac:dyDescent="0.3">
      <c r="B22" s="2282" t="s">
        <v>1043</v>
      </c>
      <c r="C22" s="2290" t="s">
        <v>1005</v>
      </c>
      <c r="D22" s="2290"/>
      <c r="E22" s="2055" t="s">
        <v>1006</v>
      </c>
      <c r="F22" s="2290" t="s">
        <v>1007</v>
      </c>
      <c r="G22" s="2290"/>
      <c r="H22" s="2055" t="s">
        <v>1008</v>
      </c>
      <c r="I22" s="2055" t="s">
        <v>1016</v>
      </c>
      <c r="J22" s="2055" t="s">
        <v>1014</v>
      </c>
      <c r="K22" s="2055" t="s">
        <v>1015</v>
      </c>
      <c r="L22" s="2055" t="s">
        <v>1013</v>
      </c>
      <c r="M22" s="2055" t="s">
        <v>1012</v>
      </c>
      <c r="N22" s="2055" t="s">
        <v>1011</v>
      </c>
      <c r="O22" s="2055" t="s">
        <v>1010</v>
      </c>
      <c r="P22" s="1085" t="s">
        <v>1009</v>
      </c>
      <c r="X22" s="48"/>
    </row>
    <row r="23" spans="2:24" ht="15" customHeight="1" x14ac:dyDescent="0.3">
      <c r="B23" s="2283"/>
      <c r="C23" s="2291" t="str">
        <f>IF(C20=0," ",IF(ISBLANK(durée_1)," ",départ))</f>
        <v xml:space="preserve"> </v>
      </c>
      <c r="D23" s="2291"/>
      <c r="E23" s="2056" t="str">
        <f>IF(E20=0," ",IF(E20&gt;durée_1," ",EOMONTH(C23,1)))</f>
        <v xml:space="preserve"> </v>
      </c>
      <c r="F23" s="2291" t="str">
        <f t="shared" ref="F23:P23" si="2">IF(F20=0," ",IF(F20&gt;durée_1," ",EOMONTH(E23,1)))</f>
        <v xml:space="preserve"> </v>
      </c>
      <c r="G23" s="2291"/>
      <c r="H23" s="2056" t="str">
        <f>IF(H20=0," ",IF(H20&gt;durée_1," ",EOMONTH(F23,1)))</f>
        <v xml:space="preserve"> </v>
      </c>
      <c r="I23" s="2056" t="str">
        <f t="shared" si="2"/>
        <v xml:space="preserve"> </v>
      </c>
      <c r="J23" s="2056" t="str">
        <f t="shared" si="2"/>
        <v xml:space="preserve"> </v>
      </c>
      <c r="K23" s="2056" t="str">
        <f t="shared" si="2"/>
        <v xml:space="preserve"> </v>
      </c>
      <c r="L23" s="2056" t="str">
        <f t="shared" si="2"/>
        <v xml:space="preserve"> </v>
      </c>
      <c r="M23" s="2056" t="str">
        <f t="shared" si="2"/>
        <v xml:space="preserve"> </v>
      </c>
      <c r="N23" s="2056" t="str">
        <f t="shared" si="2"/>
        <v xml:space="preserve"> </v>
      </c>
      <c r="O23" s="2056" t="str">
        <f t="shared" si="2"/>
        <v xml:space="preserve"> </v>
      </c>
      <c r="P23" s="1755" t="str">
        <f t="shared" si="2"/>
        <v xml:space="preserve"> </v>
      </c>
      <c r="X23" s="48"/>
    </row>
    <row r="24" spans="2:24" s="47" customFormat="1" ht="21.9" customHeight="1" x14ac:dyDescent="0.25">
      <c r="B24" s="1750" t="s">
        <v>806</v>
      </c>
      <c r="C24" s="2294"/>
      <c r="D24" s="2294"/>
      <c r="E24" s="2057"/>
      <c r="F24" s="2294"/>
      <c r="G24" s="2294"/>
      <c r="H24" s="2057"/>
      <c r="I24" s="2057"/>
      <c r="J24" s="2057"/>
      <c r="K24" s="2057"/>
      <c r="L24" s="2057"/>
      <c r="M24" s="2057"/>
      <c r="N24" s="2057"/>
      <c r="O24" s="2057"/>
      <c r="P24" s="1751"/>
      <c r="X24" s="59"/>
    </row>
    <row r="25" spans="2:24" s="64" customFormat="1" ht="21.9" customHeight="1" x14ac:dyDescent="0.25">
      <c r="B25" s="1752" t="s">
        <v>810</v>
      </c>
      <c r="C25" s="2293"/>
      <c r="D25" s="2293"/>
      <c r="E25" s="2058"/>
      <c r="F25" s="2293"/>
      <c r="G25" s="2293"/>
      <c r="H25" s="2058"/>
      <c r="I25" s="2058"/>
      <c r="J25" s="2058"/>
      <c r="K25" s="2058"/>
      <c r="L25" s="2058"/>
      <c r="M25" s="2058"/>
      <c r="N25" s="2058"/>
      <c r="O25" s="2058"/>
      <c r="P25" s="1753"/>
    </row>
    <row r="26" spans="2:24" s="63" customFormat="1" ht="20.100000000000001" customHeight="1" x14ac:dyDescent="0.25">
      <c r="B26" s="1072" t="s">
        <v>811</v>
      </c>
      <c r="C26" s="2292" t="str">
        <f>IF(ISERROR(IF(ISBLANK(C24)," ",C24/$P$32))," ",IF(ISBLANK(C24)," ",C24/$P$32))</f>
        <v xml:space="preserve"> </v>
      </c>
      <c r="D26" s="2292"/>
      <c r="E26" s="2059" t="str">
        <f>IF(ISERROR(IF(ISBLANK(E24)," ",E24/$P$32))," ",IF(ISBLANK(E24)," ",E24/$P$32))</f>
        <v xml:space="preserve"> </v>
      </c>
      <c r="F26" s="2292" t="str">
        <f>IF(ISERROR(IF(ISBLANK(F24)," ",F24/$P$32))," ",IF(ISBLANK(F24)," ",F24/$P$32))</f>
        <v xml:space="preserve"> </v>
      </c>
      <c r="G26" s="2292"/>
      <c r="H26" s="2059" t="str">
        <f t="shared" ref="H26:P26" si="3">IF(ISERROR(IF(ISBLANK(H24)," ",H24/$P$32))," ",IF(ISBLANK(H24)," ",H24/$P$32))</f>
        <v xml:space="preserve"> </v>
      </c>
      <c r="I26" s="2059" t="str">
        <f t="shared" si="3"/>
        <v xml:space="preserve"> </v>
      </c>
      <c r="J26" s="2059" t="str">
        <f t="shared" si="3"/>
        <v xml:space="preserve"> </v>
      </c>
      <c r="K26" s="2059" t="str">
        <f t="shared" si="3"/>
        <v xml:space="preserve"> </v>
      </c>
      <c r="L26" s="2059" t="str">
        <f t="shared" si="3"/>
        <v xml:space="preserve"> </v>
      </c>
      <c r="M26" s="2059" t="str">
        <f t="shared" si="3"/>
        <v xml:space="preserve"> </v>
      </c>
      <c r="N26" s="2059" t="str">
        <f t="shared" si="3"/>
        <v xml:space="preserve"> </v>
      </c>
      <c r="O26" s="2059" t="str">
        <f t="shared" si="3"/>
        <v xml:space="preserve"> </v>
      </c>
      <c r="P26" s="1074" t="str">
        <f t="shared" si="3"/>
        <v xml:space="preserve"> </v>
      </c>
    </row>
    <row r="27" spans="2:24" s="63" customFormat="1" ht="20.100000000000001" customHeight="1" x14ac:dyDescent="0.25">
      <c r="B27" s="2052" t="s">
        <v>809</v>
      </c>
      <c r="C27" s="2296" t="str">
        <f>C26</f>
        <v xml:space="preserve"> </v>
      </c>
      <c r="D27" s="2296"/>
      <c r="E27" s="2060" t="str">
        <f>IF(ISERROR(IF(ISBLANK(E24)," ",C27+E26))," ",IF(ISBLANK(E24)," ",C27+E26))</f>
        <v xml:space="preserve"> </v>
      </c>
      <c r="F27" s="2296" t="str">
        <f t="shared" ref="F27:P27" si="4">IF(ISERROR(IF(ISBLANK(F24)," ",E27+F26))," ",IF(ISBLANK(F24)," ",E27+F26))</f>
        <v xml:space="preserve"> </v>
      </c>
      <c r="G27" s="2296"/>
      <c r="H27" s="2060" t="str">
        <f>IF(ISERROR(IF(ISBLANK(H24)," ",F27+H26))," ",IF(ISBLANK(H24)," ",F27+H26))</f>
        <v xml:space="preserve"> </v>
      </c>
      <c r="I27" s="2060" t="str">
        <f t="shared" si="4"/>
        <v xml:space="preserve"> </v>
      </c>
      <c r="J27" s="2060" t="str">
        <f t="shared" si="4"/>
        <v xml:space="preserve"> </v>
      </c>
      <c r="K27" s="2060" t="str">
        <f t="shared" si="4"/>
        <v xml:space="preserve"> </v>
      </c>
      <c r="L27" s="2060" t="str">
        <f t="shared" si="4"/>
        <v xml:space="preserve"> </v>
      </c>
      <c r="M27" s="2060" t="str">
        <f t="shared" si="4"/>
        <v xml:space="preserve"> </v>
      </c>
      <c r="N27" s="2060" t="str">
        <f t="shared" si="4"/>
        <v xml:space="preserve"> </v>
      </c>
      <c r="O27" s="2060" t="str">
        <f t="shared" si="4"/>
        <v xml:space="preserve"> </v>
      </c>
      <c r="P27" s="2053" t="str">
        <f t="shared" si="4"/>
        <v xml:space="preserve"> </v>
      </c>
    </row>
    <row r="28" spans="2:24" s="64" customFormat="1" ht="20.100000000000001" customHeight="1" x14ac:dyDescent="0.25">
      <c r="B28" s="1073" t="s">
        <v>807</v>
      </c>
      <c r="C28" s="2295" t="str">
        <f>IF(ISERROR(IF(ISBLANK(C24)," ",C24/AVERAGE($C$24:$P$24,$C$32:$O$32)))," ",IF(ISBLANK(C24)," ",C24/AVERAGE($C$24:$P$24,$C$32:$O$32)))</f>
        <v xml:space="preserve"> </v>
      </c>
      <c r="D28" s="2295"/>
      <c r="E28" s="2061" t="str">
        <f>IF(ISERROR(IF(ISBLANK(E24)," ",E24/AVERAGE($C$24:$P$24,$C$32:$O$32)))," ",IF(ISBLANK(E24)," ",E24/AVERAGE($C$24:$P$24,$C$32:$O$32)))</f>
        <v xml:space="preserve"> </v>
      </c>
      <c r="F28" s="2295" t="str">
        <f>IF(ISERROR(IF(ISBLANK(F24)," ",F24/AVERAGE($C$24:$P$24,$C$32:$O$32)))," ",IF(ISBLANK(F24)," ",F24/AVERAGE($C$24:$P$24,$C$32:$O$32)))</f>
        <v xml:space="preserve"> </v>
      </c>
      <c r="G28" s="2295"/>
      <c r="H28" s="2061" t="str">
        <f t="shared" ref="H28:P28" si="5">IF(ISERROR(IF(ISBLANK(H24)," ",H24/AVERAGE($C$24:$P$24,$C$32:$O$32)))," ",IF(ISBLANK(H24)," ",H24/AVERAGE($C$24:$P$24,$C$32:$O$32)))</f>
        <v xml:space="preserve"> </v>
      </c>
      <c r="I28" s="2061" t="str">
        <f t="shared" si="5"/>
        <v xml:space="preserve"> </v>
      </c>
      <c r="J28" s="2061" t="str">
        <f t="shared" si="5"/>
        <v xml:space="preserve"> </v>
      </c>
      <c r="K28" s="2061" t="str">
        <f t="shared" si="5"/>
        <v xml:space="preserve"> </v>
      </c>
      <c r="L28" s="2061" t="str">
        <f t="shared" si="5"/>
        <v xml:space="preserve"> </v>
      </c>
      <c r="M28" s="2061" t="str">
        <f t="shared" si="5"/>
        <v xml:space="preserve"> </v>
      </c>
      <c r="N28" s="2061" t="str">
        <f t="shared" si="5"/>
        <v xml:space="preserve"> </v>
      </c>
      <c r="O28" s="2061" t="str">
        <f t="shared" si="5"/>
        <v xml:space="preserve"> </v>
      </c>
      <c r="P28" s="1075" t="str">
        <f t="shared" si="5"/>
        <v xml:space="preserve"> </v>
      </c>
    </row>
    <row r="29" spans="2:24" s="796" customFormat="1" ht="3" customHeight="1" x14ac:dyDescent="0.3">
      <c r="C29" s="862">
        <f>IF(P20=0,0,IF((P20+1)&gt;durée_1,0,P20+1))</f>
        <v>0</v>
      </c>
      <c r="D29" s="862"/>
      <c r="E29" s="862">
        <f>IF(C29=0,0,IF((C29+1)&gt;durée_1,0,C29+1))</f>
        <v>0</v>
      </c>
      <c r="F29" s="862">
        <f t="shared" ref="F29:O29" si="6">IF(E29=0,0,IF((E29+1)&gt;durée_1,0,E29+1))</f>
        <v>0</v>
      </c>
      <c r="G29" s="862"/>
      <c r="H29" s="862">
        <f>IF(F29=0,0,IF((F29+1)&gt;durée_1,0,F29+1))</f>
        <v>0</v>
      </c>
      <c r="I29" s="862">
        <f t="shared" si="6"/>
        <v>0</v>
      </c>
      <c r="J29" s="862">
        <f t="shared" si="6"/>
        <v>0</v>
      </c>
      <c r="K29" s="862">
        <f t="shared" si="6"/>
        <v>0</v>
      </c>
      <c r="L29" s="862">
        <f t="shared" si="6"/>
        <v>0</v>
      </c>
      <c r="M29" s="862">
        <f t="shared" si="6"/>
        <v>0</v>
      </c>
      <c r="N29" s="862">
        <f t="shared" si="6"/>
        <v>0</v>
      </c>
      <c r="O29" s="862">
        <f t="shared" si="6"/>
        <v>0</v>
      </c>
    </row>
    <row r="30" spans="2:24" s="64" customFormat="1" ht="15" customHeight="1" x14ac:dyDescent="0.3">
      <c r="B30" s="1088" t="s">
        <v>1039</v>
      </c>
      <c r="C30" s="2290" t="s">
        <v>1017</v>
      </c>
      <c r="D30" s="2290"/>
      <c r="E30" s="2055" t="s">
        <v>1018</v>
      </c>
      <c r="F30" s="2290" t="s">
        <v>1019</v>
      </c>
      <c r="G30" s="2290"/>
      <c r="H30" s="2055" t="s">
        <v>1020</v>
      </c>
      <c r="I30" s="2055" t="s">
        <v>1021</v>
      </c>
      <c r="J30" s="2055" t="s">
        <v>1022</v>
      </c>
      <c r="K30" s="2055" t="s">
        <v>1023</v>
      </c>
      <c r="L30" s="2055" t="s">
        <v>1024</v>
      </c>
      <c r="M30" s="2055" t="s">
        <v>1025</v>
      </c>
      <c r="N30" s="2055" t="s">
        <v>1026</v>
      </c>
      <c r="O30" s="2055" t="s">
        <v>1027</v>
      </c>
      <c r="P30" s="2288" t="s">
        <v>205</v>
      </c>
      <c r="Q30" s="66"/>
    </row>
    <row r="31" spans="2:24" s="64" customFormat="1" ht="15" customHeight="1" x14ac:dyDescent="0.25">
      <c r="B31" s="2054" t="s">
        <v>813</v>
      </c>
      <c r="C31" s="2291" t="str">
        <f>IF(C29=0," ",IF(C29&gt;durée_1," ",EOMONTH(P23,1)))</f>
        <v xml:space="preserve"> </v>
      </c>
      <c r="D31" s="2291"/>
      <c r="E31" s="2056" t="str">
        <f>IF(E29=0," ",IF(E29&gt;durée_1," ",EOMONTH(C31,1)))</f>
        <v xml:space="preserve"> </v>
      </c>
      <c r="F31" s="2291" t="str">
        <f t="shared" ref="F31:O31" si="7">IF(F29=0," ",IF(F29&gt;durée_1," ",EOMONTH(E31,1)))</f>
        <v xml:space="preserve"> </v>
      </c>
      <c r="G31" s="2291"/>
      <c r="H31" s="2056" t="str">
        <f>IF(H29=0," ",IF(H29&gt;durée_1," ",EOMONTH(F31,1)))</f>
        <v xml:space="preserve"> </v>
      </c>
      <c r="I31" s="2056" t="str">
        <f t="shared" si="7"/>
        <v xml:space="preserve"> </v>
      </c>
      <c r="J31" s="2056" t="str">
        <f t="shared" si="7"/>
        <v xml:space="preserve"> </v>
      </c>
      <c r="K31" s="2056" t="str">
        <f t="shared" si="7"/>
        <v xml:space="preserve"> </v>
      </c>
      <c r="L31" s="2056" t="str">
        <f t="shared" si="7"/>
        <v xml:space="preserve"> </v>
      </c>
      <c r="M31" s="2056" t="str">
        <f t="shared" si="7"/>
        <v xml:space="preserve"> </v>
      </c>
      <c r="N31" s="2056" t="str">
        <f t="shared" si="7"/>
        <v xml:space="preserve"> </v>
      </c>
      <c r="O31" s="2056" t="str">
        <f t="shared" si="7"/>
        <v xml:space="preserve"> </v>
      </c>
      <c r="P31" s="2289"/>
      <c r="Q31" s="66"/>
    </row>
    <row r="32" spans="2:24" s="64" customFormat="1" ht="21.9" customHeight="1" x14ac:dyDescent="0.25">
      <c r="B32" s="1750" t="s">
        <v>806</v>
      </c>
      <c r="C32" s="2297"/>
      <c r="D32" s="2297"/>
      <c r="E32" s="2057"/>
      <c r="F32" s="2297"/>
      <c r="G32" s="2297"/>
      <c r="H32" s="2057"/>
      <c r="I32" s="2057"/>
      <c r="J32" s="2057"/>
      <c r="K32" s="2057"/>
      <c r="L32" s="2057"/>
      <c r="M32" s="2057"/>
      <c r="N32" s="2057"/>
      <c r="O32" s="2057"/>
      <c r="P32" s="2063">
        <f>SUM(C24:P24,C32:O32)</f>
        <v>0</v>
      </c>
      <c r="Q32" s="66"/>
    </row>
    <row r="33" spans="2:20" s="64" customFormat="1" ht="21.9" customHeight="1" x14ac:dyDescent="0.25">
      <c r="B33" s="1752" t="s">
        <v>810</v>
      </c>
      <c r="C33" s="2293"/>
      <c r="D33" s="2293"/>
      <c r="E33" s="2058"/>
      <c r="F33" s="2293"/>
      <c r="G33" s="2293"/>
      <c r="H33" s="2058"/>
      <c r="I33" s="2058"/>
      <c r="J33" s="2058"/>
      <c r="K33" s="2058"/>
      <c r="L33" s="2058"/>
      <c r="M33" s="2058"/>
      <c r="N33" s="2058"/>
      <c r="O33" s="2058"/>
      <c r="P33" s="2276"/>
      <c r="Q33" s="66"/>
      <c r="T33" s="1794"/>
    </row>
    <row r="34" spans="2:20" s="64" customFormat="1" ht="20.100000000000001" customHeight="1" x14ac:dyDescent="0.25">
      <c r="B34" s="1072" t="s">
        <v>811</v>
      </c>
      <c r="C34" s="2292" t="str">
        <f>IF(ISBLANK(C32)," ",C32/$P$32)</f>
        <v xml:space="preserve"> </v>
      </c>
      <c r="D34" s="2292"/>
      <c r="E34" s="2059" t="str">
        <f>IF(ISBLANK(E32)," ",E32/$P$32)</f>
        <v xml:space="preserve"> </v>
      </c>
      <c r="F34" s="2292" t="str">
        <f>IF(ISBLANK(F32)," ",F32/$P$32)</f>
        <v xml:space="preserve"> </v>
      </c>
      <c r="G34" s="2292"/>
      <c r="H34" s="2059" t="str">
        <f t="shared" ref="H34:O34" si="8">IF(ISBLANK(H32)," ",H32/$P$32)</f>
        <v xml:space="preserve"> </v>
      </c>
      <c r="I34" s="2059" t="str">
        <f t="shared" si="8"/>
        <v xml:space="preserve"> </v>
      </c>
      <c r="J34" s="2059" t="str">
        <f t="shared" si="8"/>
        <v xml:space="preserve"> </v>
      </c>
      <c r="K34" s="2059" t="str">
        <f t="shared" si="8"/>
        <v xml:space="preserve"> </v>
      </c>
      <c r="L34" s="2059" t="str">
        <f t="shared" si="8"/>
        <v xml:space="preserve"> </v>
      </c>
      <c r="M34" s="2059" t="str">
        <f t="shared" si="8"/>
        <v xml:space="preserve"> </v>
      </c>
      <c r="N34" s="2059" t="str">
        <f t="shared" si="8"/>
        <v xml:space="preserve"> </v>
      </c>
      <c r="O34" s="2059" t="str">
        <f t="shared" si="8"/>
        <v xml:space="preserve"> </v>
      </c>
      <c r="P34" s="2277"/>
      <c r="Q34" s="66"/>
    </row>
    <row r="35" spans="2:20" s="64" customFormat="1" ht="20.100000000000001" customHeight="1" x14ac:dyDescent="0.25">
      <c r="B35" s="2052" t="s">
        <v>809</v>
      </c>
      <c r="C35" s="2296" t="str">
        <f>IF(ISERROR(IF(ISBLANK(C32)," ",P27+C34))," ",IF(ISBLANK(C32)," ",P27+C34))</f>
        <v xml:space="preserve"> </v>
      </c>
      <c r="D35" s="2296"/>
      <c r="E35" s="2060" t="str">
        <f>IF(ISERROR(IF(ISBLANK(E32)," ",C35+E34))," ",IF(ISBLANK(E32)," ",C35+E34))</f>
        <v xml:space="preserve"> </v>
      </c>
      <c r="F35" s="2296" t="str">
        <f t="shared" ref="F35:O35" si="9">IF(ISERROR(IF(ISBLANK(F32)," ",E35+F34))," ",IF(ISBLANK(F32)," ",E35+F34))</f>
        <v xml:space="preserve"> </v>
      </c>
      <c r="G35" s="2296"/>
      <c r="H35" s="2060" t="str">
        <f>IF(ISERROR(IF(ISBLANK(H32)," ",F35+H34))," ",IF(ISBLANK(H32)," ",F35+H34))</f>
        <v xml:space="preserve"> </v>
      </c>
      <c r="I35" s="2060" t="str">
        <f t="shared" si="9"/>
        <v xml:space="preserve"> </v>
      </c>
      <c r="J35" s="2060" t="str">
        <f t="shared" si="9"/>
        <v xml:space="preserve"> </v>
      </c>
      <c r="K35" s="2060" t="str">
        <f t="shared" si="9"/>
        <v xml:space="preserve"> </v>
      </c>
      <c r="L35" s="2060" t="str">
        <f t="shared" si="9"/>
        <v xml:space="preserve"> </v>
      </c>
      <c r="M35" s="2060" t="str">
        <f t="shared" si="9"/>
        <v xml:space="preserve"> </v>
      </c>
      <c r="N35" s="2060" t="str">
        <f t="shared" si="9"/>
        <v xml:space="preserve"> </v>
      </c>
      <c r="O35" s="2060" t="str">
        <f t="shared" si="9"/>
        <v xml:space="preserve"> </v>
      </c>
      <c r="P35" s="2277"/>
      <c r="Q35" s="66"/>
    </row>
    <row r="36" spans="2:20" s="64" customFormat="1" ht="20.100000000000001" customHeight="1" x14ac:dyDescent="0.25">
      <c r="B36" s="1073" t="s">
        <v>807</v>
      </c>
      <c r="C36" s="2295" t="str">
        <f>IF(ISBLANK(C32)," ",C32/AVERAGE($C$24:$P$24,$C$32:$O$32))</f>
        <v xml:space="preserve"> </v>
      </c>
      <c r="D36" s="2295"/>
      <c r="E36" s="2061" t="str">
        <f>IF(ISBLANK(E32)," ",E32/AVERAGE($C$24:$P$24,$C$32:$O$32))</f>
        <v xml:space="preserve"> </v>
      </c>
      <c r="F36" s="2295" t="str">
        <f>IF(ISBLANK(F32)," ",F32/AVERAGE($C$24:$P$24,$C$32:$O$32))</f>
        <v xml:space="preserve"> </v>
      </c>
      <c r="G36" s="2295"/>
      <c r="H36" s="2061" t="str">
        <f t="shared" ref="H36:O36" si="10">IF(ISBLANK(H32)," ",H32/AVERAGE($C$24:$P$24,$C$32:$O$32))</f>
        <v xml:space="preserve"> </v>
      </c>
      <c r="I36" s="2061" t="str">
        <f t="shared" si="10"/>
        <v xml:space="preserve"> </v>
      </c>
      <c r="J36" s="2061" t="str">
        <f t="shared" si="10"/>
        <v xml:space="preserve"> </v>
      </c>
      <c r="K36" s="2061" t="str">
        <f t="shared" si="10"/>
        <v xml:space="preserve"> </v>
      </c>
      <c r="L36" s="2061" t="str">
        <f t="shared" si="10"/>
        <v xml:space="preserve"> </v>
      </c>
      <c r="M36" s="2061" t="str">
        <f t="shared" si="10"/>
        <v xml:space="preserve"> </v>
      </c>
      <c r="N36" s="2061" t="str">
        <f t="shared" si="10"/>
        <v xml:space="preserve"> </v>
      </c>
      <c r="O36" s="2061" t="str">
        <f t="shared" si="10"/>
        <v xml:space="preserve"> </v>
      </c>
      <c r="P36" s="2278"/>
      <c r="Q36" s="66"/>
    </row>
    <row r="37" spans="2:20" s="64" customFormat="1" ht="3" customHeight="1" x14ac:dyDescent="0.25">
      <c r="C37" s="65"/>
      <c r="D37" s="65"/>
      <c r="E37" s="65"/>
      <c r="F37" s="65"/>
      <c r="G37" s="65"/>
      <c r="H37" s="65"/>
      <c r="I37" s="65"/>
      <c r="J37" s="65"/>
      <c r="K37" s="65"/>
      <c r="L37" s="65"/>
      <c r="M37" s="65"/>
      <c r="N37" s="65"/>
      <c r="O37" s="1092" t="str">
        <f>IF(P32=ca_1," ",IF(P32=0," ","écart avec le CA annuel :"))</f>
        <v xml:space="preserve"> </v>
      </c>
      <c r="P37" s="1091" t="str">
        <f>IF(P32=0," ",IF(P32=ca_1," ",P32-ca_1))</f>
        <v xml:space="preserve"> </v>
      </c>
    </row>
    <row r="38" spans="2:20" s="1796" customFormat="1" ht="3" customHeight="1" x14ac:dyDescent="0.25">
      <c r="B38" s="863"/>
      <c r="C38" s="2299">
        <f>IF(1&gt;durée_2,0,IF(ISBLANK(départ),0,1))</f>
        <v>0</v>
      </c>
      <c r="D38" s="2299"/>
      <c r="E38" s="862">
        <f>IF(C38=0,0,IF((C38+1)&gt;durée_2,0,C38+1))</f>
        <v>0</v>
      </c>
      <c r="F38" s="2299">
        <f>IF(E38=0,0,IF((E38+1)&gt;durée_2,0,E38+1))</f>
        <v>0</v>
      </c>
      <c r="G38" s="2299"/>
      <c r="H38" s="862">
        <f>IF(F38=0,0,IF((F38+1)&gt;durée_2,0,F38+1))</f>
        <v>0</v>
      </c>
      <c r="I38" s="862">
        <f t="shared" ref="I38:P38" si="11">IF(H38=0,0,IF((H38+1)&gt;durée_2,0,H38+1))</f>
        <v>0</v>
      </c>
      <c r="J38" s="862">
        <f t="shared" si="11"/>
        <v>0</v>
      </c>
      <c r="K38" s="862">
        <f t="shared" si="11"/>
        <v>0</v>
      </c>
      <c r="L38" s="862">
        <f t="shared" si="11"/>
        <v>0</v>
      </c>
      <c r="M38" s="862">
        <f t="shared" si="11"/>
        <v>0</v>
      </c>
      <c r="N38" s="862">
        <f t="shared" si="11"/>
        <v>0</v>
      </c>
      <c r="O38" s="862">
        <f t="shared" si="11"/>
        <v>0</v>
      </c>
      <c r="P38" s="862">
        <f t="shared" si="11"/>
        <v>0</v>
      </c>
      <c r="Q38" s="1795"/>
      <c r="R38" s="863"/>
    </row>
    <row r="39" spans="2:20" ht="15" customHeight="1" x14ac:dyDescent="0.3">
      <c r="B39" s="1088" t="s">
        <v>1044</v>
      </c>
      <c r="C39" s="2290" t="s">
        <v>1005</v>
      </c>
      <c r="D39" s="2290"/>
      <c r="E39" s="2055" t="s">
        <v>1006</v>
      </c>
      <c r="F39" s="2290" t="s">
        <v>1007</v>
      </c>
      <c r="G39" s="2290"/>
      <c r="H39" s="2055" t="s">
        <v>1008</v>
      </c>
      <c r="I39" s="2055" t="s">
        <v>1016</v>
      </c>
      <c r="J39" s="2055" t="s">
        <v>1014</v>
      </c>
      <c r="K39" s="2055" t="s">
        <v>1015</v>
      </c>
      <c r="L39" s="2055" t="s">
        <v>1013</v>
      </c>
      <c r="M39" s="2055" t="s">
        <v>1012</v>
      </c>
      <c r="N39" s="2055" t="s">
        <v>1011</v>
      </c>
      <c r="O39" s="2055" t="s">
        <v>1010</v>
      </c>
      <c r="P39" s="1085" t="s">
        <v>1009</v>
      </c>
      <c r="Q39" s="65"/>
      <c r="R39" s="48"/>
    </row>
    <row r="40" spans="2:20" ht="15" customHeight="1" x14ac:dyDescent="0.3">
      <c r="B40" s="1754" t="s">
        <v>812</v>
      </c>
      <c r="C40" s="2291" t="str">
        <f>IF(C38=0," ",IF(ISBLANK(durée_2)," ",EOMONTH(départ,durée_1)))</f>
        <v xml:space="preserve"> </v>
      </c>
      <c r="D40" s="2291"/>
      <c r="E40" s="2056" t="str">
        <f>IF(E38=0," ",IF(E38&gt;durée_2," ",EOMONTH(C40,1)))</f>
        <v xml:space="preserve"> </v>
      </c>
      <c r="F40" s="2291" t="str">
        <f t="shared" ref="F40:P40" si="12">IF(F38=0," ",IF(F38&gt;durée_2," ",EOMONTH(E40,1)))</f>
        <v xml:space="preserve"> </v>
      </c>
      <c r="G40" s="2291"/>
      <c r="H40" s="2056" t="str">
        <f>IF(H38=0," ",IF(H38&gt;durée_2," ",EOMONTH(F40,1)))</f>
        <v xml:space="preserve"> </v>
      </c>
      <c r="I40" s="2056" t="str">
        <f t="shared" si="12"/>
        <v xml:space="preserve"> </v>
      </c>
      <c r="J40" s="2056" t="str">
        <f t="shared" si="12"/>
        <v xml:space="preserve"> </v>
      </c>
      <c r="K40" s="2056" t="str">
        <f t="shared" si="12"/>
        <v xml:space="preserve"> </v>
      </c>
      <c r="L40" s="2056" t="str">
        <f t="shared" si="12"/>
        <v xml:space="preserve"> </v>
      </c>
      <c r="M40" s="2056" t="str">
        <f t="shared" si="12"/>
        <v xml:space="preserve"> </v>
      </c>
      <c r="N40" s="2056" t="str">
        <f t="shared" si="12"/>
        <v xml:space="preserve"> </v>
      </c>
      <c r="O40" s="2056" t="str">
        <f t="shared" si="12"/>
        <v xml:space="preserve"> </v>
      </c>
      <c r="P40" s="1755" t="str">
        <f t="shared" si="12"/>
        <v xml:space="preserve"> </v>
      </c>
      <c r="Q40" s="65"/>
      <c r="R40" s="48"/>
    </row>
    <row r="41" spans="2:20" s="47" customFormat="1" ht="21.9" customHeight="1" x14ac:dyDescent="0.25">
      <c r="B41" s="1750" t="s">
        <v>806</v>
      </c>
      <c r="C41" s="2294"/>
      <c r="D41" s="2294"/>
      <c r="E41" s="2057"/>
      <c r="F41" s="2294"/>
      <c r="G41" s="2294"/>
      <c r="H41" s="2057"/>
      <c r="I41" s="2057"/>
      <c r="J41" s="2057"/>
      <c r="K41" s="2057"/>
      <c r="L41" s="2057"/>
      <c r="M41" s="2057"/>
      <c r="N41" s="2057"/>
      <c r="O41" s="2057"/>
      <c r="P41" s="1751"/>
      <c r="R41" s="59"/>
    </row>
    <row r="42" spans="2:20" s="63" customFormat="1" ht="21.9" customHeight="1" x14ac:dyDescent="0.25">
      <c r="B42" s="1752" t="s">
        <v>810</v>
      </c>
      <c r="C42" s="2293"/>
      <c r="D42" s="2293"/>
      <c r="E42" s="2058"/>
      <c r="F42" s="2293"/>
      <c r="G42" s="2293"/>
      <c r="H42" s="2058"/>
      <c r="I42" s="2058"/>
      <c r="J42" s="2058"/>
      <c r="K42" s="2058"/>
      <c r="L42" s="2058"/>
      <c r="M42" s="2058"/>
      <c r="N42" s="2058"/>
      <c r="O42" s="2058"/>
      <c r="P42" s="1753"/>
      <c r="Q42" s="1089"/>
    </row>
    <row r="43" spans="2:20" s="63" customFormat="1" ht="20.100000000000001" customHeight="1" x14ac:dyDescent="0.25">
      <c r="B43" s="1072" t="s">
        <v>811</v>
      </c>
      <c r="C43" s="2292" t="str">
        <f>IF(ISERROR(IF(ISBLANK(C41)," ",C41/$P$46))," ",IF(ISBLANK(C41)," ",C41/$P$46))</f>
        <v xml:space="preserve"> </v>
      </c>
      <c r="D43" s="2292"/>
      <c r="E43" s="2059" t="str">
        <f>IF(ISERROR(IF(ISBLANK(E41)," ",E41/$P$46))," ",IF(ISBLANK(E41)," ",E41/$P$46))</f>
        <v xml:space="preserve"> </v>
      </c>
      <c r="F43" s="2292" t="str">
        <f>IF(ISERROR(IF(ISBLANK(F41)," ",F41/$P$46))," ",IF(ISBLANK(F41)," ",F41/$P$46))</f>
        <v xml:space="preserve"> </v>
      </c>
      <c r="G43" s="2292"/>
      <c r="H43" s="2059" t="str">
        <f t="shared" ref="H43:P43" si="13">IF(ISERROR(IF(ISBLANK(H41)," ",H41/$P$46))," ",IF(ISBLANK(H41)," ",H41/$P$46))</f>
        <v xml:space="preserve"> </v>
      </c>
      <c r="I43" s="2059" t="str">
        <f t="shared" si="13"/>
        <v xml:space="preserve"> </v>
      </c>
      <c r="J43" s="2059" t="str">
        <f t="shared" si="13"/>
        <v xml:space="preserve"> </v>
      </c>
      <c r="K43" s="2059" t="str">
        <f t="shared" si="13"/>
        <v xml:space="preserve"> </v>
      </c>
      <c r="L43" s="2059" t="str">
        <f t="shared" si="13"/>
        <v xml:space="preserve"> </v>
      </c>
      <c r="M43" s="2059" t="str">
        <f t="shared" si="13"/>
        <v xml:space="preserve"> </v>
      </c>
      <c r="N43" s="2059" t="str">
        <f t="shared" si="13"/>
        <v xml:space="preserve"> </v>
      </c>
      <c r="O43" s="2059" t="str">
        <f t="shared" si="13"/>
        <v xml:space="preserve"> </v>
      </c>
      <c r="P43" s="1074" t="str">
        <f t="shared" si="13"/>
        <v xml:space="preserve"> </v>
      </c>
      <c r="Q43" s="1089"/>
    </row>
    <row r="44" spans="2:20" s="64" customFormat="1" ht="20.100000000000001" customHeight="1" x14ac:dyDescent="0.25">
      <c r="B44" s="2052" t="s">
        <v>809</v>
      </c>
      <c r="C44" s="2296" t="str">
        <f>C43</f>
        <v xml:space="preserve"> </v>
      </c>
      <c r="D44" s="2296"/>
      <c r="E44" s="2060" t="str">
        <f>IF(ISERROR(IF(ISBLANK(E41)," ",C44+E43))," ",IF(ISBLANK(E41)," ",C44+E43))</f>
        <v xml:space="preserve"> </v>
      </c>
      <c r="F44" s="2296" t="str">
        <f t="shared" ref="F44:P44" si="14">IF(ISERROR(IF(ISBLANK(F41)," ",E44+F43))," ",IF(ISBLANK(F41)," ",E44+F43))</f>
        <v xml:space="preserve"> </v>
      </c>
      <c r="G44" s="2296"/>
      <c r="H44" s="2060" t="str">
        <f>IF(ISERROR(IF(ISBLANK(H41)," ",F44+H43))," ",IF(ISBLANK(H41)," ",F44+H43))</f>
        <v xml:space="preserve"> </v>
      </c>
      <c r="I44" s="2060" t="str">
        <f t="shared" si="14"/>
        <v xml:space="preserve"> </v>
      </c>
      <c r="J44" s="2060" t="str">
        <f t="shared" si="14"/>
        <v xml:space="preserve"> </v>
      </c>
      <c r="K44" s="2060" t="str">
        <f t="shared" si="14"/>
        <v xml:space="preserve"> </v>
      </c>
      <c r="L44" s="2060" t="str">
        <f t="shared" si="14"/>
        <v xml:space="preserve"> </v>
      </c>
      <c r="M44" s="2060" t="str">
        <f t="shared" si="14"/>
        <v xml:space="preserve"> </v>
      </c>
      <c r="N44" s="2060" t="str">
        <f t="shared" si="14"/>
        <v xml:space="preserve"> </v>
      </c>
      <c r="O44" s="2060" t="str">
        <f t="shared" si="14"/>
        <v xml:space="preserve"> </v>
      </c>
      <c r="P44" s="2053" t="str">
        <f t="shared" si="14"/>
        <v xml:space="preserve"> </v>
      </c>
      <c r="Q44" s="1089"/>
    </row>
    <row r="45" spans="2:20" s="64" customFormat="1" ht="20.100000000000001" customHeight="1" x14ac:dyDescent="0.25">
      <c r="B45" s="1073" t="s">
        <v>807</v>
      </c>
      <c r="C45" s="2295" t="str">
        <f>IF(ISERROR(IF(ISBLANK(C41)," ",C41/AVERAGE($C$41:$P$41)))," ",IF(ISBLANK(C41)," ",C41/AVERAGE($C$41:$P$41)))</f>
        <v xml:space="preserve"> </v>
      </c>
      <c r="D45" s="2295"/>
      <c r="E45" s="2061" t="str">
        <f>IF(ISERROR(IF(ISBLANK(E41)," ",E41/AVERAGE($C$41:$P$41)))," ",IF(ISBLANK(E41)," ",E41/AVERAGE($C$41:$P$41)))</f>
        <v xml:space="preserve"> </v>
      </c>
      <c r="F45" s="2295" t="str">
        <f>IF(ISERROR(IF(ISBLANK(F41)," ",F41/AVERAGE($C$41:$P$41)))," ",IF(ISBLANK(F41)," ",F41/AVERAGE($C$41:$P$41)))</f>
        <v xml:space="preserve"> </v>
      </c>
      <c r="G45" s="2295"/>
      <c r="H45" s="2061" t="str">
        <f t="shared" ref="H45:P45" si="15">IF(ISERROR(IF(ISBLANK(H41)," ",H41/AVERAGE($C$41:$P$41)))," ",IF(ISBLANK(H41)," ",H41/AVERAGE($C$41:$P$41)))</f>
        <v xml:space="preserve"> </v>
      </c>
      <c r="I45" s="2061" t="str">
        <f t="shared" si="15"/>
        <v xml:space="preserve"> </v>
      </c>
      <c r="J45" s="2061" t="str">
        <f t="shared" si="15"/>
        <v xml:space="preserve"> </v>
      </c>
      <c r="K45" s="2061" t="str">
        <f t="shared" si="15"/>
        <v xml:space="preserve"> </v>
      </c>
      <c r="L45" s="2061" t="str">
        <f t="shared" si="15"/>
        <v xml:space="preserve"> </v>
      </c>
      <c r="M45" s="2061" t="str">
        <f t="shared" si="15"/>
        <v xml:space="preserve"> </v>
      </c>
      <c r="N45" s="2061" t="str">
        <f t="shared" si="15"/>
        <v xml:space="preserve"> </v>
      </c>
      <c r="O45" s="2061" t="str">
        <f t="shared" si="15"/>
        <v xml:space="preserve"> </v>
      </c>
      <c r="P45" s="1075" t="str">
        <f t="shared" si="15"/>
        <v xml:space="preserve"> </v>
      </c>
      <c r="Q45" s="1089"/>
    </row>
    <row r="46" spans="2:20" s="64" customFormat="1" ht="19.95" customHeight="1" x14ac:dyDescent="0.25">
      <c r="C46" s="65"/>
      <c r="D46" s="65"/>
      <c r="E46" s="65"/>
      <c r="F46" s="65"/>
      <c r="G46" s="65"/>
      <c r="H46" s="65"/>
      <c r="I46" s="65"/>
      <c r="J46" s="65"/>
      <c r="K46" s="65"/>
      <c r="L46" s="65"/>
      <c r="O46" s="1090" t="s">
        <v>1028</v>
      </c>
      <c r="P46" s="1093">
        <f>SUM(C41:P41)</f>
        <v>0</v>
      </c>
      <c r="Q46" s="1092" t="str">
        <f>IF(P46=ca_2," ",IF(P46=0," ","écart avec le CA annuel :"))</f>
        <v xml:space="preserve"> </v>
      </c>
      <c r="R46" s="1091" t="str">
        <f>IF(P46=0," ",IF(P46=ca_2," ",P46-ca_2))</f>
        <v xml:space="preserve"> </v>
      </c>
    </row>
    <row r="47" spans="2:20" ht="3" customHeight="1" x14ac:dyDescent="0.3">
      <c r="B47" s="64"/>
      <c r="C47" s="2299">
        <f>IF(1&gt;durée_3,0,IF(ISBLANK(départ),0,1))</f>
        <v>0</v>
      </c>
      <c r="D47" s="2299"/>
      <c r="E47" s="862">
        <f>IF(C47=0,0,IF((C47+1)&gt;durée_3,0,C47+1))</f>
        <v>0</v>
      </c>
      <c r="F47" s="2299">
        <f>IF(E47=0,0,IF((E47+1)&gt;durée_3,0,E47+1))</f>
        <v>0</v>
      </c>
      <c r="G47" s="2299"/>
      <c r="H47" s="862">
        <f>IF(F47=0,0,IF((F47+1)&gt;durée_3,0,F47+1))</f>
        <v>0</v>
      </c>
      <c r="I47" s="862">
        <f t="shared" ref="I47:P47" si="16">IF(H47=0,0,IF((H47+1)&gt;durée_3,0,H47+1))</f>
        <v>0</v>
      </c>
      <c r="J47" s="862">
        <f t="shared" si="16"/>
        <v>0</v>
      </c>
      <c r="K47" s="862">
        <f t="shared" si="16"/>
        <v>0</v>
      </c>
      <c r="L47" s="862">
        <f t="shared" si="16"/>
        <v>0</v>
      </c>
      <c r="M47" s="862">
        <f t="shared" si="16"/>
        <v>0</v>
      </c>
      <c r="N47" s="862">
        <f t="shared" si="16"/>
        <v>0</v>
      </c>
      <c r="O47" s="862">
        <f t="shared" si="16"/>
        <v>0</v>
      </c>
      <c r="P47" s="862">
        <f t="shared" si="16"/>
        <v>0</v>
      </c>
      <c r="Q47" s="654"/>
      <c r="R47" s="48"/>
    </row>
    <row r="48" spans="2:20" ht="15" customHeight="1" x14ac:dyDescent="0.3">
      <c r="B48" s="1088" t="s">
        <v>1045</v>
      </c>
      <c r="C48" s="2290" t="s">
        <v>1005</v>
      </c>
      <c r="D48" s="2290"/>
      <c r="E48" s="2055" t="s">
        <v>1006</v>
      </c>
      <c r="F48" s="2290" t="s">
        <v>1007</v>
      </c>
      <c r="G48" s="2290"/>
      <c r="H48" s="2055" t="s">
        <v>1008</v>
      </c>
      <c r="I48" s="2055" t="s">
        <v>1016</v>
      </c>
      <c r="J48" s="2055" t="s">
        <v>1014</v>
      </c>
      <c r="K48" s="2055" t="s">
        <v>1015</v>
      </c>
      <c r="L48" s="2055" t="s">
        <v>1013</v>
      </c>
      <c r="M48" s="2055" t="s">
        <v>1012</v>
      </c>
      <c r="N48" s="2055" t="s">
        <v>1011</v>
      </c>
      <c r="O48" s="2055" t="s">
        <v>1010</v>
      </c>
      <c r="P48" s="1085" t="s">
        <v>1009</v>
      </c>
      <c r="Q48" s="2279" t="s">
        <v>205</v>
      </c>
      <c r="R48" s="48"/>
    </row>
    <row r="49" spans="2:18" s="47" customFormat="1" ht="15" customHeight="1" x14ac:dyDescent="0.25">
      <c r="B49" s="1754" t="s">
        <v>812</v>
      </c>
      <c r="C49" s="2291" t="str">
        <f>IF(C47=0," ",IF(ISBLANK(durée_3)," ",EOMONTH(C40,12)))</f>
        <v xml:space="preserve"> </v>
      </c>
      <c r="D49" s="2291"/>
      <c r="E49" s="2056" t="str">
        <f>IF(E47=0," ",IF(E47&gt;durée_3," ",EOMONTH(C49,1)))</f>
        <v xml:space="preserve"> </v>
      </c>
      <c r="F49" s="2291" t="str">
        <f>IF(F47=0," ",IF(F47&gt;durée_3," ",EOMONTH(E49,1)))</f>
        <v xml:space="preserve"> </v>
      </c>
      <c r="G49" s="2291"/>
      <c r="H49" s="2056" t="str">
        <f>IF(H47=0," ",IF(H47&gt;durée_3," ",EOMONTH(F49,1)))</f>
        <v xml:space="preserve"> </v>
      </c>
      <c r="I49" s="2056" t="str">
        <f t="shared" ref="I49:P49" si="17">IF(I47=0," ",IF(I47&gt;durée_3," ",EOMONTH(H49,1)))</f>
        <v xml:space="preserve"> </v>
      </c>
      <c r="J49" s="2056" t="str">
        <f t="shared" si="17"/>
        <v xml:space="preserve"> </v>
      </c>
      <c r="K49" s="2056" t="str">
        <f t="shared" si="17"/>
        <v xml:space="preserve"> </v>
      </c>
      <c r="L49" s="2056" t="str">
        <f t="shared" si="17"/>
        <v xml:space="preserve"> </v>
      </c>
      <c r="M49" s="2056" t="str">
        <f t="shared" si="17"/>
        <v xml:space="preserve"> </v>
      </c>
      <c r="N49" s="2056" t="str">
        <f t="shared" si="17"/>
        <v xml:space="preserve"> </v>
      </c>
      <c r="O49" s="2056" t="str">
        <f t="shared" si="17"/>
        <v xml:space="preserve"> </v>
      </c>
      <c r="P49" s="1755" t="str">
        <f t="shared" si="17"/>
        <v xml:space="preserve"> </v>
      </c>
      <c r="Q49" s="2279"/>
      <c r="R49" s="59"/>
    </row>
    <row r="50" spans="2:18" s="63" customFormat="1" ht="21.9" customHeight="1" x14ac:dyDescent="0.25">
      <c r="B50" s="1750" t="s">
        <v>806</v>
      </c>
      <c r="C50" s="2294"/>
      <c r="D50" s="2294"/>
      <c r="E50" s="2057"/>
      <c r="F50" s="2294"/>
      <c r="G50" s="2294"/>
      <c r="H50" s="2057"/>
      <c r="I50" s="2057"/>
      <c r="J50" s="2057"/>
      <c r="K50" s="2057"/>
      <c r="L50" s="2057"/>
      <c r="M50" s="2057"/>
      <c r="N50" s="2057"/>
      <c r="O50" s="2057"/>
      <c r="P50" s="1751"/>
      <c r="Q50" s="1094"/>
    </row>
    <row r="51" spans="2:18" s="63" customFormat="1" ht="21.9" customHeight="1" x14ac:dyDescent="0.25">
      <c r="B51" s="1752" t="s">
        <v>810</v>
      </c>
      <c r="C51" s="2293"/>
      <c r="D51" s="2293"/>
      <c r="E51" s="2058"/>
      <c r="F51" s="2293"/>
      <c r="G51" s="2293"/>
      <c r="H51" s="2058"/>
      <c r="I51" s="2058"/>
      <c r="J51" s="2058"/>
      <c r="K51" s="2058"/>
      <c r="L51" s="2058"/>
      <c r="M51" s="2058"/>
      <c r="N51" s="2058"/>
      <c r="O51" s="2058"/>
      <c r="P51" s="1753"/>
      <c r="Q51" s="1086"/>
    </row>
    <row r="52" spans="2:18" s="64" customFormat="1" ht="20.100000000000001" customHeight="1" x14ac:dyDescent="0.25">
      <c r="B52" s="1072" t="s">
        <v>811</v>
      </c>
      <c r="C52" s="2292" t="str">
        <f>IF(ISBLANK(C50)," ",C50/$P$55)</f>
        <v xml:space="preserve"> </v>
      </c>
      <c r="D52" s="2292"/>
      <c r="E52" s="2059" t="str">
        <f>IF(ISBLANK(E50)," ",E50/$P$55)</f>
        <v xml:space="preserve"> </v>
      </c>
      <c r="F52" s="2292" t="str">
        <f>IF(ISBLANK(F50)," ",F50/$P$55)</f>
        <v xml:space="preserve"> </v>
      </c>
      <c r="G52" s="2292"/>
      <c r="H52" s="2059" t="str">
        <f t="shared" ref="H52:P52" si="18">IF(ISBLANK(H50)," ",H50/$P$55)</f>
        <v xml:space="preserve"> </v>
      </c>
      <c r="I52" s="2059" t="str">
        <f t="shared" si="18"/>
        <v xml:space="preserve"> </v>
      </c>
      <c r="J52" s="2059" t="str">
        <f t="shared" si="18"/>
        <v xml:space="preserve"> </v>
      </c>
      <c r="K52" s="2059" t="str">
        <f t="shared" si="18"/>
        <v xml:space="preserve"> </v>
      </c>
      <c r="L52" s="2059" t="str">
        <f t="shared" si="18"/>
        <v xml:space="preserve"> </v>
      </c>
      <c r="M52" s="2059" t="str">
        <f t="shared" si="18"/>
        <v xml:space="preserve"> </v>
      </c>
      <c r="N52" s="2059" t="str">
        <f t="shared" si="18"/>
        <v xml:space="preserve"> </v>
      </c>
      <c r="O52" s="2059" t="str">
        <f t="shared" si="18"/>
        <v xml:space="preserve"> </v>
      </c>
      <c r="P52" s="1074" t="str">
        <f t="shared" si="18"/>
        <v xml:space="preserve"> </v>
      </c>
      <c r="Q52" s="1086"/>
    </row>
    <row r="53" spans="2:18" ht="20.100000000000001" customHeight="1" x14ac:dyDescent="0.3">
      <c r="B53" s="2052" t="s">
        <v>809</v>
      </c>
      <c r="C53" s="2296" t="str">
        <f>C52</f>
        <v xml:space="preserve"> </v>
      </c>
      <c r="D53" s="2296"/>
      <c r="E53" s="2060" t="str">
        <f>IF(ISERROR(IF(ISBLANK(E50)," ",C53+E52))," ",IF(ISBLANK(E50)," ",C53+E52))</f>
        <v xml:space="preserve"> </v>
      </c>
      <c r="F53" s="2296" t="str">
        <f t="shared" ref="F53:P53" si="19">IF(ISERROR(IF(ISBLANK(F50)," ",E53+F52))," ",IF(ISBLANK(F50)," ",E53+F52))</f>
        <v xml:space="preserve"> </v>
      </c>
      <c r="G53" s="2296"/>
      <c r="H53" s="2060" t="str">
        <f>IF(ISERROR(IF(ISBLANK(H50)," ",F53+H52))," ",IF(ISBLANK(H50)," ",F53+H52))</f>
        <v xml:space="preserve"> </v>
      </c>
      <c r="I53" s="2060" t="str">
        <f t="shared" si="19"/>
        <v xml:space="preserve"> </v>
      </c>
      <c r="J53" s="2060" t="str">
        <f t="shared" si="19"/>
        <v xml:space="preserve"> </v>
      </c>
      <c r="K53" s="2060" t="str">
        <f t="shared" si="19"/>
        <v xml:space="preserve"> </v>
      </c>
      <c r="L53" s="2060" t="str">
        <f t="shared" si="19"/>
        <v xml:space="preserve"> </v>
      </c>
      <c r="M53" s="2060" t="str">
        <f t="shared" si="19"/>
        <v xml:space="preserve"> </v>
      </c>
      <c r="N53" s="2060" t="str">
        <f t="shared" si="19"/>
        <v xml:space="preserve"> </v>
      </c>
      <c r="O53" s="2060" t="str">
        <f t="shared" si="19"/>
        <v xml:space="preserve"> </v>
      </c>
      <c r="P53" s="2053" t="str">
        <f t="shared" si="19"/>
        <v xml:space="preserve"> </v>
      </c>
      <c r="Q53" s="1086"/>
    </row>
    <row r="54" spans="2:18" ht="20.100000000000001" customHeight="1" x14ac:dyDescent="0.3">
      <c r="B54" s="1073" t="s">
        <v>807</v>
      </c>
      <c r="C54" s="2295" t="str">
        <f>IF(ISBLANK(C50)," ",C50/AVERAGE($C$50:$P$50))</f>
        <v xml:space="preserve"> </v>
      </c>
      <c r="D54" s="2295"/>
      <c r="E54" s="2061" t="str">
        <f t="shared" ref="E54:P54" si="20">IF(ISBLANK(E50)," ",E50/AVERAGE($C$50:$P$50))</f>
        <v xml:space="preserve"> </v>
      </c>
      <c r="F54" s="2295" t="str">
        <f t="shared" si="20"/>
        <v xml:space="preserve"> </v>
      </c>
      <c r="G54" s="2295"/>
      <c r="H54" s="2061" t="str">
        <f t="shared" si="20"/>
        <v xml:space="preserve"> </v>
      </c>
      <c r="I54" s="2061" t="str">
        <f t="shared" si="20"/>
        <v xml:space="preserve"> </v>
      </c>
      <c r="J54" s="2061" t="str">
        <f t="shared" si="20"/>
        <v xml:space="preserve"> </v>
      </c>
      <c r="K54" s="2061" t="str">
        <f t="shared" si="20"/>
        <v xml:space="preserve"> </v>
      </c>
      <c r="L54" s="2061" t="str">
        <f t="shared" si="20"/>
        <v xml:space="preserve"> </v>
      </c>
      <c r="M54" s="2061" t="str">
        <f t="shared" si="20"/>
        <v xml:space="preserve"> </v>
      </c>
      <c r="N54" s="2061" t="str">
        <f t="shared" si="20"/>
        <v xml:space="preserve"> </v>
      </c>
      <c r="O54" s="2061" t="str">
        <f t="shared" si="20"/>
        <v xml:space="preserve"> </v>
      </c>
      <c r="P54" s="1075" t="str">
        <f t="shared" si="20"/>
        <v xml:space="preserve"> </v>
      </c>
      <c r="Q54" s="1086"/>
    </row>
    <row r="55" spans="2:18" ht="20.100000000000001" customHeight="1" x14ac:dyDescent="0.3">
      <c r="F55" s="69"/>
      <c r="G55" s="69"/>
      <c r="H55" s="61"/>
      <c r="I55" s="60"/>
      <c r="J55" s="69"/>
      <c r="O55" s="1090" t="s">
        <v>1028</v>
      </c>
      <c r="P55" s="1093">
        <f>SUM(C50:P50)</f>
        <v>0</v>
      </c>
      <c r="Q55" s="1092" t="str">
        <f>IF(P55=ca_3," ",IF(P55=0," ","Ecart avec le CA annuel :"))</f>
        <v xml:space="preserve"> </v>
      </c>
      <c r="R55" s="1091" t="str">
        <f>IF(P55=0," ",IF(P55=ca_3," ",P55-ca_3))</f>
        <v xml:space="preserve"> </v>
      </c>
    </row>
    <row r="56" spans="2:18" ht="6" customHeight="1" x14ac:dyDescent="0.3">
      <c r="B56" s="1443"/>
      <c r="C56" s="1443"/>
      <c r="D56" s="1443"/>
      <c r="E56" s="1443"/>
      <c r="F56" s="1443"/>
      <c r="G56" s="1443"/>
      <c r="H56" s="1443"/>
      <c r="I56" s="1443"/>
      <c r="J56" s="1443"/>
      <c r="K56" s="1443"/>
      <c r="L56" s="1443"/>
      <c r="M56" s="1443"/>
      <c r="N56" s="1443"/>
      <c r="P56" s="68"/>
      <c r="Q56" s="654"/>
    </row>
    <row r="57" spans="2:18" ht="6" customHeight="1" x14ac:dyDescent="0.3"/>
    <row r="78" ht="12.75" customHeight="1" x14ac:dyDescent="0.3"/>
    <row r="79" ht="12.75" customHeight="1" x14ac:dyDescent="0.3"/>
  </sheetData>
  <sheetProtection algorithmName="SHA-512" hashValue="nKzaEi5Rg1YlO+FQuRLNlzAgoIlu5kSbMar9t58wFXSWi9GLVIYDy/lCFLFXXisGpH0LLMzAkHskDq5C4h6auA==" saltValue="Ai2fzo79JUkAhi7SW0R9Ug==" spinCount="100000" sheet="1" formatCells="0" formatColumns="0" formatRows="0" insertColumns="0" insertRows="0" insertHyperlinks="0" deleteColumns="0" deleteRows="0" sort="0" autoFilter="0" pivotTables="0"/>
  <mergeCells count="77">
    <mergeCell ref="F38:G38"/>
    <mergeCell ref="F47:G47"/>
    <mergeCell ref="C20:D20"/>
    <mergeCell ref="F20:G20"/>
    <mergeCell ref="C38:D38"/>
    <mergeCell ref="C47:D47"/>
    <mergeCell ref="F26:G26"/>
    <mergeCell ref="F25:G25"/>
    <mergeCell ref="F24:G24"/>
    <mergeCell ref="F45:G45"/>
    <mergeCell ref="F44:G44"/>
    <mergeCell ref="F43:G43"/>
    <mergeCell ref="F42:G42"/>
    <mergeCell ref="F41:G41"/>
    <mergeCell ref="F36:G36"/>
    <mergeCell ref="F35:G35"/>
    <mergeCell ref="C41:D41"/>
    <mergeCell ref="C45:D45"/>
    <mergeCell ref="C44:D44"/>
    <mergeCell ref="F54:G54"/>
    <mergeCell ref="F53:G53"/>
    <mergeCell ref="F52:G52"/>
    <mergeCell ref="F51:G51"/>
    <mergeCell ref="F50:G50"/>
    <mergeCell ref="F34:G34"/>
    <mergeCell ref="F28:G28"/>
    <mergeCell ref="F30:G30"/>
    <mergeCell ref="C54:D54"/>
    <mergeCell ref="C53:D53"/>
    <mergeCell ref="C52:D52"/>
    <mergeCell ref="C51:D51"/>
    <mergeCell ref="C50:D50"/>
    <mergeCell ref="C40:D40"/>
    <mergeCell ref="C48:D48"/>
    <mergeCell ref="C49:D49"/>
    <mergeCell ref="F40:G40"/>
    <mergeCell ref="F48:G48"/>
    <mergeCell ref="F49:G49"/>
    <mergeCell ref="C43:D43"/>
    <mergeCell ref="C42:D42"/>
    <mergeCell ref="B3:C3"/>
    <mergeCell ref="B12:C12"/>
    <mergeCell ref="E12:F12"/>
    <mergeCell ref="F22:G22"/>
    <mergeCell ref="F23:G23"/>
    <mergeCell ref="C26:D26"/>
    <mergeCell ref="C25:D25"/>
    <mergeCell ref="C24:D24"/>
    <mergeCell ref="F31:G31"/>
    <mergeCell ref="C39:D39"/>
    <mergeCell ref="F39:G39"/>
    <mergeCell ref="C36:D36"/>
    <mergeCell ref="C35:D35"/>
    <mergeCell ref="C34:D34"/>
    <mergeCell ref="C33:D33"/>
    <mergeCell ref="C32:D32"/>
    <mergeCell ref="F27:G27"/>
    <mergeCell ref="F33:G33"/>
    <mergeCell ref="F32:G32"/>
    <mergeCell ref="C28:D28"/>
    <mergeCell ref="C27:D27"/>
    <mergeCell ref="H12:I12"/>
    <mergeCell ref="H2:P2"/>
    <mergeCell ref="B2:F2"/>
    <mergeCell ref="P33:P36"/>
    <mergeCell ref="Q48:Q49"/>
    <mergeCell ref="B5:C5"/>
    <mergeCell ref="E5:F5"/>
    <mergeCell ref="H5:I5"/>
    <mergeCell ref="B22:B23"/>
    <mergeCell ref="L18:M18"/>
    <mergeCell ref="N17:O17"/>
    <mergeCell ref="P30:P31"/>
    <mergeCell ref="C30:D30"/>
    <mergeCell ref="C31:D31"/>
    <mergeCell ref="C22:D22"/>
    <mergeCell ref="C23:D23"/>
  </mergeCells>
  <phoneticPr fontId="0" type="noConversion"/>
  <conditionalFormatting sqref="E23:F23 H23:O23">
    <cfRule type="expression" priority="106" stopIfTrue="1">
      <formula>$C$23=" "</formula>
    </cfRule>
  </conditionalFormatting>
  <conditionalFormatting sqref="C22">
    <cfRule type="expression" dxfId="815" priority="104">
      <formula>C20=0</formula>
    </cfRule>
  </conditionalFormatting>
  <conditionalFormatting sqref="E22">
    <cfRule type="expression" dxfId="814" priority="103">
      <formula>E20=0</formula>
    </cfRule>
  </conditionalFormatting>
  <conditionalFormatting sqref="B8 E8 H8">
    <cfRule type="cellIs" dxfId="813" priority="78" operator="notEqual">
      <formula>12</formula>
    </cfRule>
  </conditionalFormatting>
  <conditionalFormatting sqref="E12">
    <cfRule type="expression" dxfId="812" priority="1005" stopIfTrue="1">
      <formula>$E$16=1</formula>
    </cfRule>
  </conditionalFormatting>
  <conditionalFormatting sqref="H12">
    <cfRule type="expression" dxfId="811" priority="1006" stopIfTrue="1">
      <formula>$H$16=1</formula>
    </cfRule>
  </conditionalFormatting>
  <conditionalFormatting sqref="B12">
    <cfRule type="expression" dxfId="810" priority="75" stopIfTrue="1">
      <formula>$B$16=1</formula>
    </cfRule>
  </conditionalFormatting>
  <conditionalFormatting sqref="N18">
    <cfRule type="cellIs" dxfId="809" priority="73" operator="equal">
      <formula>0</formula>
    </cfRule>
  </conditionalFormatting>
  <conditionalFormatting sqref="E40:F40 H40:O40">
    <cfRule type="expression" priority="72" stopIfTrue="1">
      <formula>$C$23=" "</formula>
    </cfRule>
  </conditionalFormatting>
  <conditionalFormatting sqref="F22">
    <cfRule type="expression" dxfId="808" priority="69">
      <formula>F20=0</formula>
    </cfRule>
  </conditionalFormatting>
  <conditionalFormatting sqref="H22">
    <cfRule type="expression" dxfId="807" priority="68">
      <formula>H20=0</formula>
    </cfRule>
  </conditionalFormatting>
  <conditionalFormatting sqref="I22">
    <cfRule type="expression" dxfId="806" priority="67">
      <formula>I20=0</formula>
    </cfRule>
  </conditionalFormatting>
  <conditionalFormatting sqref="J22">
    <cfRule type="expression" dxfId="805" priority="66">
      <formula>J20=0</formula>
    </cfRule>
  </conditionalFormatting>
  <conditionalFormatting sqref="K22">
    <cfRule type="expression" dxfId="804" priority="65">
      <formula>K20=0</formula>
    </cfRule>
  </conditionalFormatting>
  <conditionalFormatting sqref="L22">
    <cfRule type="expression" dxfId="803" priority="64">
      <formula>L20=0</formula>
    </cfRule>
  </conditionalFormatting>
  <conditionalFormatting sqref="M22">
    <cfRule type="expression" dxfId="802" priority="63">
      <formula>M20=0</formula>
    </cfRule>
  </conditionalFormatting>
  <conditionalFormatting sqref="N22">
    <cfRule type="expression" dxfId="801" priority="62">
      <formula>N20=0</formula>
    </cfRule>
  </conditionalFormatting>
  <conditionalFormatting sqref="O22">
    <cfRule type="expression" dxfId="800" priority="61">
      <formula>O20=0</formula>
    </cfRule>
  </conditionalFormatting>
  <conditionalFormatting sqref="P22">
    <cfRule type="expression" dxfId="799" priority="60">
      <formula>P20=0</formula>
    </cfRule>
  </conditionalFormatting>
  <conditionalFormatting sqref="C39">
    <cfRule type="expression" dxfId="798" priority="59">
      <formula>C38=0</formula>
    </cfRule>
  </conditionalFormatting>
  <conditionalFormatting sqref="E39">
    <cfRule type="expression" dxfId="797" priority="47">
      <formula>E38=0</formula>
    </cfRule>
  </conditionalFormatting>
  <conditionalFormatting sqref="F39">
    <cfRule type="expression" dxfId="796" priority="46">
      <formula>F38=0</formula>
    </cfRule>
  </conditionalFormatting>
  <conditionalFormatting sqref="H39">
    <cfRule type="expression" dxfId="795" priority="45">
      <formula>H38=0</formula>
    </cfRule>
  </conditionalFormatting>
  <conditionalFormatting sqref="I39">
    <cfRule type="expression" dxfId="794" priority="44">
      <formula>I38=0</formula>
    </cfRule>
  </conditionalFormatting>
  <conditionalFormatting sqref="J39">
    <cfRule type="expression" dxfId="793" priority="43">
      <formula>J38=0</formula>
    </cfRule>
  </conditionalFormatting>
  <conditionalFormatting sqref="K39">
    <cfRule type="expression" dxfId="792" priority="42">
      <formula>K38=0</formula>
    </cfRule>
  </conditionalFormatting>
  <conditionalFormatting sqref="L39">
    <cfRule type="expression" dxfId="791" priority="41">
      <formula>L38=0</formula>
    </cfRule>
  </conditionalFormatting>
  <conditionalFormatting sqref="M39">
    <cfRule type="expression" dxfId="790" priority="40">
      <formula>M38=0</formula>
    </cfRule>
  </conditionalFormatting>
  <conditionalFormatting sqref="N39">
    <cfRule type="expression" dxfId="789" priority="39">
      <formula>N38=0</formula>
    </cfRule>
  </conditionalFormatting>
  <conditionalFormatting sqref="O39">
    <cfRule type="expression" dxfId="788" priority="38">
      <formula>O38=0</formula>
    </cfRule>
  </conditionalFormatting>
  <conditionalFormatting sqref="P39">
    <cfRule type="expression" dxfId="787" priority="37">
      <formula>P38=0</formula>
    </cfRule>
  </conditionalFormatting>
  <conditionalFormatting sqref="E31:F31 H31:O31">
    <cfRule type="expression" priority="36" stopIfTrue="1">
      <formula>$C$23=" "</formula>
    </cfRule>
  </conditionalFormatting>
  <conditionalFormatting sqref="C30">
    <cfRule type="expression" dxfId="786" priority="24">
      <formula>C29=0</formula>
    </cfRule>
  </conditionalFormatting>
  <conditionalFormatting sqref="E30">
    <cfRule type="expression" dxfId="785" priority="23">
      <formula>E29=0</formula>
    </cfRule>
  </conditionalFormatting>
  <conditionalFormatting sqref="F30">
    <cfRule type="expression" dxfId="784" priority="22">
      <formula>F29=0</formula>
    </cfRule>
  </conditionalFormatting>
  <conditionalFormatting sqref="H30">
    <cfRule type="expression" dxfId="783" priority="21">
      <formula>H29=0</formula>
    </cfRule>
  </conditionalFormatting>
  <conditionalFormatting sqref="I30">
    <cfRule type="expression" dxfId="782" priority="20">
      <formula>I29=0</formula>
    </cfRule>
  </conditionalFormatting>
  <conditionalFormatting sqref="J30">
    <cfRule type="expression" dxfId="781" priority="19">
      <formula>J29=0</formula>
    </cfRule>
  </conditionalFormatting>
  <conditionalFormatting sqref="K30">
    <cfRule type="expression" dxfId="780" priority="18">
      <formula>K29=0</formula>
    </cfRule>
  </conditionalFormatting>
  <conditionalFormatting sqref="L30">
    <cfRule type="expression" dxfId="779" priority="17">
      <formula>L29=0</formula>
    </cfRule>
  </conditionalFormatting>
  <conditionalFormatting sqref="M30">
    <cfRule type="expression" dxfId="778" priority="16">
      <formula>M29=0</formula>
    </cfRule>
  </conditionalFormatting>
  <conditionalFormatting sqref="N30">
    <cfRule type="expression" dxfId="777" priority="15">
      <formula>N29=0</formula>
    </cfRule>
  </conditionalFormatting>
  <conditionalFormatting sqref="O30">
    <cfRule type="expression" dxfId="776" priority="14">
      <formula>O29=0</formula>
    </cfRule>
  </conditionalFormatting>
  <conditionalFormatting sqref="E49:F49 H49:O49">
    <cfRule type="expression" priority="13" stopIfTrue="1">
      <formula>$C$23=" "</formula>
    </cfRule>
  </conditionalFormatting>
  <conditionalFormatting sqref="C48">
    <cfRule type="expression" dxfId="775" priority="12">
      <formula>C47=0</formula>
    </cfRule>
  </conditionalFormatting>
  <conditionalFormatting sqref="E48">
    <cfRule type="expression" dxfId="774" priority="11">
      <formula>E47=0</formula>
    </cfRule>
  </conditionalFormatting>
  <conditionalFormatting sqref="F48">
    <cfRule type="expression" dxfId="773" priority="10">
      <formula>F47=0</formula>
    </cfRule>
  </conditionalFormatting>
  <conditionalFormatting sqref="H48">
    <cfRule type="expression" dxfId="772" priority="9">
      <formula>H47=0</formula>
    </cfRule>
  </conditionalFormatting>
  <conditionalFormatting sqref="I48">
    <cfRule type="expression" dxfId="771" priority="8">
      <formula>I47=0</formula>
    </cfRule>
  </conditionalFormatting>
  <conditionalFormatting sqref="J48">
    <cfRule type="expression" dxfId="770" priority="7">
      <formula>J47=0</formula>
    </cfRule>
  </conditionalFormatting>
  <conditionalFormatting sqref="K48">
    <cfRule type="expression" dxfId="769" priority="6">
      <formula>K47=0</formula>
    </cfRule>
  </conditionalFormatting>
  <conditionalFormatting sqref="L48">
    <cfRule type="expression" dxfId="768" priority="5">
      <formula>L47=0</formula>
    </cfRule>
  </conditionalFormatting>
  <conditionalFormatting sqref="M48">
    <cfRule type="expression" dxfId="767" priority="4">
      <formula>M47=0</formula>
    </cfRule>
  </conditionalFormatting>
  <conditionalFormatting sqref="N48">
    <cfRule type="expression" dxfId="766" priority="3">
      <formula>N47=0</formula>
    </cfRule>
  </conditionalFormatting>
  <conditionalFormatting sqref="O48">
    <cfRule type="expression" dxfId="765" priority="2">
      <formula>O47=0</formula>
    </cfRule>
  </conditionalFormatting>
  <conditionalFormatting sqref="P48">
    <cfRule type="expression" dxfId="764" priority="1">
      <formula>P47=0</formula>
    </cfRule>
  </conditionalFormatting>
  <dataValidations xWindow="141" yWindow="427" count="6">
    <dataValidation allowBlank="1" showInputMessage="1" showErrorMessage="1" promptTitle="Conseil : soyez réaliste !" prompt="Evitez le piège de prévisions de ventes trop optimistes : après 2 ans d'activité, le chiffre d'affaires réel ne représente en général que 60 à 70% du chiffre prévu." sqref="F8:G8" xr:uid="{00000000-0002-0000-0400-000000000000}"/>
    <dataValidation allowBlank="1" showInputMessage="1" showErrorMessage="1" promptTitle="Conseil : soyez réaliste !" prompt="Evitez le piège de prévisions de ventes trop optimistes : 90% des créateurs d'entreprise ne réalisent pas leurs prévisions la 1ère année." sqref="C8:D8" xr:uid="{00000000-0002-0000-0400-000001000000}"/>
    <dataValidation allowBlank="1" showInputMessage="1" showErrorMessage="1" sqref="H16 J11:J14 K5 J9 E16 B16" xr:uid="{00000000-0002-0000-0400-000002000000}"/>
    <dataValidation allowBlank="1" showInputMessage="1" showErrorMessage="1" prompt="n'inscrire qu'un chiffre dans cette case._x000a_Ex : 6, 12, 18, etc_x000a_Maxi : 23_x000a_" sqref="B8" xr:uid="{00000000-0002-0000-0400-000003000000}"/>
    <dataValidation allowBlank="1" showInputMessage="1" showErrorMessage="1" prompt="n'inscrire qu'un chiffre dans cette case._x000a_" sqref="E8 H8" xr:uid="{00000000-0002-0000-0400-000004000000}"/>
    <dataValidation type="list" allowBlank="1" showInputMessage="1" showErrorMessage="1" sqref="N18" xr:uid="{00000000-0002-0000-0400-000005000000}">
      <formula1>$B$19:$M$19</formula1>
    </dataValidation>
  </dataValidations>
  <hyperlinks>
    <hyperlink ref="B3" location="Comprendre!B3" display="pour en savoir plus" xr:uid="{00000000-0004-0000-0400-000000000000}"/>
    <hyperlink ref="B3:C3" location="Comprendre!B4" display="pour en savoir plus" xr:uid="{00000000-0004-0000-0400-000001000000}"/>
  </hyperlinks>
  <printOptions horizontalCentered="1"/>
  <pageMargins left="0" right="0" top="0" bottom="0" header="0" footer="0"/>
  <pageSetup paperSize="9" scale="61" orientation="portrait" r:id="rId1"/>
  <headerFooter alignWithMargins="0"/>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FFC000"/>
    <pageSetUpPr fitToPage="1"/>
  </sheetPr>
  <dimension ref="A1:X141"/>
  <sheetViews>
    <sheetView showGridLines="0" showRowColHeaders="0" zoomScaleNormal="100" workbookViewId="0">
      <pane ySplit="8" topLeftCell="A9" activePane="bottomLeft" state="frozenSplit"/>
      <selection pane="bottomLeft" activeCell="Q59" sqref="Q59:R59"/>
    </sheetView>
  </sheetViews>
  <sheetFormatPr baseColWidth="10" defaultColWidth="10.77734375" defaultRowHeight="13.8" x14ac:dyDescent="0.3"/>
  <cols>
    <col min="1" max="1" width="1.77734375" style="14" customWidth="1"/>
    <col min="2" max="2" width="18.77734375" style="14" customWidth="1"/>
    <col min="3" max="3" width="25.77734375" style="14" customWidth="1"/>
    <col min="4" max="4" width="14.77734375" style="14" customWidth="1"/>
    <col min="5" max="5" width="20.77734375" style="14" customWidth="1"/>
    <col min="6" max="6" width="11.33203125" style="211" customWidth="1"/>
    <col min="7" max="7" width="11.77734375" style="14" customWidth="1"/>
    <col min="8" max="9" width="8.77734375" style="14" customWidth="1"/>
    <col min="10" max="10" width="0.6640625" style="15" customWidth="1"/>
    <col min="11" max="11" width="15.77734375" style="209" customWidth="1"/>
    <col min="12" max="12" width="8.77734375" style="210" customWidth="1"/>
    <col min="13" max="13" width="9.77734375" style="210" customWidth="1"/>
    <col min="14" max="15" width="8.33203125" style="209" customWidth="1"/>
    <col min="16" max="16" width="0.6640625" style="210" customWidth="1"/>
    <col min="17" max="20" width="8.33203125" style="209" customWidth="1"/>
    <col min="21" max="21" width="1.77734375" style="14" customWidth="1"/>
    <col min="22" max="22" width="4.33203125" style="14" customWidth="1"/>
    <col min="23" max="23" width="15.44140625" style="14" customWidth="1"/>
    <col min="24" max="24" width="15.33203125" style="338" customWidth="1"/>
    <col min="25" max="16384" width="10.77734375" style="14"/>
  </cols>
  <sheetData>
    <row r="1" spans="1:24" ht="6" customHeight="1" x14ac:dyDescent="0.3"/>
    <row r="2" spans="1:24" s="205" customFormat="1" ht="21.9" customHeight="1" x14ac:dyDescent="0.3">
      <c r="B2" s="2692" t="str">
        <f>IF(ISBLANK(dossier)," ",dossier)</f>
        <v xml:space="preserve"> </v>
      </c>
      <c r="C2" s="2693"/>
      <c r="D2" s="2694" t="s">
        <v>781</v>
      </c>
      <c r="E2" s="2695"/>
      <c r="F2" s="2695"/>
      <c r="G2" s="2695"/>
      <c r="H2" s="2695"/>
      <c r="I2" s="2695"/>
      <c r="J2" s="2695"/>
      <c r="K2" s="2695"/>
      <c r="L2" s="2695"/>
      <c r="M2" s="2695"/>
      <c r="N2" s="2695"/>
      <c r="O2" s="2695"/>
      <c r="P2" s="2695"/>
      <c r="Q2" s="2695"/>
      <c r="R2" s="2695"/>
      <c r="S2" s="2695"/>
      <c r="T2" s="2696"/>
      <c r="V2" s="3"/>
      <c r="X2" s="523"/>
    </row>
    <row r="4" spans="1:24" ht="20.100000000000001" customHeight="1" x14ac:dyDescent="0.3">
      <c r="A4" s="646"/>
      <c r="B4" s="2538" t="s">
        <v>706</v>
      </c>
      <c r="C4" s="2539"/>
      <c r="D4" s="2540" t="s">
        <v>707</v>
      </c>
      <c r="E4" s="2540"/>
      <c r="F4" s="2540"/>
      <c r="G4" s="2538" t="s">
        <v>708</v>
      </c>
      <c r="H4" s="2539"/>
      <c r="I4" s="2539"/>
      <c r="J4" s="2539"/>
      <c r="K4" s="2539"/>
      <c r="L4" s="2545" t="s">
        <v>215</v>
      </c>
      <c r="M4" s="2546"/>
      <c r="O4" s="323"/>
    </row>
    <row r="5" spans="1:24" ht="6" customHeight="1" x14ac:dyDescent="0.3">
      <c r="A5" s="646"/>
      <c r="B5" s="646"/>
      <c r="C5" s="646"/>
      <c r="D5" s="646"/>
      <c r="E5" s="646"/>
      <c r="F5" s="710"/>
      <c r="G5" s="646"/>
      <c r="H5" s="646"/>
      <c r="I5" s="646"/>
      <c r="J5" s="467"/>
      <c r="K5" s="711"/>
    </row>
    <row r="6" spans="1:24" s="396" customFormat="1" ht="21.9" customHeight="1" x14ac:dyDescent="0.3">
      <c r="B6" s="2551" t="s">
        <v>4</v>
      </c>
      <c r="C6" s="2704" t="s">
        <v>93</v>
      </c>
      <c r="D6" s="2704"/>
      <c r="E6" s="2704"/>
      <c r="F6" s="2542" t="s">
        <v>408</v>
      </c>
      <c r="G6" s="2555" t="s">
        <v>496</v>
      </c>
      <c r="H6" s="2621" t="s">
        <v>818</v>
      </c>
      <c r="I6" s="2622"/>
      <c r="J6" s="475"/>
      <c r="K6" s="2489" t="s">
        <v>1036</v>
      </c>
      <c r="L6" s="2490"/>
      <c r="M6" s="2490"/>
      <c r="N6" s="2490"/>
      <c r="O6" s="2491"/>
      <c r="P6" s="528"/>
      <c r="Q6" s="2499" t="s">
        <v>1037</v>
      </c>
      <c r="R6" s="2500"/>
      <c r="S6" s="2468" t="s">
        <v>1038</v>
      </c>
      <c r="T6" s="2469"/>
      <c r="V6" s="263"/>
      <c r="X6" s="465"/>
    </row>
    <row r="7" spans="1:24" s="388" customFormat="1" ht="30" customHeight="1" x14ac:dyDescent="0.3">
      <c r="B7" s="2552"/>
      <c r="C7" s="2705"/>
      <c r="D7" s="2705"/>
      <c r="E7" s="2705"/>
      <c r="F7" s="2543"/>
      <c r="G7" s="2556"/>
      <c r="H7" s="2623"/>
      <c r="I7" s="2624"/>
      <c r="J7" s="476"/>
      <c r="K7" s="1508" t="s">
        <v>497</v>
      </c>
      <c r="L7" s="2528" t="s">
        <v>204</v>
      </c>
      <c r="M7" s="2529"/>
      <c r="N7" s="2492" t="s">
        <v>485</v>
      </c>
      <c r="O7" s="2493"/>
      <c r="P7" s="215"/>
      <c r="Q7" s="2472" t="s">
        <v>486</v>
      </c>
      <c r="R7" s="2473"/>
      <c r="S7" s="2479" t="s">
        <v>486</v>
      </c>
      <c r="T7" s="2480"/>
      <c r="V7" s="389"/>
      <c r="W7" s="396"/>
      <c r="X7" s="477"/>
    </row>
    <row r="8" spans="1:24" s="35" customFormat="1" ht="9" customHeight="1" x14ac:dyDescent="0.3">
      <c r="B8" s="41"/>
      <c r="C8" s="216"/>
      <c r="D8" s="217"/>
      <c r="E8" s="217"/>
      <c r="F8" s="18"/>
      <c r="G8" s="214"/>
      <c r="H8" s="214"/>
      <c r="I8" s="214"/>
      <c r="J8" s="214"/>
      <c r="K8" s="218"/>
      <c r="L8" s="2498"/>
      <c r="M8" s="2498"/>
      <c r="N8" s="2498"/>
      <c r="O8" s="2498"/>
      <c r="P8" s="215"/>
      <c r="Q8" s="219"/>
      <c r="R8" s="219"/>
      <c r="S8" s="219"/>
      <c r="T8" s="219"/>
      <c r="W8" s="14"/>
      <c r="X8" s="339"/>
    </row>
    <row r="9" spans="1:24" s="35" customFormat="1" ht="24.9" customHeight="1" x14ac:dyDescent="0.3">
      <c r="B9" s="2301" t="s">
        <v>615</v>
      </c>
      <c r="C9" s="2302"/>
      <c r="D9" s="2302"/>
      <c r="E9" s="2302"/>
      <c r="F9" s="2302"/>
      <c r="G9" s="2302"/>
      <c r="H9" s="2302"/>
      <c r="I9" s="2303"/>
      <c r="J9" s="897"/>
      <c r="K9" s="897"/>
      <c r="L9" s="897"/>
      <c r="M9" s="897"/>
      <c r="N9" s="897"/>
      <c r="O9" s="897"/>
      <c r="P9" s="897"/>
      <c r="Q9" s="897"/>
      <c r="R9" s="897"/>
      <c r="S9" s="897"/>
      <c r="T9" s="897"/>
      <c r="X9" s="339"/>
    </row>
    <row r="10" spans="1:24" s="35" customFormat="1" ht="3" customHeight="1" x14ac:dyDescent="0.3">
      <c r="B10" s="896"/>
      <c r="C10" s="883"/>
      <c r="D10" s="217"/>
      <c r="E10" s="217"/>
      <c r="F10" s="18"/>
      <c r="G10" s="214"/>
      <c r="H10" s="214"/>
      <c r="I10" s="214"/>
      <c r="J10" s="214"/>
      <c r="K10" s="218"/>
      <c r="L10" s="218"/>
      <c r="M10" s="218"/>
      <c r="N10" s="218"/>
      <c r="O10" s="218"/>
      <c r="P10" s="215"/>
      <c r="Q10" s="219"/>
      <c r="R10" s="219"/>
      <c r="S10" s="219"/>
      <c r="T10" s="219"/>
      <c r="X10" s="339"/>
    </row>
    <row r="11" spans="1:24" ht="20.100000000000001" customHeight="1" x14ac:dyDescent="0.3">
      <c r="B11" s="2553" t="s">
        <v>710</v>
      </c>
      <c r="C11" s="460" t="s">
        <v>352</v>
      </c>
      <c r="D11" s="713" t="s">
        <v>709</v>
      </c>
      <c r="E11" s="461"/>
      <c r="F11" s="531"/>
      <c r="G11" s="445"/>
      <c r="H11" s="2625"/>
      <c r="I11" s="2312"/>
      <c r="J11" s="410"/>
      <c r="K11" s="448"/>
      <c r="L11" s="2487"/>
      <c r="M11" s="2488"/>
      <c r="N11" s="2474">
        <f t="shared" ref="N11:N28" si="0">K11+L11</f>
        <v>0</v>
      </c>
      <c r="O11" s="2475"/>
      <c r="P11" s="220"/>
      <c r="Q11" s="2352"/>
      <c r="R11" s="2353"/>
      <c r="S11" s="2352"/>
      <c r="T11" s="2353"/>
      <c r="V11" s="15"/>
      <c r="W11" s="35"/>
      <c r="X11" s="338">
        <f>IF(G11="nature",K11,0)</f>
        <v>0</v>
      </c>
    </row>
    <row r="12" spans="1:24" ht="20.100000000000001" customHeight="1" x14ac:dyDescent="0.3">
      <c r="B12" s="2703"/>
      <c r="C12" s="446" t="s">
        <v>353</v>
      </c>
      <c r="D12" s="714" t="s">
        <v>709</v>
      </c>
      <c r="E12" s="462"/>
      <c r="F12" s="533"/>
      <c r="G12" s="447"/>
      <c r="H12" s="2317"/>
      <c r="I12" s="2316"/>
      <c r="J12" s="13"/>
      <c r="K12" s="452"/>
      <c r="L12" s="2494"/>
      <c r="M12" s="2495"/>
      <c r="N12" s="2496">
        <f t="shared" si="0"/>
        <v>0</v>
      </c>
      <c r="O12" s="2497"/>
      <c r="P12" s="220"/>
      <c r="Q12" s="2363"/>
      <c r="R12" s="2364"/>
      <c r="S12" s="2363"/>
      <c r="T12" s="2364"/>
      <c r="V12" s="15"/>
      <c r="W12" s="35"/>
      <c r="X12" s="338">
        <f t="shared" ref="X12:X38" si="1">IF(G12="nature",K12,0)</f>
        <v>0</v>
      </c>
    </row>
    <row r="13" spans="1:24" ht="20.100000000000001" customHeight="1" x14ac:dyDescent="0.3">
      <c r="B13" s="2553" t="s">
        <v>711</v>
      </c>
      <c r="C13" s="2604"/>
      <c r="D13" s="2604"/>
      <c r="E13" s="2604"/>
      <c r="F13" s="531"/>
      <c r="G13" s="445"/>
      <c r="H13" s="2311"/>
      <c r="I13" s="2312"/>
      <c r="J13" s="34"/>
      <c r="K13" s="448"/>
      <c r="L13" s="2487"/>
      <c r="M13" s="2488"/>
      <c r="N13" s="2474">
        <f t="shared" ref="N13:N14" si="2">K13+L13</f>
        <v>0</v>
      </c>
      <c r="O13" s="2475"/>
      <c r="P13" s="220"/>
      <c r="Q13" s="2352"/>
      <c r="R13" s="2562"/>
      <c r="S13" s="2485"/>
      <c r="T13" s="2353"/>
      <c r="V13" s="15"/>
      <c r="W13" s="35"/>
      <c r="X13" s="338">
        <f t="shared" si="1"/>
        <v>0</v>
      </c>
    </row>
    <row r="14" spans="1:24" ht="20.100000000000001" customHeight="1" x14ac:dyDescent="0.3">
      <c r="B14" s="2554"/>
      <c r="C14" s="2557"/>
      <c r="D14" s="2558"/>
      <c r="E14" s="2565"/>
      <c r="F14" s="532"/>
      <c r="G14" s="442"/>
      <c r="H14" s="2313"/>
      <c r="I14" s="2314"/>
      <c r="J14" s="410"/>
      <c r="K14" s="451"/>
      <c r="L14" s="2573"/>
      <c r="M14" s="2614"/>
      <c r="N14" s="2615">
        <f t="shared" si="2"/>
        <v>0</v>
      </c>
      <c r="O14" s="2616"/>
      <c r="P14" s="220"/>
      <c r="Q14" s="2617"/>
      <c r="R14" s="2618"/>
      <c r="S14" s="2617"/>
      <c r="T14" s="2618"/>
      <c r="V14" s="15"/>
      <c r="W14" s="35"/>
    </row>
    <row r="15" spans="1:24" ht="20.100000000000001" customHeight="1" x14ac:dyDescent="0.3">
      <c r="B15" s="2703"/>
      <c r="C15" s="2544"/>
      <c r="D15" s="2544"/>
      <c r="E15" s="2544"/>
      <c r="F15" s="533"/>
      <c r="G15" s="447"/>
      <c r="H15" s="2317"/>
      <c r="I15" s="2316"/>
      <c r="J15" s="410"/>
      <c r="K15" s="454"/>
      <c r="L15" s="2549"/>
      <c r="M15" s="2550"/>
      <c r="N15" s="2626">
        <f t="shared" si="0"/>
        <v>0</v>
      </c>
      <c r="O15" s="2627"/>
      <c r="P15" s="220"/>
      <c r="Q15" s="2483"/>
      <c r="R15" s="2484"/>
      <c r="S15" s="2483"/>
      <c r="T15" s="2484"/>
      <c r="V15" s="15"/>
      <c r="W15" s="35"/>
      <c r="X15" s="338">
        <f t="shared" si="1"/>
        <v>0</v>
      </c>
    </row>
    <row r="16" spans="1:24" ht="20.100000000000001" customHeight="1" x14ac:dyDescent="0.3">
      <c r="B16" s="2553" t="s">
        <v>727</v>
      </c>
      <c r="C16" s="2604"/>
      <c r="D16" s="2604"/>
      <c r="E16" s="2604"/>
      <c r="F16" s="531"/>
      <c r="G16" s="445"/>
      <c r="H16" s="2311"/>
      <c r="I16" s="2312"/>
      <c r="J16" s="34"/>
      <c r="K16" s="453"/>
      <c r="L16" s="2619"/>
      <c r="M16" s="2620"/>
      <c r="N16" s="2481">
        <f t="shared" si="0"/>
        <v>0</v>
      </c>
      <c r="O16" s="2482"/>
      <c r="P16" s="220"/>
      <c r="Q16" s="2563"/>
      <c r="R16" s="2564"/>
      <c r="S16" s="2563"/>
      <c r="T16" s="2564"/>
      <c r="V16" s="15"/>
      <c r="W16" s="35"/>
      <c r="X16" s="338">
        <f t="shared" si="1"/>
        <v>0</v>
      </c>
    </row>
    <row r="17" spans="2:24" ht="20.100000000000001" customHeight="1" x14ac:dyDescent="0.3">
      <c r="B17" s="2554"/>
      <c r="C17" s="2557"/>
      <c r="D17" s="2558"/>
      <c r="E17" s="2565"/>
      <c r="F17" s="532"/>
      <c r="G17" s="442"/>
      <c r="H17" s="2313"/>
      <c r="I17" s="2314"/>
      <c r="J17" s="410"/>
      <c r="K17" s="451"/>
      <c r="L17" s="2573"/>
      <c r="M17" s="2614"/>
      <c r="N17" s="2615">
        <f t="shared" si="0"/>
        <v>0</v>
      </c>
      <c r="O17" s="2616"/>
      <c r="P17" s="220"/>
      <c r="Q17" s="2617"/>
      <c r="R17" s="2618"/>
      <c r="S17" s="2617"/>
      <c r="T17" s="2618"/>
      <c r="V17" s="15"/>
      <c r="W17" s="35"/>
      <c r="X17" s="338">
        <f t="shared" si="1"/>
        <v>0</v>
      </c>
    </row>
    <row r="18" spans="2:24" ht="20.100000000000001" customHeight="1" x14ac:dyDescent="0.3">
      <c r="B18" s="2703"/>
      <c r="C18" s="2544"/>
      <c r="D18" s="2544"/>
      <c r="E18" s="2544"/>
      <c r="F18" s="533"/>
      <c r="G18" s="447"/>
      <c r="H18" s="2317"/>
      <c r="I18" s="2316"/>
      <c r="J18" s="410"/>
      <c r="K18" s="454"/>
      <c r="L18" s="2549"/>
      <c r="M18" s="2550"/>
      <c r="N18" s="2626">
        <f t="shared" si="0"/>
        <v>0</v>
      </c>
      <c r="O18" s="2627"/>
      <c r="P18" s="220"/>
      <c r="Q18" s="2483"/>
      <c r="R18" s="2484"/>
      <c r="S18" s="2483"/>
      <c r="T18" s="2484"/>
      <c r="V18" s="15"/>
      <c r="W18" s="35"/>
      <c r="X18" s="338">
        <f t="shared" si="1"/>
        <v>0</v>
      </c>
    </row>
    <row r="19" spans="2:24" ht="20.100000000000001" customHeight="1" x14ac:dyDescent="0.3">
      <c r="B19" s="2553" t="s">
        <v>712</v>
      </c>
      <c r="C19" s="2603"/>
      <c r="D19" s="2603"/>
      <c r="E19" s="2603"/>
      <c r="F19" s="534"/>
      <c r="G19" s="444"/>
      <c r="H19" s="2311"/>
      <c r="I19" s="2312"/>
      <c r="J19" s="34"/>
      <c r="K19" s="453"/>
      <c r="L19" s="2619"/>
      <c r="M19" s="2620"/>
      <c r="N19" s="2481">
        <f t="shared" si="0"/>
        <v>0</v>
      </c>
      <c r="O19" s="2482"/>
      <c r="P19" s="220"/>
      <c r="Q19" s="2563"/>
      <c r="R19" s="2564"/>
      <c r="S19" s="2563"/>
      <c r="T19" s="2564"/>
      <c r="V19" s="15"/>
      <c r="W19" s="35"/>
      <c r="X19" s="338">
        <f t="shared" si="1"/>
        <v>0</v>
      </c>
    </row>
    <row r="20" spans="2:24" ht="20.100000000000001" customHeight="1" x14ac:dyDescent="0.3">
      <c r="B20" s="2554"/>
      <c r="C20" s="2557"/>
      <c r="D20" s="2558"/>
      <c r="E20" s="2565"/>
      <c r="F20" s="532"/>
      <c r="G20" s="442"/>
      <c r="H20" s="2313"/>
      <c r="I20" s="2314"/>
      <c r="J20" s="410"/>
      <c r="K20" s="451"/>
      <c r="L20" s="2573"/>
      <c r="M20" s="2614"/>
      <c r="N20" s="2615">
        <f t="shared" ref="N20" si="3">K20+L20</f>
        <v>0</v>
      </c>
      <c r="O20" s="2616"/>
      <c r="P20" s="220"/>
      <c r="Q20" s="2617"/>
      <c r="R20" s="2618"/>
      <c r="S20" s="2617"/>
      <c r="T20" s="2618"/>
      <c r="V20" s="15"/>
      <c r="W20" s="35"/>
      <c r="X20" s="338">
        <f t="shared" ref="X20" si="4">IF(G20="nature",K20,0)</f>
        <v>0</v>
      </c>
    </row>
    <row r="21" spans="2:24" ht="20.100000000000001" customHeight="1" x14ac:dyDescent="0.3">
      <c r="B21" s="2703"/>
      <c r="C21" s="2613"/>
      <c r="D21" s="2613"/>
      <c r="E21" s="2613"/>
      <c r="F21" s="535"/>
      <c r="G21" s="443"/>
      <c r="H21" s="2317"/>
      <c r="I21" s="2316"/>
      <c r="J21" s="410"/>
      <c r="K21" s="452"/>
      <c r="L21" s="2494"/>
      <c r="M21" s="2495"/>
      <c r="N21" s="2496">
        <f t="shared" si="0"/>
        <v>0</v>
      </c>
      <c r="O21" s="2497"/>
      <c r="P21" s="220"/>
      <c r="Q21" s="2363"/>
      <c r="R21" s="2364"/>
      <c r="S21" s="2363"/>
      <c r="T21" s="2364"/>
      <c r="V21" s="15"/>
      <c r="W21" s="35"/>
      <c r="X21" s="338">
        <f t="shared" si="1"/>
        <v>0</v>
      </c>
    </row>
    <row r="22" spans="2:24" ht="20.100000000000001" customHeight="1" x14ac:dyDescent="0.3">
      <c r="B22" s="2553" t="s">
        <v>713</v>
      </c>
      <c r="C22" s="2604"/>
      <c r="D22" s="2604"/>
      <c r="E22" s="2604"/>
      <c r="F22" s="531"/>
      <c r="G22" s="445"/>
      <c r="H22" s="2311"/>
      <c r="I22" s="2312"/>
      <c r="J22" s="34"/>
      <c r="K22" s="448"/>
      <c r="L22" s="2487"/>
      <c r="M22" s="2488"/>
      <c r="N22" s="2474">
        <f t="shared" si="0"/>
        <v>0</v>
      </c>
      <c r="O22" s="2475"/>
      <c r="P22" s="220"/>
      <c r="Q22" s="2352"/>
      <c r="R22" s="2353"/>
      <c r="S22" s="2352"/>
      <c r="T22" s="2353"/>
      <c r="V22" s="15"/>
      <c r="W22" s="35"/>
      <c r="X22" s="338">
        <f t="shared" si="1"/>
        <v>0</v>
      </c>
    </row>
    <row r="23" spans="2:24" ht="20.100000000000001" customHeight="1" x14ac:dyDescent="0.3">
      <c r="B23" s="2554"/>
      <c r="C23" s="2557"/>
      <c r="D23" s="2558"/>
      <c r="E23" s="2565"/>
      <c r="F23" s="532"/>
      <c r="G23" s="442"/>
      <c r="H23" s="2313"/>
      <c r="I23" s="2314"/>
      <c r="J23" s="410"/>
      <c r="K23" s="451"/>
      <c r="L23" s="2573"/>
      <c r="M23" s="2614"/>
      <c r="N23" s="2615">
        <f t="shared" si="0"/>
        <v>0</v>
      </c>
      <c r="O23" s="2616"/>
      <c r="P23" s="220"/>
      <c r="Q23" s="2617"/>
      <c r="R23" s="2618"/>
      <c r="S23" s="2617"/>
      <c r="T23" s="2618"/>
      <c r="V23" s="15"/>
      <c r="W23" s="35"/>
      <c r="X23" s="338">
        <f t="shared" si="1"/>
        <v>0</v>
      </c>
    </row>
    <row r="24" spans="2:24" ht="20.100000000000001" customHeight="1" x14ac:dyDescent="0.3">
      <c r="B24" s="2703"/>
      <c r="C24" s="2544"/>
      <c r="D24" s="2544"/>
      <c r="E24" s="2544"/>
      <c r="F24" s="533"/>
      <c r="G24" s="447"/>
      <c r="H24" s="2317"/>
      <c r="I24" s="2316"/>
      <c r="J24" s="410"/>
      <c r="K24" s="454"/>
      <c r="L24" s="2549"/>
      <c r="M24" s="2550"/>
      <c r="N24" s="2626">
        <f t="shared" si="0"/>
        <v>0</v>
      </c>
      <c r="O24" s="2627"/>
      <c r="P24" s="220"/>
      <c r="Q24" s="2483"/>
      <c r="R24" s="2484"/>
      <c r="S24" s="2483"/>
      <c r="T24" s="2484"/>
      <c r="V24" s="15"/>
      <c r="W24" s="35"/>
      <c r="X24" s="338">
        <f t="shared" si="1"/>
        <v>0</v>
      </c>
    </row>
    <row r="25" spans="2:24" ht="20.100000000000001" customHeight="1" x14ac:dyDescent="0.3">
      <c r="B25" s="2553" t="s">
        <v>714</v>
      </c>
      <c r="C25" s="2603"/>
      <c r="D25" s="2603"/>
      <c r="E25" s="2603"/>
      <c r="F25" s="534"/>
      <c r="G25" s="444"/>
      <c r="H25" s="2311"/>
      <c r="I25" s="2312"/>
      <c r="J25" s="34"/>
      <c r="K25" s="450"/>
      <c r="L25" s="2619"/>
      <c r="M25" s="2620"/>
      <c r="N25" s="2481">
        <f t="shared" si="0"/>
        <v>0</v>
      </c>
      <c r="O25" s="2482"/>
      <c r="P25" s="220"/>
      <c r="Q25" s="2563"/>
      <c r="R25" s="2564"/>
      <c r="S25" s="2563"/>
      <c r="T25" s="2564"/>
      <c r="V25" s="15"/>
      <c r="W25" s="35"/>
      <c r="X25" s="338">
        <f t="shared" si="1"/>
        <v>0</v>
      </c>
    </row>
    <row r="26" spans="2:24" ht="20.100000000000001" customHeight="1" x14ac:dyDescent="0.3">
      <c r="B26" s="2554"/>
      <c r="C26" s="2557"/>
      <c r="D26" s="2558"/>
      <c r="E26" s="2565"/>
      <c r="F26" s="532"/>
      <c r="G26" s="442"/>
      <c r="H26" s="2313"/>
      <c r="I26" s="2314"/>
      <c r="J26" s="410"/>
      <c r="K26" s="451"/>
      <c r="L26" s="2573"/>
      <c r="M26" s="2614"/>
      <c r="N26" s="2615">
        <f t="shared" ref="N26" si="5">K26+L26</f>
        <v>0</v>
      </c>
      <c r="O26" s="2616"/>
      <c r="P26" s="220"/>
      <c r="Q26" s="2617"/>
      <c r="R26" s="2618"/>
      <c r="S26" s="2617"/>
      <c r="T26" s="2618"/>
      <c r="V26" s="15"/>
      <c r="W26" s="35"/>
      <c r="X26" s="338">
        <f t="shared" ref="X26" si="6">IF(G26="nature",K26,0)</f>
        <v>0</v>
      </c>
    </row>
    <row r="27" spans="2:24" ht="20.100000000000001" customHeight="1" x14ac:dyDescent="0.3">
      <c r="B27" s="2554"/>
      <c r="C27" s="2613"/>
      <c r="D27" s="2613"/>
      <c r="E27" s="2613"/>
      <c r="F27" s="535"/>
      <c r="G27" s="443"/>
      <c r="H27" s="2317"/>
      <c r="I27" s="2316"/>
      <c r="J27" s="410"/>
      <c r="K27" s="449"/>
      <c r="L27" s="2494"/>
      <c r="M27" s="2495"/>
      <c r="N27" s="2496">
        <f t="shared" si="0"/>
        <v>0</v>
      </c>
      <c r="O27" s="2497"/>
      <c r="P27" s="220"/>
      <c r="Q27" s="2363"/>
      <c r="R27" s="2364"/>
      <c r="S27" s="2363"/>
      <c r="T27" s="2364"/>
      <c r="V27" s="15"/>
      <c r="W27" s="35"/>
      <c r="X27" s="338">
        <f t="shared" si="1"/>
        <v>0</v>
      </c>
    </row>
    <row r="28" spans="2:24" s="416" customFormat="1" ht="24.9" customHeight="1" x14ac:dyDescent="0.3">
      <c r="B28" s="2334" t="s">
        <v>715</v>
      </c>
      <c r="C28" s="2643"/>
      <c r="D28" s="2643"/>
      <c r="E28" s="2643"/>
      <c r="F28" s="2643"/>
      <c r="G28" s="2643"/>
      <c r="H28" s="2643"/>
      <c r="I28" s="2336"/>
      <c r="J28" s="413"/>
      <c r="K28" s="998">
        <f>SUM(K11:K27)</f>
        <v>0</v>
      </c>
      <c r="L28" s="2574">
        <f>SUM(L11:L27)</f>
        <v>0</v>
      </c>
      <c r="M28" s="2575">
        <f>SUM(M11:M27)</f>
        <v>0</v>
      </c>
      <c r="N28" s="2470">
        <f t="shared" si="0"/>
        <v>0</v>
      </c>
      <c r="O28" s="2471"/>
      <c r="P28" s="414"/>
      <c r="Q28" s="2354">
        <f>SUM(Q11:Q27)</f>
        <v>0</v>
      </c>
      <c r="R28" s="2355">
        <f>SUM(R11:R27)</f>
        <v>0</v>
      </c>
      <c r="S28" s="2354">
        <f>SUM(S11:S27)</f>
        <v>0</v>
      </c>
      <c r="T28" s="2355">
        <f>SUM(T11:T27)</f>
        <v>0</v>
      </c>
      <c r="U28" s="395"/>
      <c r="V28" s="413"/>
      <c r="W28" s="413"/>
      <c r="X28" s="415">
        <f t="shared" si="1"/>
        <v>0</v>
      </c>
    </row>
    <row r="29" spans="2:24" s="345" customFormat="1" ht="6" customHeight="1" x14ac:dyDescent="0.25">
      <c r="F29" s="346"/>
      <c r="H29" s="411" t="str">
        <f>IF(ISERROR(AVERAGE(H27:H28))," ",AVERAGE(H27:H28))</f>
        <v xml:space="preserve"> </v>
      </c>
      <c r="I29" s="411"/>
      <c r="J29" s="347"/>
      <c r="K29" s="348"/>
      <c r="M29" s="349"/>
      <c r="O29" s="350"/>
      <c r="P29" s="351"/>
      <c r="Q29" s="344"/>
      <c r="R29" s="350"/>
      <c r="T29" s="344"/>
      <c r="U29" s="707"/>
      <c r="V29" s="708"/>
      <c r="W29" s="347"/>
      <c r="X29" s="352">
        <f>IF(G29="nature",K29,0)</f>
        <v>0</v>
      </c>
    </row>
    <row r="30" spans="2:24" ht="20.100000000000001" customHeight="1" x14ac:dyDescent="0.3">
      <c r="B30" s="2319" t="s">
        <v>716</v>
      </c>
      <c r="C30" s="2541" t="s">
        <v>885</v>
      </c>
      <c r="D30" s="2541"/>
      <c r="E30" s="2541"/>
      <c r="F30" s="531"/>
      <c r="G30" s="445"/>
      <c r="H30" s="2311"/>
      <c r="I30" s="2312"/>
      <c r="J30" s="410"/>
      <c r="K30" s="448"/>
      <c r="L30" s="2487"/>
      <c r="M30" s="2488"/>
      <c r="N30" s="2474">
        <f t="shared" ref="N30:N39" si="7">K30+L30</f>
        <v>0</v>
      </c>
      <c r="O30" s="2475"/>
      <c r="P30" s="412"/>
      <c r="Q30" s="2352"/>
      <c r="R30" s="2353"/>
      <c r="S30" s="2352"/>
      <c r="T30" s="2353"/>
      <c r="V30" s="15"/>
      <c r="W30" s="35"/>
      <c r="X30" s="338">
        <f t="shared" si="1"/>
        <v>0</v>
      </c>
    </row>
    <row r="31" spans="2:24" ht="20.100000000000001" customHeight="1" x14ac:dyDescent="0.3">
      <c r="B31" s="2697"/>
      <c r="C31" s="2327" t="s">
        <v>886</v>
      </c>
      <c r="D31" s="2328"/>
      <c r="E31" s="2329"/>
      <c r="F31" s="532"/>
      <c r="G31" s="442"/>
      <c r="H31" s="2313"/>
      <c r="I31" s="2314"/>
      <c r="J31" s="410"/>
      <c r="K31" s="451"/>
      <c r="L31" s="2572"/>
      <c r="M31" s="2573"/>
      <c r="N31" s="2476">
        <f t="shared" si="7"/>
        <v>0</v>
      </c>
      <c r="O31" s="2477"/>
      <c r="P31" s="412"/>
      <c r="Q31" s="2356"/>
      <c r="R31" s="2357"/>
      <c r="S31" s="2356"/>
      <c r="T31" s="2357"/>
      <c r="V31" s="15"/>
      <c r="W31" s="35"/>
      <c r="X31" s="338">
        <f t="shared" si="1"/>
        <v>0</v>
      </c>
    </row>
    <row r="32" spans="2:24" ht="20.100000000000001" customHeight="1" x14ac:dyDescent="0.3">
      <c r="B32" s="2697"/>
      <c r="C32" s="2327" t="s">
        <v>887</v>
      </c>
      <c r="D32" s="2328"/>
      <c r="E32" s="2329"/>
      <c r="F32" s="532"/>
      <c r="G32" s="442"/>
      <c r="H32" s="2313"/>
      <c r="I32" s="2314"/>
      <c r="J32" s="410"/>
      <c r="K32" s="451"/>
      <c r="L32" s="2572"/>
      <c r="M32" s="2573"/>
      <c r="N32" s="2476">
        <f t="shared" ref="N32" si="8">K32+L32</f>
        <v>0</v>
      </c>
      <c r="O32" s="2477"/>
      <c r="P32" s="412"/>
      <c r="Q32" s="2356"/>
      <c r="R32" s="2357"/>
      <c r="S32" s="2356"/>
      <c r="T32" s="2357"/>
      <c r="V32" s="15"/>
      <c r="W32" s="35"/>
    </row>
    <row r="33" spans="2:24" ht="20.100000000000001" customHeight="1" x14ac:dyDescent="0.3">
      <c r="B33" s="2320"/>
      <c r="C33" s="2318" t="s">
        <v>444</v>
      </c>
      <c r="D33" s="2318"/>
      <c r="E33" s="2318"/>
      <c r="F33" s="532"/>
      <c r="G33" s="442"/>
      <c r="H33" s="2313"/>
      <c r="I33" s="2314"/>
      <c r="J33" s="410"/>
      <c r="K33" s="451"/>
      <c r="L33" s="2572"/>
      <c r="M33" s="2573"/>
      <c r="N33" s="2476">
        <f t="shared" si="7"/>
        <v>0</v>
      </c>
      <c r="O33" s="2477"/>
      <c r="P33" s="412"/>
      <c r="Q33" s="2628"/>
      <c r="R33" s="2629"/>
      <c r="S33" s="2356"/>
      <c r="T33" s="2357"/>
      <c r="V33" s="15"/>
      <c r="W33" s="35"/>
      <c r="X33" s="338">
        <f t="shared" si="1"/>
        <v>0</v>
      </c>
    </row>
    <row r="34" spans="2:24" ht="20.100000000000001" customHeight="1" x14ac:dyDescent="0.3">
      <c r="B34" s="2698"/>
      <c r="C34" s="2318" t="s">
        <v>163</v>
      </c>
      <c r="D34" s="2318"/>
      <c r="E34" s="2318"/>
      <c r="F34" s="532"/>
      <c r="G34" s="442"/>
      <c r="H34" s="2313"/>
      <c r="I34" s="2314"/>
      <c r="J34" s="410"/>
      <c r="K34" s="451"/>
      <c r="L34" s="2572"/>
      <c r="M34" s="2573"/>
      <c r="N34" s="2476">
        <f t="shared" si="7"/>
        <v>0</v>
      </c>
      <c r="O34" s="2477"/>
      <c r="P34" s="412"/>
      <c r="Q34" s="2356"/>
      <c r="R34" s="2357"/>
      <c r="S34" s="2356"/>
      <c r="T34" s="2357"/>
      <c r="V34" s="15"/>
      <c r="W34" s="35"/>
      <c r="X34" s="338">
        <f t="shared" si="1"/>
        <v>0</v>
      </c>
    </row>
    <row r="35" spans="2:24" ht="20.100000000000001" customHeight="1" x14ac:dyDescent="0.3">
      <c r="B35" s="2699"/>
      <c r="C35" s="2330"/>
      <c r="D35" s="2330"/>
      <c r="E35" s="2330"/>
      <c r="F35" s="532"/>
      <c r="G35" s="442"/>
      <c r="H35" s="2313"/>
      <c r="I35" s="2314"/>
      <c r="J35" s="410"/>
      <c r="K35" s="451"/>
      <c r="L35" s="2572"/>
      <c r="M35" s="2573"/>
      <c r="N35" s="2476">
        <f t="shared" ref="N35" si="9">K35+L35</f>
        <v>0</v>
      </c>
      <c r="O35" s="2477"/>
      <c r="P35" s="412"/>
      <c r="Q35" s="2356"/>
      <c r="R35" s="2357"/>
      <c r="S35" s="2356"/>
      <c r="T35" s="2357"/>
      <c r="V35" s="15"/>
      <c r="W35" s="35"/>
      <c r="X35" s="338">
        <f t="shared" ref="X35" si="10">IF(G35="nature",K35,0)</f>
        <v>0</v>
      </c>
    </row>
    <row r="36" spans="2:24" ht="20.100000000000001" customHeight="1" x14ac:dyDescent="0.3">
      <c r="B36" s="2699"/>
      <c r="C36" s="2663" t="s">
        <v>443</v>
      </c>
      <c r="D36" s="2663"/>
      <c r="E36" s="2663"/>
      <c r="F36" s="535"/>
      <c r="G36" s="443"/>
      <c r="H36" s="2315"/>
      <c r="I36" s="2316"/>
      <c r="J36" s="410"/>
      <c r="K36" s="452"/>
      <c r="L36" s="2494"/>
      <c r="M36" s="2495"/>
      <c r="N36" s="2496">
        <f t="shared" si="7"/>
        <v>0</v>
      </c>
      <c r="O36" s="2497"/>
      <c r="P36" s="412"/>
      <c r="Q36" s="2363"/>
      <c r="R36" s="2364"/>
      <c r="S36" s="2363"/>
      <c r="T36" s="2364"/>
      <c r="V36" s="15"/>
      <c r="W36" s="35"/>
      <c r="X36" s="338">
        <f t="shared" si="1"/>
        <v>0</v>
      </c>
    </row>
    <row r="37" spans="2:24" ht="20.100000000000001" customHeight="1" x14ac:dyDescent="0.3">
      <c r="B37" s="2319" t="s">
        <v>717</v>
      </c>
      <c r="C37" s="2322" t="s">
        <v>379</v>
      </c>
      <c r="D37" s="2323"/>
      <c r="E37" s="2323"/>
      <c r="F37" s="2324"/>
      <c r="G37" s="445"/>
      <c r="H37" s="2311"/>
      <c r="I37" s="2312"/>
      <c r="J37" s="34"/>
      <c r="K37" s="448"/>
      <c r="L37" s="2487"/>
      <c r="M37" s="2488"/>
      <c r="N37" s="2474">
        <f t="shared" si="7"/>
        <v>0</v>
      </c>
      <c r="O37" s="2475"/>
      <c r="P37" s="220"/>
      <c r="Q37" s="2352"/>
      <c r="R37" s="2353"/>
      <c r="S37" s="2352"/>
      <c r="T37" s="2353"/>
      <c r="V37" s="15"/>
      <c r="W37" s="35"/>
      <c r="X37" s="338">
        <f t="shared" si="1"/>
        <v>0</v>
      </c>
    </row>
    <row r="38" spans="2:24" ht="20.100000000000001" customHeight="1" x14ac:dyDescent="0.3">
      <c r="B38" s="2699"/>
      <c r="C38" s="2559"/>
      <c r="D38" s="2560"/>
      <c r="E38" s="2560"/>
      <c r="F38" s="2561"/>
      <c r="G38" s="443"/>
      <c r="H38" s="2317"/>
      <c r="I38" s="2316"/>
      <c r="J38" s="410"/>
      <c r="K38" s="454"/>
      <c r="L38" s="2549"/>
      <c r="M38" s="2550"/>
      <c r="N38" s="2626">
        <f t="shared" si="7"/>
        <v>0</v>
      </c>
      <c r="O38" s="2627"/>
      <c r="P38" s="220"/>
      <c r="Q38" s="2483"/>
      <c r="R38" s="2484"/>
      <c r="S38" s="2483"/>
      <c r="T38" s="2484"/>
      <c r="V38" s="15"/>
      <c r="W38" s="35"/>
      <c r="X38" s="338">
        <f t="shared" si="1"/>
        <v>0</v>
      </c>
    </row>
    <row r="39" spans="2:24" s="416" customFormat="1" ht="24.9" customHeight="1" x14ac:dyDescent="0.3">
      <c r="B39" s="2334" t="s">
        <v>718</v>
      </c>
      <c r="C39" s="2335"/>
      <c r="D39" s="2335"/>
      <c r="E39" s="2335"/>
      <c r="F39" s="2335"/>
      <c r="G39" s="2335"/>
      <c r="H39" s="2335"/>
      <c r="I39" s="2336"/>
      <c r="J39" s="413"/>
      <c r="K39" s="455">
        <f>SUM(K30:K38)</f>
        <v>0</v>
      </c>
      <c r="L39" s="2574">
        <f>SUM(L30:L38)</f>
        <v>0</v>
      </c>
      <c r="M39" s="2575">
        <f>SUM(M30:M38)</f>
        <v>0</v>
      </c>
      <c r="N39" s="2470">
        <f t="shared" si="7"/>
        <v>0</v>
      </c>
      <c r="O39" s="2471"/>
      <c r="P39" s="414"/>
      <c r="Q39" s="2354">
        <f>SUM(Q30:Q38)</f>
        <v>0</v>
      </c>
      <c r="R39" s="2355">
        <f>SUM(R30:R38)</f>
        <v>0</v>
      </c>
      <c r="S39" s="2354">
        <f>SUM(S30:S38)</f>
        <v>0</v>
      </c>
      <c r="T39" s="2355">
        <f>SUM(T30:T38)</f>
        <v>0</v>
      </c>
      <c r="U39" s="395"/>
      <c r="V39" s="413"/>
      <c r="W39" s="413"/>
      <c r="X39" s="415">
        <f>IF(G39="nature",K39,0)</f>
        <v>0</v>
      </c>
    </row>
    <row r="40" spans="2:24" s="345" customFormat="1" ht="6" customHeight="1" x14ac:dyDescent="0.25">
      <c r="F40" s="346"/>
      <c r="H40" s="411" t="str">
        <f>IF(ISERROR(AVERAGE(H38:H39))," ",AVERAGE(H38:H39))</f>
        <v xml:space="preserve"> </v>
      </c>
      <c r="I40" s="411"/>
      <c r="J40" s="347"/>
      <c r="K40" s="348"/>
      <c r="L40" s="348"/>
      <c r="M40" s="348"/>
      <c r="N40" s="348"/>
      <c r="O40" s="348"/>
      <c r="P40" s="348"/>
      <c r="Q40" s="348"/>
      <c r="R40" s="348"/>
      <c r="S40" s="348"/>
      <c r="T40" s="348"/>
      <c r="U40" s="348"/>
      <c r="V40" s="348"/>
      <c r="W40" s="348"/>
      <c r="X40" s="348"/>
    </row>
    <row r="41" spans="2:24" ht="20.100000000000001" customHeight="1" x14ac:dyDescent="0.3">
      <c r="B41" s="2319" t="s">
        <v>719</v>
      </c>
      <c r="C41" s="2322" t="s">
        <v>40</v>
      </c>
      <c r="D41" s="2323"/>
      <c r="E41" s="2323"/>
      <c r="F41" s="2324"/>
      <c r="G41" s="445"/>
      <c r="H41" s="2337"/>
      <c r="I41" s="2338"/>
      <c r="J41" s="34"/>
      <c r="K41" s="448"/>
      <c r="L41" s="2487"/>
      <c r="M41" s="2488"/>
      <c r="N41" s="2474">
        <f>K41+L41</f>
        <v>0</v>
      </c>
      <c r="O41" s="2475"/>
      <c r="P41" s="220"/>
      <c r="Q41" s="2352"/>
      <c r="R41" s="2353"/>
      <c r="S41" s="2352"/>
      <c r="T41" s="2353"/>
      <c r="V41" s="15"/>
      <c r="W41" s="35"/>
      <c r="X41" s="338">
        <f>IF(G41="nature",K41,0)</f>
        <v>0</v>
      </c>
    </row>
    <row r="42" spans="2:24" ht="20.100000000000001" customHeight="1" x14ac:dyDescent="0.3">
      <c r="B42" s="2320"/>
      <c r="C42" s="2557" t="s">
        <v>209</v>
      </c>
      <c r="D42" s="2558"/>
      <c r="E42" s="2558"/>
      <c r="F42" s="2329"/>
      <c r="G42" s="442"/>
      <c r="H42" s="2339"/>
      <c r="I42" s="2340"/>
      <c r="J42" s="410"/>
      <c r="K42" s="451"/>
      <c r="L42" s="2572"/>
      <c r="M42" s="2573"/>
      <c r="N42" s="2476">
        <f>K42+L42</f>
        <v>0</v>
      </c>
      <c r="O42" s="2477"/>
      <c r="P42" s="220"/>
      <c r="Q42" s="2356"/>
      <c r="R42" s="2357"/>
      <c r="S42" s="2356"/>
      <c r="T42" s="2357"/>
      <c r="V42" s="15"/>
      <c r="W42" s="35"/>
      <c r="X42" s="338">
        <f>IF(G42="nature",K42,0)</f>
        <v>0</v>
      </c>
    </row>
    <row r="43" spans="2:24" ht="20.100000000000001" customHeight="1" x14ac:dyDescent="0.3">
      <c r="B43" s="2321"/>
      <c r="C43" s="2559"/>
      <c r="D43" s="2560"/>
      <c r="E43" s="2560"/>
      <c r="F43" s="2561"/>
      <c r="G43" s="443"/>
      <c r="H43" s="2341"/>
      <c r="I43" s="2342"/>
      <c r="J43" s="410"/>
      <c r="K43" s="452"/>
      <c r="L43" s="2494"/>
      <c r="M43" s="2495"/>
      <c r="N43" s="2496">
        <f>K43+L43</f>
        <v>0</v>
      </c>
      <c r="O43" s="2497"/>
      <c r="P43" s="220"/>
      <c r="Q43" s="2363"/>
      <c r="R43" s="2364"/>
      <c r="S43" s="2363"/>
      <c r="T43" s="2364"/>
      <c r="V43" s="15"/>
      <c r="W43" s="35"/>
      <c r="X43" s="338">
        <f>IF(G43="nature",K43,0)</f>
        <v>0</v>
      </c>
    </row>
    <row r="44" spans="2:24" s="416" customFormat="1" ht="24.9" customHeight="1" x14ac:dyDescent="0.3">
      <c r="B44" s="2334" t="s">
        <v>720</v>
      </c>
      <c r="C44" s="2335"/>
      <c r="D44" s="2335"/>
      <c r="E44" s="2335"/>
      <c r="F44" s="2335"/>
      <c r="G44" s="2335"/>
      <c r="H44" s="2335"/>
      <c r="I44" s="2336"/>
      <c r="J44" s="413"/>
      <c r="K44" s="455">
        <f>SUM(K41:K43)</f>
        <v>0</v>
      </c>
      <c r="L44" s="2574">
        <f>SUM(L41:L43)</f>
        <v>0</v>
      </c>
      <c r="M44" s="2575">
        <f>SUM(M41:M43)</f>
        <v>0</v>
      </c>
      <c r="N44" s="2470">
        <f>K44+L44</f>
        <v>0</v>
      </c>
      <c r="O44" s="2471"/>
      <c r="P44" s="414"/>
      <c r="Q44" s="2354">
        <f>SUM(Q41:Q43)</f>
        <v>0</v>
      </c>
      <c r="R44" s="2355">
        <f>SUM(R41:R43)</f>
        <v>0</v>
      </c>
      <c r="S44" s="2354">
        <f>SUM(S41:S43)</f>
        <v>0</v>
      </c>
      <c r="T44" s="2355">
        <f>SUM(T41:T43)</f>
        <v>0</v>
      </c>
      <c r="U44" s="395"/>
      <c r="V44" s="413"/>
      <c r="W44" s="413"/>
      <c r="X44" s="415">
        <f>IF(G44="nature",K44,0)</f>
        <v>0</v>
      </c>
    </row>
    <row r="45" spans="2:24" s="353" customFormat="1" ht="6" customHeight="1" x14ac:dyDescent="0.25">
      <c r="F45" s="354"/>
      <c r="H45" s="355"/>
      <c r="I45" s="355"/>
      <c r="J45" s="356"/>
      <c r="K45" s="357"/>
      <c r="L45" s="358"/>
      <c r="M45" s="358"/>
      <c r="N45" s="357"/>
      <c r="O45" s="357"/>
      <c r="P45" s="358"/>
      <c r="Q45" s="357"/>
      <c r="R45" s="357"/>
      <c r="S45" s="357"/>
      <c r="T45" s="357"/>
      <c r="V45" s="356"/>
      <c r="W45" s="356"/>
      <c r="X45" s="352">
        <f>IF(G45="nature",K45,0)</f>
        <v>0</v>
      </c>
    </row>
    <row r="46" spans="2:24" s="423" customFormat="1" ht="24.9" customHeight="1" x14ac:dyDescent="0.3">
      <c r="F46" s="2343" t="s">
        <v>531</v>
      </c>
      <c r="G46" s="2344"/>
      <c r="H46" s="2344"/>
      <c r="I46" s="2345"/>
      <c r="J46" s="424"/>
      <c r="K46" s="884">
        <f>K28+K39+K44</f>
        <v>0</v>
      </c>
      <c r="L46" s="2574">
        <f>L28+L39+L44</f>
        <v>0</v>
      </c>
      <c r="M46" s="2575">
        <f>M28+M39+M44</f>
        <v>0</v>
      </c>
      <c r="N46" s="2470">
        <f>K46+L46</f>
        <v>0</v>
      </c>
      <c r="O46" s="2471"/>
      <c r="P46" s="414"/>
      <c r="Q46" s="2354">
        <f>Q28+Q39+Q44</f>
        <v>0</v>
      </c>
      <c r="R46" s="2355">
        <f>R28+R39+R44</f>
        <v>0</v>
      </c>
      <c r="S46" s="2354">
        <f>S28+S39+S44</f>
        <v>0</v>
      </c>
      <c r="T46" s="2355">
        <f>T28+T39+T44</f>
        <v>0</v>
      </c>
      <c r="U46" s="395"/>
      <c r="X46" s="425"/>
    </row>
    <row r="47" spans="2:24" s="423" customFormat="1" ht="3" customHeight="1" x14ac:dyDescent="0.3">
      <c r="F47" s="2325" t="s">
        <v>736</v>
      </c>
      <c r="G47" s="2326"/>
      <c r="H47" s="2326"/>
      <c r="I47" s="798"/>
      <c r="J47" s="424"/>
      <c r="K47" s="702">
        <f>K46-K44-K29-K36-K11</f>
        <v>0</v>
      </c>
      <c r="L47" s="2358">
        <f>L46-L44-L29-L36-L11</f>
        <v>0</v>
      </c>
      <c r="M47" s="2358"/>
      <c r="N47" s="2358">
        <f>K47+L47</f>
        <v>0</v>
      </c>
      <c r="O47" s="2358"/>
      <c r="P47" s="703"/>
      <c r="Q47" s="2358">
        <f>Q46-Q44-Q29-Q36-Q11</f>
        <v>0</v>
      </c>
      <c r="R47" s="2358"/>
      <c r="S47" s="2358">
        <f>S46-S44-S29-S36-S11</f>
        <v>0</v>
      </c>
      <c r="T47" s="2358"/>
      <c r="U47" s="395"/>
      <c r="X47" s="425"/>
    </row>
    <row r="48" spans="2:24" s="388" customFormat="1" ht="22.5" customHeight="1" x14ac:dyDescent="0.25">
      <c r="C48" s="419"/>
      <c r="D48" s="420"/>
      <c r="E48" s="420"/>
      <c r="F48" s="2721" t="s">
        <v>534</v>
      </c>
      <c r="G48" s="2722"/>
      <c r="H48" s="2722"/>
      <c r="I48" s="2723"/>
      <c r="J48" s="420"/>
      <c r="K48" s="2607"/>
      <c r="L48" s="2608"/>
      <c r="M48" s="2609"/>
      <c r="N48" s="2361"/>
      <c r="O48" s="2362"/>
      <c r="P48" s="700"/>
      <c r="Q48" s="2361"/>
      <c r="R48" s="2362"/>
      <c r="S48" s="2361"/>
      <c r="T48" s="2362"/>
      <c r="V48" s="423"/>
      <c r="X48" s="418"/>
    </row>
    <row r="49" spans="1:24" s="409" customFormat="1" ht="21.75" customHeight="1" x14ac:dyDescent="0.3">
      <c r="B49" s="432"/>
      <c r="C49" s="432"/>
      <c r="D49" s="432"/>
      <c r="E49" s="432"/>
      <c r="F49" s="2308" t="s">
        <v>570</v>
      </c>
      <c r="G49" s="2309"/>
      <c r="H49" s="2309"/>
      <c r="I49" s="2310"/>
      <c r="K49" s="2610"/>
      <c r="L49" s="2611"/>
      <c r="M49" s="2612"/>
      <c r="N49" s="2359" t="str">
        <f>IF(ISERROR(IF(N48&gt;N47,"Erreur",N48/N47))," ",IF(N48&gt;N47,"Erreur",N48/N47))</f>
        <v xml:space="preserve"> </v>
      </c>
      <c r="O49" s="2360"/>
      <c r="P49" s="701"/>
      <c r="Q49" s="2359" t="str">
        <f>IF(ISERROR(IF((N48+Q48)&gt;(N47+Q47),"Erreur",Q48/(N47+Q47)))," ",IF((N48+Q48)&gt;(N47+Q47),"Erreur",Q48/(N47+Q47)))</f>
        <v xml:space="preserve"> </v>
      </c>
      <c r="R49" s="2360"/>
      <c r="S49" s="2359" t="str">
        <f>IF(ISERROR(IF((N48+Q48+S48)&gt;(N47+Q47+S47),"Erreur",S48/(N47+Q47+S47)))," ",IF((N48+Q48+S48)&gt;(N47+Q47+S47),"Erreur",S48/(N47+Q47+S47)))</f>
        <v xml:space="preserve"> </v>
      </c>
      <c r="T49" s="2360"/>
      <c r="V49" s="742"/>
    </row>
    <row r="50" spans="1:24" s="15" customFormat="1" ht="3" customHeight="1" x14ac:dyDescent="0.3">
      <c r="B50" s="222"/>
      <c r="C50" s="222"/>
      <c r="D50" s="222"/>
      <c r="E50" s="222"/>
      <c r="F50" s="222"/>
      <c r="G50" s="222"/>
      <c r="H50" s="223"/>
      <c r="I50" s="223"/>
      <c r="K50" s="224"/>
      <c r="L50" s="224"/>
      <c r="M50" s="224"/>
      <c r="N50" s="2374" t="str">
        <f>IF(AND(N47&gt;0,N48=0),1," ")</f>
        <v xml:space="preserve"> </v>
      </c>
      <c r="O50" s="2374"/>
      <c r="P50" s="210"/>
      <c r="Q50" s="2396" t="e">
        <f>IF(AND(H51&gt;=2,Q47=0,Q48&lt;N48),1,IF(AND(H51&gt;=2,Q47&gt;0,Q48&lt;=N48),1," "))</f>
        <v>#DIV/0!</v>
      </c>
      <c r="R50" s="2397"/>
      <c r="S50" s="2374" t="e">
        <f>IF(AND(H51&gt;=3,S47=0,S48&lt;Q48),1,IF(AND(H51&gt;=3,S47&gt;0,S48&lt;=Q48),1," "))</f>
        <v>#DIV/0!</v>
      </c>
      <c r="T50" s="2374"/>
      <c r="V50" s="721"/>
      <c r="W50" s="35"/>
    </row>
    <row r="51" spans="1:24" ht="30" customHeight="1" x14ac:dyDescent="0.3">
      <c r="F51" s="2605" t="s">
        <v>735</v>
      </c>
      <c r="G51" s="2606"/>
      <c r="H51" s="704" t="e">
        <f>AVERAGE(H12,H13,H14,H15,H16,H17,H18,H19,H20,H21,H22,H23,H24,H25,H26,H27,H30,H31,H32,H33,H34,H35,H37,H38)</f>
        <v>#DIV/0!</v>
      </c>
      <c r="I51" s="704"/>
      <c r="N51" s="2486" t="str">
        <f>IF(AND(N47&gt;0,N48=0),"amortissements ?"," ")</f>
        <v xml:space="preserve"> </v>
      </c>
      <c r="O51" s="2486"/>
      <c r="Q51" s="2386" t="e">
        <f>IF(AND(V49="HK",V51="BA")," ",IF(AND(H51&gt;=2,Q47=0,Q48&lt;N48),"erreur sur amortissements ?",IF(AND(H51&gt;=2,Q47&gt;0,Q48&lt;=N48),"erreur sur amortissements ?"," ")))</f>
        <v>#DIV/0!</v>
      </c>
      <c r="R51" s="2386"/>
      <c r="S51" s="2386" t="e">
        <f>IF(AND(V49="HK",V51="BA")," ",IF(AND(V49="HK",V51="BA")," ",IF(AND(H51&gt;=3,S47=0,S48&lt;Q48),"erreur sur amortissements ?",IF(AND(H51&gt;=3,S47&gt;0,S48&lt;=Q48),"erreur sur amortissements ?"," "))))</f>
        <v>#DIV/0!</v>
      </c>
      <c r="T51" s="2386"/>
      <c r="V51" s="742"/>
      <c r="W51" s="862">
        <f>IF(AND(V49="HK",V51="BA"),1,0)</f>
        <v>0</v>
      </c>
    </row>
    <row r="52" spans="1:24" x14ac:dyDescent="0.3">
      <c r="H52" s="699"/>
      <c r="I52" s="699"/>
    </row>
    <row r="53" spans="1:24" s="15" customFormat="1" ht="24.9" customHeight="1" x14ac:dyDescent="0.3">
      <c r="B53" s="222"/>
      <c r="C53" s="222"/>
      <c r="D53" s="222"/>
      <c r="E53" s="222"/>
      <c r="G53" s="2647" t="s">
        <v>819</v>
      </c>
      <c r="H53" s="2648"/>
      <c r="I53" s="456" t="s">
        <v>85</v>
      </c>
      <c r="J53" s="87"/>
      <c r="K53" s="458">
        <f>SUMIF(G11:G44,"="&amp;E54,K11:K44)</f>
        <v>0</v>
      </c>
      <c r="L53" s="224"/>
      <c r="M53" s="2387" t="s">
        <v>704</v>
      </c>
      <c r="N53" s="2388"/>
      <c r="O53" s="2388"/>
      <c r="P53" s="2388"/>
      <c r="Q53" s="2388"/>
      <c r="R53" s="2389"/>
      <c r="S53" s="2717">
        <f>invest_3+invest_2+N46</f>
        <v>0</v>
      </c>
      <c r="T53" s="2718"/>
      <c r="W53" s="35"/>
    </row>
    <row r="54" spans="1:24" s="15" customFormat="1" ht="24.9" customHeight="1" x14ac:dyDescent="0.3">
      <c r="B54" s="222"/>
      <c r="C54" s="222"/>
      <c r="D54" s="222"/>
      <c r="E54" s="222" t="s">
        <v>545</v>
      </c>
      <c r="G54" s="2649"/>
      <c r="H54" s="2650"/>
      <c r="I54" s="457" t="s">
        <v>380</v>
      </c>
      <c r="J54" s="87"/>
      <c r="K54" s="875" t="str">
        <f>IF(ISERROR(apport_nature/invest_0)," ",apport_nature/invest_0)</f>
        <v xml:space="preserve"> </v>
      </c>
      <c r="L54" s="224"/>
      <c r="M54" s="2398" t="s">
        <v>705</v>
      </c>
      <c r="N54" s="2399"/>
      <c r="O54" s="2399"/>
      <c r="P54" s="2399"/>
      <c r="Q54" s="2399"/>
      <c r="R54" s="705">
        <f>IF(ISERROR(S54/S53),0,S54/S53)</f>
        <v>0</v>
      </c>
      <c r="S54" s="2729">
        <f>amort_3+amort_2+amort_1</f>
        <v>0</v>
      </c>
      <c r="T54" s="2730"/>
      <c r="W54" s="35"/>
      <c r="X54" s="340"/>
    </row>
    <row r="55" spans="1:24" s="15" customFormat="1" ht="12.75" customHeight="1" x14ac:dyDescent="0.3">
      <c r="B55" s="222"/>
      <c r="C55" s="222"/>
      <c r="D55" s="222"/>
      <c r="E55" s="222"/>
      <c r="F55" s="222"/>
      <c r="G55" s="222"/>
      <c r="H55" s="223"/>
      <c r="I55" s="223"/>
      <c r="K55" s="224"/>
      <c r="L55" s="224"/>
      <c r="M55" s="224"/>
      <c r="N55" s="225"/>
      <c r="O55" s="225"/>
      <c r="P55" s="210"/>
      <c r="Q55" s="2378" t="str">
        <f>IF(R54&gt;100%,"Amortissement &gt; au montant investi"," ")</f>
        <v xml:space="preserve"> </v>
      </c>
      <c r="R55" s="2379"/>
      <c r="S55" s="2379"/>
      <c r="T55" s="2379"/>
      <c r="W55" s="35"/>
      <c r="X55" s="340">
        <f>SUM(X15:X54)</f>
        <v>0</v>
      </c>
    </row>
    <row r="56" spans="1:24" ht="30" customHeight="1" x14ac:dyDescent="0.3">
      <c r="B56" s="2301" t="s">
        <v>407</v>
      </c>
      <c r="C56" s="2714"/>
      <c r="D56" s="898"/>
      <c r="E56" s="898"/>
      <c r="F56" s="898"/>
      <c r="G56" s="898"/>
      <c r="H56" s="898"/>
      <c r="I56" s="899"/>
      <c r="K56" s="894" t="s">
        <v>497</v>
      </c>
      <c r="L56" s="2724" t="s">
        <v>204</v>
      </c>
      <c r="M56" s="2725"/>
      <c r="N56" s="2394" t="s">
        <v>485</v>
      </c>
      <c r="O56" s="2395"/>
      <c r="P56" s="895"/>
      <c r="Q56" s="2382" t="s">
        <v>486</v>
      </c>
      <c r="R56" s="2383"/>
      <c r="S56" s="2384" t="s">
        <v>486</v>
      </c>
      <c r="T56" s="2385"/>
      <c r="V56" s="15"/>
      <c r="W56" s="35"/>
    </row>
    <row r="57" spans="1:24" s="21" customFormat="1" ht="24.9" customHeight="1" x14ac:dyDescent="0.3">
      <c r="B57" s="717" t="s">
        <v>721</v>
      </c>
      <c r="C57" s="715" t="s">
        <v>709</v>
      </c>
      <c r="D57" s="537"/>
      <c r="E57" s="732" t="s">
        <v>114</v>
      </c>
      <c r="F57" s="735"/>
      <c r="G57" s="2726" t="s">
        <v>133</v>
      </c>
      <c r="H57" s="2727"/>
      <c r="I57" s="2728"/>
      <c r="J57" s="18"/>
      <c r="K57" s="893"/>
      <c r="L57" s="2347"/>
      <c r="M57" s="2347"/>
      <c r="N57" s="2348">
        <f t="shared" ref="N57:N62" si="11">K57+L57</f>
        <v>0</v>
      </c>
      <c r="O57" s="2349"/>
      <c r="P57" s="50"/>
      <c r="Q57" s="2348"/>
      <c r="R57" s="2349"/>
      <c r="S57" s="2348"/>
      <c r="T57" s="2349"/>
      <c r="V57" s="15"/>
      <c r="W57" s="14"/>
      <c r="X57" s="341"/>
    </row>
    <row r="58" spans="1:24" s="21" customFormat="1" ht="24.9" customHeight="1" x14ac:dyDescent="0.3">
      <c r="B58" s="718" t="s">
        <v>722</v>
      </c>
      <c r="C58" s="716" t="s">
        <v>709</v>
      </c>
      <c r="D58" s="538"/>
      <c r="E58" s="733" t="s">
        <v>114</v>
      </c>
      <c r="F58" s="736"/>
      <c r="G58" s="2331" t="s">
        <v>133</v>
      </c>
      <c r="H58" s="2332"/>
      <c r="I58" s="2333"/>
      <c r="J58" s="13"/>
      <c r="K58" s="473"/>
      <c r="L58" s="2346"/>
      <c r="M58" s="2346"/>
      <c r="N58" s="2350">
        <f t="shared" si="11"/>
        <v>0</v>
      </c>
      <c r="O58" s="2351"/>
      <c r="P58" s="50"/>
      <c r="Q58" s="2350"/>
      <c r="R58" s="2351"/>
      <c r="S58" s="2350"/>
      <c r="T58" s="2351"/>
      <c r="V58" s="15"/>
      <c r="W58" s="14"/>
      <c r="X58" s="341"/>
    </row>
    <row r="59" spans="1:24" s="21" customFormat="1" ht="24.9" customHeight="1" x14ac:dyDescent="0.3">
      <c r="A59" s="35"/>
      <c r="B59" s="2651" t="s">
        <v>723</v>
      </c>
      <c r="C59" s="2652"/>
      <c r="D59" s="2652"/>
      <c r="E59" s="733" t="s">
        <v>114</v>
      </c>
      <c r="F59" s="736"/>
      <c r="G59" s="2331" t="s">
        <v>133</v>
      </c>
      <c r="H59" s="2332"/>
      <c r="I59" s="2333"/>
      <c r="J59" s="13"/>
      <c r="K59" s="473"/>
      <c r="L59" s="2393"/>
      <c r="M59" s="2393"/>
      <c r="N59" s="2350">
        <f t="shared" si="11"/>
        <v>0</v>
      </c>
      <c r="O59" s="2351"/>
      <c r="P59" s="50"/>
      <c r="Q59" s="2350"/>
      <c r="R59" s="2351"/>
      <c r="S59" s="2350"/>
      <c r="T59" s="2351"/>
      <c r="V59" s="15"/>
      <c r="W59" s="14"/>
      <c r="X59" s="341"/>
    </row>
    <row r="60" spans="1:24" s="21" customFormat="1" ht="24.9" customHeight="1" x14ac:dyDescent="0.3">
      <c r="B60" s="2651" t="s">
        <v>724</v>
      </c>
      <c r="C60" s="2652"/>
      <c r="D60" s="2652"/>
      <c r="E60" s="733" t="s">
        <v>114</v>
      </c>
      <c r="F60" s="736"/>
      <c r="G60" s="2331" t="s">
        <v>133</v>
      </c>
      <c r="H60" s="2332"/>
      <c r="I60" s="2333"/>
      <c r="J60" s="13"/>
      <c r="K60" s="473"/>
      <c r="L60" s="2346"/>
      <c r="M60" s="2346"/>
      <c r="N60" s="2350">
        <f t="shared" si="11"/>
        <v>0</v>
      </c>
      <c r="O60" s="2351"/>
      <c r="P60" s="50"/>
      <c r="Q60" s="2350"/>
      <c r="R60" s="2351"/>
      <c r="S60" s="2350"/>
      <c r="T60" s="2351"/>
      <c r="V60" s="15"/>
      <c r="W60" s="14"/>
      <c r="X60" s="341"/>
    </row>
    <row r="61" spans="1:24" s="21" customFormat="1" ht="24.9" customHeight="1" x14ac:dyDescent="0.3">
      <c r="B61" s="2664" t="s">
        <v>725</v>
      </c>
      <c r="C61" s="2665"/>
      <c r="D61" s="2665"/>
      <c r="E61" s="733" t="s">
        <v>114</v>
      </c>
      <c r="F61" s="736"/>
      <c r="G61" s="2331" t="s">
        <v>133</v>
      </c>
      <c r="H61" s="2332"/>
      <c r="I61" s="2333"/>
      <c r="J61" s="13"/>
      <c r="K61" s="473"/>
      <c r="L61" s="2346"/>
      <c r="M61" s="2346"/>
      <c r="N61" s="2350">
        <f t="shared" si="11"/>
        <v>0</v>
      </c>
      <c r="O61" s="2351"/>
      <c r="P61" s="50"/>
      <c r="Q61" s="2350"/>
      <c r="R61" s="2351"/>
      <c r="S61" s="2350"/>
      <c r="T61" s="2351"/>
      <c r="V61" s="15"/>
      <c r="W61" s="14"/>
      <c r="X61" s="341"/>
    </row>
    <row r="62" spans="1:24" ht="24.9" customHeight="1" x14ac:dyDescent="0.3">
      <c r="B62" s="2666" t="s">
        <v>726</v>
      </c>
      <c r="C62" s="2667"/>
      <c r="D62" s="2667"/>
      <c r="E62" s="734" t="s">
        <v>114</v>
      </c>
      <c r="F62" s="737"/>
      <c r="G62" s="2657" t="s">
        <v>133</v>
      </c>
      <c r="H62" s="2658"/>
      <c r="I62" s="2659"/>
      <c r="J62" s="13"/>
      <c r="K62" s="474"/>
      <c r="L62" s="2392"/>
      <c r="M62" s="2392"/>
      <c r="N62" s="2380">
        <f t="shared" si="11"/>
        <v>0</v>
      </c>
      <c r="O62" s="2381"/>
      <c r="P62" s="50"/>
      <c r="Q62" s="2380"/>
      <c r="R62" s="2381"/>
      <c r="S62" s="2380"/>
      <c r="T62" s="2381"/>
      <c r="V62" s="15"/>
    </row>
    <row r="63" spans="1:24" s="15" customFormat="1" ht="3" customHeight="1" x14ac:dyDescent="0.3">
      <c r="B63" s="331"/>
      <c r="C63" s="332"/>
      <c r="D63" s="332"/>
      <c r="E63" s="332"/>
      <c r="F63" s="330"/>
      <c r="G63" s="332"/>
      <c r="H63" s="333"/>
      <c r="I63" s="333"/>
      <c r="J63" s="53"/>
      <c r="K63" s="49"/>
      <c r="L63" s="49"/>
      <c r="M63" s="49"/>
      <c r="N63" s="49"/>
      <c r="O63" s="49"/>
      <c r="P63" s="50"/>
      <c r="Q63" s="49"/>
      <c r="R63" s="49"/>
      <c r="S63" s="50"/>
      <c r="T63" s="50"/>
      <c r="W63" s="14"/>
      <c r="X63" s="342"/>
    </row>
    <row r="64" spans="1:24" s="396" customFormat="1" ht="24.9" customHeight="1" x14ac:dyDescent="0.3">
      <c r="B64" s="388"/>
      <c r="C64" s="388"/>
      <c r="D64" s="388"/>
      <c r="F64" s="2660" t="s">
        <v>532</v>
      </c>
      <c r="G64" s="2661"/>
      <c r="H64" s="2661"/>
      <c r="I64" s="2662"/>
      <c r="J64" s="422"/>
      <c r="K64" s="466">
        <f>SUM(K57:K62)</f>
        <v>0</v>
      </c>
      <c r="L64" s="2719">
        <f>SUM(L57:L62)</f>
        <v>0</v>
      </c>
      <c r="M64" s="2720"/>
      <c r="N64" s="2390">
        <f>SUM(N57:N62)</f>
        <v>0</v>
      </c>
      <c r="O64" s="2391"/>
      <c r="P64" s="414"/>
      <c r="Q64" s="2407">
        <f>SUM(Q57:Q62)</f>
        <v>0</v>
      </c>
      <c r="R64" s="2391"/>
      <c r="S64" s="2407">
        <f>SUM(S57:S62)</f>
        <v>0</v>
      </c>
      <c r="T64" s="2391"/>
      <c r="U64" s="395"/>
      <c r="V64" s="263"/>
      <c r="X64" s="465"/>
    </row>
    <row r="65" spans="2:24" s="388" customFormat="1" ht="24.9" customHeight="1" x14ac:dyDescent="0.3">
      <c r="C65" s="419"/>
      <c r="D65" s="420"/>
      <c r="E65" s="420"/>
      <c r="F65" s="2677" t="s">
        <v>533</v>
      </c>
      <c r="G65" s="2678"/>
      <c r="H65" s="2678"/>
      <c r="I65" s="2679"/>
      <c r="J65" s="420"/>
      <c r="K65" s="2375"/>
      <c r="L65" s="2376"/>
      <c r="M65" s="2377"/>
      <c r="N65" s="2428"/>
      <c r="O65" s="2478"/>
      <c r="P65" s="421"/>
      <c r="Q65" s="2428"/>
      <c r="R65" s="2429"/>
      <c r="S65" s="2428"/>
      <c r="T65" s="2429"/>
      <c r="V65" s="15"/>
      <c r="W65" s="396"/>
      <c r="X65" s="418"/>
    </row>
    <row r="66" spans="2:24" ht="12.75" customHeight="1" x14ac:dyDescent="0.3"/>
    <row r="67" spans="2:24" ht="24.9" customHeight="1" x14ac:dyDescent="0.3">
      <c r="B67" s="2304" t="s">
        <v>733</v>
      </c>
      <c r="C67" s="2305"/>
      <c r="D67" s="2305"/>
      <c r="E67" s="2306"/>
      <c r="F67" s="2306"/>
      <c r="G67" s="2306"/>
      <c r="H67" s="2306"/>
      <c r="I67" s="2307"/>
      <c r="K67" s="789" t="s">
        <v>215</v>
      </c>
      <c r="V67" s="15"/>
    </row>
    <row r="68" spans="2:24" ht="3" customHeight="1" x14ac:dyDescent="0.3">
      <c r="B68" s="185"/>
      <c r="V68" s="15"/>
    </row>
    <row r="69" spans="2:24" s="21" customFormat="1" ht="30" customHeight="1" x14ac:dyDescent="0.3">
      <c r="B69" s="717" t="s">
        <v>721</v>
      </c>
      <c r="C69" s="715" t="s">
        <v>709</v>
      </c>
      <c r="D69" s="537"/>
      <c r="E69" s="463" t="s">
        <v>114</v>
      </c>
      <c r="F69" s="539"/>
      <c r="G69" s="2685" t="s">
        <v>985</v>
      </c>
      <c r="H69" s="2686"/>
      <c r="I69" s="999"/>
      <c r="J69" s="18"/>
      <c r="K69" s="2371">
        <f>IF(ISBLANK(N70),0,"  ==&gt; Prix du loyer au mètre carré")</f>
        <v>0</v>
      </c>
      <c r="L69" s="2372"/>
      <c r="M69" s="2373"/>
      <c r="N69" s="2434">
        <f>IF(ISERROR(IF(AND(ISBLANK(D70),ISBLANK(N70)),0,(N70/12)/D70)),0,IF(AND(ISBLANK(D70),ISBLANK(N70)),0,(N70/12)/D70))</f>
        <v>0</v>
      </c>
      <c r="O69" s="2435"/>
      <c r="P69" s="1002"/>
      <c r="Q69" s="2434">
        <f>IF(ISERROR(IF(AND(ISBLANK(D70),ISBLANK(Q70)),0,(Q70/12)/D70)),0,IF(AND(ISBLANK(D70),ISBLANK(Q70)),0,(Q70/12)/D70))</f>
        <v>0</v>
      </c>
      <c r="R69" s="2435"/>
      <c r="S69" s="2434">
        <f>IF(ISERROR(IF(AND(ISBLANK(D70),ISBLANK(S70)),0,(S70/12)/D70)),0,IF(AND(ISBLANK(D70),ISBLANK(S70)),0,(S70/12)/D70))</f>
        <v>0</v>
      </c>
      <c r="T69" s="2435"/>
      <c r="X69" s="341"/>
    </row>
    <row r="70" spans="2:24" ht="30" customHeight="1" x14ac:dyDescent="0.3">
      <c r="B70" s="718" t="s">
        <v>722</v>
      </c>
      <c r="C70" s="716" t="s">
        <v>709</v>
      </c>
      <c r="D70" s="538"/>
      <c r="E70" s="459" t="s">
        <v>114</v>
      </c>
      <c r="F70" s="541"/>
      <c r="G70" s="2687" t="s">
        <v>985</v>
      </c>
      <c r="H70" s="2688"/>
      <c r="I70" s="1000"/>
      <c r="J70" s="13"/>
      <c r="K70" s="2365" t="s">
        <v>986</v>
      </c>
      <c r="L70" s="2366"/>
      <c r="M70" s="2367"/>
      <c r="N70" s="2350"/>
      <c r="O70" s="2351"/>
      <c r="P70" s="50"/>
      <c r="Q70" s="2350"/>
      <c r="R70" s="2351"/>
      <c r="S70" s="2350"/>
      <c r="T70" s="2351"/>
    </row>
    <row r="71" spans="2:24" ht="30" customHeight="1" x14ac:dyDescent="0.3">
      <c r="B71" s="2651" t="s">
        <v>723</v>
      </c>
      <c r="C71" s="2652"/>
      <c r="D71" s="2652"/>
      <c r="E71" s="459" t="s">
        <v>114</v>
      </c>
      <c r="F71" s="541"/>
      <c r="G71" s="2687" t="s">
        <v>985</v>
      </c>
      <c r="H71" s="2688"/>
      <c r="I71" s="1000"/>
      <c r="J71" s="13"/>
      <c r="K71" s="2365" t="s">
        <v>986</v>
      </c>
      <c r="L71" s="2366"/>
      <c r="M71" s="2367"/>
      <c r="N71" s="2350"/>
      <c r="O71" s="2351"/>
      <c r="P71" s="50"/>
      <c r="Q71" s="2350"/>
      <c r="R71" s="2351"/>
      <c r="S71" s="2350"/>
      <c r="T71" s="2351"/>
    </row>
    <row r="72" spans="2:24" ht="30" customHeight="1" x14ac:dyDescent="0.3">
      <c r="B72" s="2651" t="s">
        <v>724</v>
      </c>
      <c r="C72" s="2652"/>
      <c r="D72" s="2652"/>
      <c r="E72" s="459" t="s">
        <v>114</v>
      </c>
      <c r="F72" s="541"/>
      <c r="G72" s="2687" t="s">
        <v>985</v>
      </c>
      <c r="H72" s="2688"/>
      <c r="I72" s="1000"/>
      <c r="J72" s="13"/>
      <c r="K72" s="2365" t="s">
        <v>986</v>
      </c>
      <c r="L72" s="2366"/>
      <c r="M72" s="2367"/>
      <c r="N72" s="2350"/>
      <c r="O72" s="2351"/>
      <c r="P72" s="50"/>
      <c r="Q72" s="2350"/>
      <c r="R72" s="2351"/>
      <c r="S72" s="2350"/>
      <c r="T72" s="2351"/>
    </row>
    <row r="73" spans="2:24" ht="30" customHeight="1" x14ac:dyDescent="0.3">
      <c r="B73" s="2664" t="s">
        <v>725</v>
      </c>
      <c r="C73" s="2665"/>
      <c r="D73" s="2665"/>
      <c r="E73" s="459" t="s">
        <v>114</v>
      </c>
      <c r="F73" s="541"/>
      <c r="G73" s="2687" t="s">
        <v>985</v>
      </c>
      <c r="H73" s="2688"/>
      <c r="I73" s="1000"/>
      <c r="J73" s="13"/>
      <c r="K73" s="2365" t="s">
        <v>986</v>
      </c>
      <c r="L73" s="2366"/>
      <c r="M73" s="2367"/>
      <c r="N73" s="2350"/>
      <c r="O73" s="2351"/>
      <c r="P73" s="50"/>
      <c r="Q73" s="2350"/>
      <c r="R73" s="2351"/>
      <c r="S73" s="2350"/>
      <c r="T73" s="2351"/>
    </row>
    <row r="74" spans="2:24" ht="30" customHeight="1" x14ac:dyDescent="0.3">
      <c r="B74" s="2666" t="s">
        <v>726</v>
      </c>
      <c r="C74" s="2667"/>
      <c r="D74" s="2667"/>
      <c r="E74" s="464" t="s">
        <v>114</v>
      </c>
      <c r="F74" s="540"/>
      <c r="G74" s="2690" t="s">
        <v>985</v>
      </c>
      <c r="H74" s="2691"/>
      <c r="I74" s="1001"/>
      <c r="J74" s="13"/>
      <c r="K74" s="2368" t="s">
        <v>986</v>
      </c>
      <c r="L74" s="2369"/>
      <c r="M74" s="2370"/>
      <c r="N74" s="2380"/>
      <c r="O74" s="2381"/>
      <c r="P74" s="1002"/>
      <c r="Q74" s="2380"/>
      <c r="R74" s="2381"/>
      <c r="S74" s="2380"/>
      <c r="T74" s="2381"/>
    </row>
    <row r="75" spans="2:24" s="15" customFormat="1" ht="3" customHeight="1" x14ac:dyDescent="0.3">
      <c r="C75" s="53"/>
      <c r="D75" s="53"/>
      <c r="E75" s="53"/>
      <c r="F75" s="12"/>
      <c r="G75" s="41"/>
      <c r="H75" s="41"/>
      <c r="I75" s="41"/>
      <c r="J75" s="13"/>
      <c r="K75" s="49"/>
      <c r="L75" s="49"/>
      <c r="M75" s="49"/>
      <c r="N75" s="52"/>
      <c r="O75" s="52"/>
      <c r="P75" s="50"/>
      <c r="Q75" s="52"/>
      <c r="R75" s="52"/>
      <c r="S75" s="52"/>
      <c r="T75" s="52"/>
      <c r="X75" s="342"/>
    </row>
    <row r="76" spans="2:24" s="388" customFormat="1" ht="24.9" customHeight="1" x14ac:dyDescent="0.25">
      <c r="B76" s="696"/>
      <c r="C76" s="697"/>
      <c r="D76" s="697"/>
      <c r="E76" s="697"/>
      <c r="F76" s="697"/>
      <c r="G76" s="697"/>
      <c r="H76" s="697"/>
      <c r="I76" s="697"/>
      <c r="J76" s="392"/>
      <c r="K76" s="693" t="s">
        <v>147</v>
      </c>
      <c r="L76" s="694"/>
      <c r="M76" s="695"/>
      <c r="N76" s="2465">
        <f>SUM(N69:O74)</f>
        <v>0</v>
      </c>
      <c r="O76" s="2460"/>
      <c r="P76" s="417"/>
      <c r="Q76" s="2459">
        <f>SUM(Q69:R74)</f>
        <v>0</v>
      </c>
      <c r="R76" s="2460"/>
      <c r="S76" s="2459">
        <f>SUM(S69:T74)</f>
        <v>0</v>
      </c>
      <c r="T76" s="2460"/>
      <c r="X76" s="418"/>
    </row>
    <row r="77" spans="2:24" ht="24.9" customHeight="1" x14ac:dyDescent="0.3"/>
    <row r="78" spans="2:24" ht="24.9" customHeight="1" x14ac:dyDescent="0.3">
      <c r="B78" s="2148" t="s">
        <v>616</v>
      </c>
      <c r="C78" s="2149"/>
      <c r="D78" s="2149"/>
      <c r="E78" s="2149"/>
      <c r="F78" s="2149"/>
      <c r="G78" s="2713"/>
      <c r="H78" s="2446" t="s">
        <v>377</v>
      </c>
      <c r="I78" s="2447"/>
      <c r="J78" s="2447"/>
      <c r="K78" s="2447"/>
      <c r="L78" s="2447"/>
      <c r="M78" s="2447"/>
      <c r="N78" s="2447"/>
      <c r="O78" s="2447"/>
      <c r="P78" s="2447"/>
      <c r="Q78" s="2447"/>
      <c r="R78" s="2447"/>
      <c r="S78" s="2447"/>
      <c r="T78" s="2448"/>
    </row>
    <row r="79" spans="2:24" ht="3" customHeight="1" x14ac:dyDescent="0.3"/>
    <row r="80" spans="2:24" ht="20.100000000000001" customHeight="1" x14ac:dyDescent="0.3">
      <c r="B80" s="2700" t="s">
        <v>22</v>
      </c>
      <c r="C80" s="2709" t="s">
        <v>247</v>
      </c>
      <c r="D80" s="2710"/>
      <c r="E80" s="2710"/>
      <c r="F80" s="2710"/>
      <c r="G80" s="2706" t="s">
        <v>821</v>
      </c>
      <c r="H80" s="2442" t="s">
        <v>1040</v>
      </c>
      <c r="I80" s="2443"/>
      <c r="J80" s="2443"/>
      <c r="K80" s="2443"/>
      <c r="L80" s="2443"/>
      <c r="M80" s="2443"/>
      <c r="N80" s="2444" t="s">
        <v>378</v>
      </c>
      <c r="O80" s="2445"/>
      <c r="P80" s="1527"/>
      <c r="Q80" s="2547" t="s">
        <v>378</v>
      </c>
      <c r="R80" s="2548"/>
      <c r="S80" s="2444" t="s">
        <v>378</v>
      </c>
      <c r="T80" s="2445"/>
    </row>
    <row r="81" spans="2:24" ht="20.100000000000001" customHeight="1" x14ac:dyDescent="0.3">
      <c r="B81" s="2701"/>
      <c r="C81" s="2711"/>
      <c r="D81" s="2711"/>
      <c r="E81" s="2711"/>
      <c r="F81" s="2711"/>
      <c r="G81" s="2707"/>
      <c r="H81" s="2449" t="s">
        <v>376</v>
      </c>
      <c r="I81" s="2450"/>
      <c r="J81" s="2451"/>
      <c r="K81" s="2644" t="s">
        <v>814</v>
      </c>
      <c r="L81" s="2645"/>
      <c r="M81" s="2646"/>
      <c r="N81" s="2466" t="s">
        <v>477</v>
      </c>
      <c r="O81" s="2467"/>
      <c r="P81" s="1528"/>
      <c r="Q81" s="2461" t="s">
        <v>478</v>
      </c>
      <c r="R81" s="2462"/>
      <c r="S81" s="2466" t="s">
        <v>478</v>
      </c>
      <c r="T81" s="2467"/>
    </row>
    <row r="82" spans="2:24" ht="20.100000000000001" customHeight="1" x14ac:dyDescent="0.3">
      <c r="B82" s="2701"/>
      <c r="C82" s="2711"/>
      <c r="D82" s="2711"/>
      <c r="E82" s="2711"/>
      <c r="F82" s="2711"/>
      <c r="G82" s="2707"/>
      <c r="H82" s="2452" t="s">
        <v>427</v>
      </c>
      <c r="I82" s="2453"/>
      <c r="J82" s="2454"/>
      <c r="K82" s="1579" t="s">
        <v>816</v>
      </c>
      <c r="L82" s="2463" t="s">
        <v>378</v>
      </c>
      <c r="M82" s="2464"/>
      <c r="N82" s="2457" t="s">
        <v>1039</v>
      </c>
      <c r="O82" s="2458"/>
      <c r="P82" s="1529"/>
      <c r="Q82" s="2524" t="s">
        <v>1037</v>
      </c>
      <c r="R82" s="2525"/>
      <c r="S82" s="2457" t="s">
        <v>1038</v>
      </c>
      <c r="T82" s="2458"/>
    </row>
    <row r="83" spans="2:24" ht="20.100000000000001" customHeight="1" x14ac:dyDescent="0.3">
      <c r="B83" s="2702"/>
      <c r="C83" s="2712"/>
      <c r="D83" s="2712"/>
      <c r="E83" s="2712"/>
      <c r="F83" s="2712"/>
      <c r="G83" s="2708"/>
      <c r="H83" s="1573" t="s">
        <v>144</v>
      </c>
      <c r="I83" s="2455" t="s">
        <v>206</v>
      </c>
      <c r="J83" s="2456"/>
      <c r="K83" s="1580" t="s">
        <v>817</v>
      </c>
      <c r="L83" s="1581" t="s">
        <v>144</v>
      </c>
      <c r="M83" s="1582" t="s">
        <v>206</v>
      </c>
      <c r="N83" s="1574" t="s">
        <v>144</v>
      </c>
      <c r="O83" s="1575" t="s">
        <v>206</v>
      </c>
      <c r="P83" s="1529"/>
      <c r="Q83" s="1576" t="s">
        <v>144</v>
      </c>
      <c r="R83" s="1577" t="s">
        <v>206</v>
      </c>
      <c r="S83" s="1578" t="s">
        <v>144</v>
      </c>
      <c r="T83" s="1575" t="s">
        <v>206</v>
      </c>
    </row>
    <row r="84" spans="2:24" ht="20.100000000000001" customHeight="1" x14ac:dyDescent="0.3">
      <c r="B84" s="1518" t="s">
        <v>728</v>
      </c>
      <c r="C84" s="2715"/>
      <c r="D84" s="2716"/>
      <c r="E84" s="2716"/>
      <c r="F84" s="2716"/>
      <c r="G84" s="1533"/>
      <c r="H84" s="994"/>
      <c r="I84" s="2440"/>
      <c r="J84" s="2441"/>
      <c r="K84" s="1534"/>
      <c r="L84" s="994"/>
      <c r="M84" s="1512"/>
      <c r="N84" s="1535">
        <f>H84+L84</f>
        <v>0</v>
      </c>
      <c r="O84" s="1536">
        <f t="shared" ref="O84:O90" si="12">I84+M84</f>
        <v>0</v>
      </c>
      <c r="P84" s="997">
        <f>SUM(H84:J84)</f>
        <v>0</v>
      </c>
      <c r="Q84" s="1537"/>
      <c r="R84" s="1512"/>
      <c r="S84" s="1537"/>
      <c r="T84" s="1538"/>
      <c r="U84" s="709">
        <f t="shared" ref="U84:U90" si="13">SUM(Q84:R84)</f>
        <v>0</v>
      </c>
      <c r="V84" s="709">
        <f t="shared" ref="V84:V90" si="14">SUM(S84:T84)</f>
        <v>0</v>
      </c>
      <c r="W84" s="244">
        <f t="shared" ref="W84:W90" si="15">M84+N84</f>
        <v>0</v>
      </c>
    </row>
    <row r="85" spans="2:24" ht="20.100000000000001" customHeight="1" x14ac:dyDescent="0.3">
      <c r="B85" s="1519" t="s">
        <v>729</v>
      </c>
      <c r="C85" s="2670"/>
      <c r="D85" s="2671"/>
      <c r="E85" s="2671"/>
      <c r="F85" s="2671"/>
      <c r="G85" s="1510"/>
      <c r="H85" s="1509"/>
      <c r="I85" s="2673"/>
      <c r="J85" s="2674"/>
      <c r="K85" s="1511"/>
      <c r="L85" s="1509"/>
      <c r="M85" s="1513"/>
      <c r="N85" s="1514">
        <f t="shared" ref="N85:N90" si="16">H85+L85</f>
        <v>0</v>
      </c>
      <c r="O85" s="1515">
        <f t="shared" si="12"/>
        <v>0</v>
      </c>
      <c r="P85" s="997">
        <f t="shared" ref="P85:P90" si="17">SUM(H85:J85)</f>
        <v>0</v>
      </c>
      <c r="Q85" s="1516"/>
      <c r="R85" s="1513"/>
      <c r="S85" s="1516"/>
      <c r="T85" s="1517"/>
      <c r="U85" s="709">
        <f t="shared" si="13"/>
        <v>0</v>
      </c>
      <c r="V85" s="709">
        <f t="shared" si="14"/>
        <v>0</v>
      </c>
      <c r="W85" s="244">
        <f t="shared" si="15"/>
        <v>0</v>
      </c>
    </row>
    <row r="86" spans="2:24" ht="20.100000000000001" customHeight="1" x14ac:dyDescent="0.3">
      <c r="B86" s="1519" t="s">
        <v>888</v>
      </c>
      <c r="C86" s="2670"/>
      <c r="D86" s="2671"/>
      <c r="E86" s="2671"/>
      <c r="F86" s="2671"/>
      <c r="G86" s="1510"/>
      <c r="H86" s="1509"/>
      <c r="I86" s="2673"/>
      <c r="J86" s="2674"/>
      <c r="K86" s="1511"/>
      <c r="L86" s="1509"/>
      <c r="M86" s="1513"/>
      <c r="N86" s="1514">
        <f t="shared" ref="N86" si="18">H86+L86</f>
        <v>0</v>
      </c>
      <c r="O86" s="1515">
        <f t="shared" ref="O86" si="19">I86+M86</f>
        <v>0</v>
      </c>
      <c r="P86" s="997">
        <f t="shared" si="17"/>
        <v>0</v>
      </c>
      <c r="Q86" s="1516"/>
      <c r="R86" s="1513"/>
      <c r="S86" s="1516"/>
      <c r="T86" s="1517"/>
      <c r="U86" s="709">
        <f t="shared" si="13"/>
        <v>0</v>
      </c>
      <c r="V86" s="709">
        <f t="shared" si="14"/>
        <v>0</v>
      </c>
      <c r="W86" s="244">
        <f t="shared" si="15"/>
        <v>0</v>
      </c>
    </row>
    <row r="87" spans="2:24" ht="20.100000000000001" customHeight="1" x14ac:dyDescent="0.3">
      <c r="B87" s="1519" t="s">
        <v>889</v>
      </c>
      <c r="C87" s="2670"/>
      <c r="D87" s="2671"/>
      <c r="E87" s="2671"/>
      <c r="F87" s="2671"/>
      <c r="G87" s="1510"/>
      <c r="H87" s="1509"/>
      <c r="I87" s="2673"/>
      <c r="J87" s="2674"/>
      <c r="K87" s="1511"/>
      <c r="L87" s="1509"/>
      <c r="M87" s="1513"/>
      <c r="N87" s="1514">
        <f t="shared" ref="N87" si="20">H87+L87</f>
        <v>0</v>
      </c>
      <c r="O87" s="1515">
        <f t="shared" ref="O87" si="21">I87+M87</f>
        <v>0</v>
      </c>
      <c r="P87" s="997">
        <f t="shared" si="17"/>
        <v>0</v>
      </c>
      <c r="Q87" s="1516"/>
      <c r="R87" s="1513"/>
      <c r="S87" s="1516"/>
      <c r="T87" s="1517"/>
      <c r="U87" s="709">
        <f t="shared" si="13"/>
        <v>0</v>
      </c>
      <c r="V87" s="709">
        <f t="shared" si="14"/>
        <v>0</v>
      </c>
      <c r="W87" s="244">
        <f t="shared" si="15"/>
        <v>0</v>
      </c>
    </row>
    <row r="88" spans="2:24" ht="20.100000000000001" customHeight="1" x14ac:dyDescent="0.3">
      <c r="B88" s="1519" t="s">
        <v>730</v>
      </c>
      <c r="C88" s="2670"/>
      <c r="D88" s="2671"/>
      <c r="E88" s="2671"/>
      <c r="F88" s="2671"/>
      <c r="G88" s="1510"/>
      <c r="H88" s="1509"/>
      <c r="I88" s="2673"/>
      <c r="J88" s="2674"/>
      <c r="K88" s="1511"/>
      <c r="L88" s="1509"/>
      <c r="M88" s="1513"/>
      <c r="N88" s="1514">
        <f t="shared" si="16"/>
        <v>0</v>
      </c>
      <c r="O88" s="1515">
        <f t="shared" si="12"/>
        <v>0</v>
      </c>
      <c r="P88" s="997">
        <f t="shared" si="17"/>
        <v>0</v>
      </c>
      <c r="Q88" s="1516"/>
      <c r="R88" s="1513"/>
      <c r="S88" s="1516"/>
      <c r="T88" s="1517"/>
      <c r="U88" s="709">
        <f t="shared" si="13"/>
        <v>0</v>
      </c>
      <c r="V88" s="709">
        <f t="shared" si="14"/>
        <v>0</v>
      </c>
      <c r="W88" s="244">
        <f t="shared" si="15"/>
        <v>0</v>
      </c>
    </row>
    <row r="89" spans="2:24" ht="20.100000000000001" customHeight="1" x14ac:dyDescent="0.3">
      <c r="B89" s="1519" t="s">
        <v>731</v>
      </c>
      <c r="C89" s="2670"/>
      <c r="D89" s="2671"/>
      <c r="E89" s="2671"/>
      <c r="F89" s="2671"/>
      <c r="G89" s="1510"/>
      <c r="H89" s="1509"/>
      <c r="I89" s="2673"/>
      <c r="J89" s="2674"/>
      <c r="K89" s="1511"/>
      <c r="L89" s="1509"/>
      <c r="M89" s="1513"/>
      <c r="N89" s="1514">
        <f t="shared" si="16"/>
        <v>0</v>
      </c>
      <c r="O89" s="1515">
        <f t="shared" si="12"/>
        <v>0</v>
      </c>
      <c r="P89" s="997">
        <f t="shared" si="17"/>
        <v>0</v>
      </c>
      <c r="Q89" s="1516"/>
      <c r="R89" s="1513"/>
      <c r="S89" s="1516"/>
      <c r="T89" s="1517"/>
      <c r="U89" s="709">
        <f t="shared" si="13"/>
        <v>0</v>
      </c>
      <c r="V89" s="709">
        <f t="shared" si="14"/>
        <v>0</v>
      </c>
      <c r="W89" s="244">
        <f t="shared" si="15"/>
        <v>0</v>
      </c>
    </row>
    <row r="90" spans="2:24" ht="20.100000000000001" customHeight="1" x14ac:dyDescent="0.3">
      <c r="B90" s="1520" t="s">
        <v>732</v>
      </c>
      <c r="C90" s="2675"/>
      <c r="D90" s="2676"/>
      <c r="E90" s="2676"/>
      <c r="F90" s="2676"/>
      <c r="G90" s="1521"/>
      <c r="H90" s="1522"/>
      <c r="I90" s="2680"/>
      <c r="J90" s="2681"/>
      <c r="K90" s="1523"/>
      <c r="L90" s="1522"/>
      <c r="M90" s="1524"/>
      <c r="N90" s="1525">
        <f t="shared" si="16"/>
        <v>0</v>
      </c>
      <c r="O90" s="1526">
        <f t="shared" si="12"/>
        <v>0</v>
      </c>
      <c r="P90" s="997">
        <f t="shared" si="17"/>
        <v>0</v>
      </c>
      <c r="Q90" s="1530"/>
      <c r="R90" s="1524"/>
      <c r="S90" s="1530"/>
      <c r="T90" s="1531"/>
      <c r="U90" s="709">
        <f t="shared" si="13"/>
        <v>0</v>
      </c>
      <c r="V90" s="709">
        <f t="shared" si="14"/>
        <v>0</v>
      </c>
      <c r="W90" s="244">
        <f t="shared" si="15"/>
        <v>0</v>
      </c>
    </row>
    <row r="91" spans="2:24" ht="6" customHeight="1" x14ac:dyDescent="0.3">
      <c r="B91" s="157"/>
      <c r="C91" s="991"/>
      <c r="D91" s="992"/>
      <c r="E91" s="992"/>
      <c r="F91" s="992"/>
      <c r="G91" s="993"/>
      <c r="H91" s="994"/>
      <c r="I91" s="994"/>
      <c r="J91" s="994"/>
      <c r="K91" s="995"/>
      <c r="L91" s="994"/>
      <c r="M91" s="994"/>
      <c r="N91" s="996"/>
      <c r="O91" s="996"/>
      <c r="P91" s="997"/>
      <c r="Q91" s="994"/>
      <c r="R91" s="994"/>
      <c r="S91" s="994"/>
      <c r="T91" s="994"/>
      <c r="U91" s="709"/>
      <c r="V91" s="709"/>
      <c r="W91" s="244"/>
    </row>
    <row r="92" spans="2:24" ht="20.100000000000001" customHeight="1" x14ac:dyDescent="0.3">
      <c r="B92" s="2682" t="s">
        <v>983</v>
      </c>
      <c r="C92" s="2683"/>
      <c r="D92" s="2683"/>
      <c r="E92" s="2683"/>
      <c r="F92" s="2683"/>
      <c r="G92" s="2436"/>
      <c r="H92" s="2684"/>
      <c r="I92" s="2438" t="s">
        <v>984</v>
      </c>
      <c r="J92" s="2439"/>
      <c r="K92" s="2439"/>
      <c r="L92" s="2439"/>
      <c r="M92" s="2439"/>
      <c r="N92" s="2439"/>
      <c r="O92" s="2439"/>
      <c r="P92" s="2439"/>
      <c r="Q92" s="2439"/>
      <c r="R92" s="2439"/>
      <c r="S92" s="2436"/>
      <c r="T92" s="2437"/>
      <c r="U92" s="709"/>
      <c r="V92" s="709"/>
      <c r="W92" s="244"/>
    </row>
    <row r="93" spans="2:24" ht="20.100000000000001" customHeight="1" x14ac:dyDescent="0.3">
      <c r="C93" s="55"/>
      <c r="D93" s="56"/>
      <c r="E93" s="56"/>
      <c r="F93" s="56"/>
      <c r="G93" s="56"/>
      <c r="H93" s="56"/>
      <c r="I93" s="56"/>
      <c r="J93" s="56"/>
      <c r="K93" s="51"/>
      <c r="L93" s="57"/>
      <c r="M93" s="57"/>
      <c r="N93" s="57"/>
      <c r="O93" s="57"/>
      <c r="P93" s="50"/>
      <c r="Q93" s="57"/>
      <c r="R93" s="57"/>
      <c r="S93" s="57"/>
      <c r="T93" s="57"/>
    </row>
    <row r="94" spans="2:24" ht="20.100000000000001" customHeight="1" x14ac:dyDescent="0.3">
      <c r="C94" s="55"/>
      <c r="D94" s="56"/>
      <c r="E94" s="56"/>
      <c r="F94" s="56"/>
      <c r="G94" s="56"/>
      <c r="H94" s="56"/>
      <c r="I94" s="56"/>
      <c r="J94" s="56"/>
      <c r="K94" s="2653" t="s">
        <v>338</v>
      </c>
      <c r="L94" s="1557" t="s">
        <v>376</v>
      </c>
      <c r="M94" s="1558" t="s">
        <v>427</v>
      </c>
      <c r="N94" s="1559" t="s">
        <v>221</v>
      </c>
      <c r="O94" s="1560" t="s">
        <v>49</v>
      </c>
      <c r="P94" s="1532"/>
      <c r="Q94" s="1561" t="s">
        <v>221</v>
      </c>
      <c r="R94" s="1562" t="s">
        <v>50</v>
      </c>
      <c r="S94" s="1563" t="s">
        <v>221</v>
      </c>
      <c r="T94" s="1564" t="s">
        <v>51</v>
      </c>
    </row>
    <row r="95" spans="2:24" s="4" customFormat="1" ht="20.100000000000001" customHeight="1" x14ac:dyDescent="0.3">
      <c r="C95" s="2672"/>
      <c r="D95" s="2672"/>
      <c r="E95" s="2672"/>
      <c r="G95" s="231"/>
      <c r="H95" s="231"/>
      <c r="I95" s="231"/>
      <c r="J95" s="231"/>
      <c r="K95" s="2654"/>
      <c r="L95" s="2655">
        <f>SUM(H84:I90)</f>
        <v>0</v>
      </c>
      <c r="M95" s="2656"/>
      <c r="N95" s="2510">
        <f>SUM(N84:O90)</f>
        <v>0</v>
      </c>
      <c r="O95" s="2511"/>
      <c r="P95" s="706"/>
      <c r="Q95" s="2432">
        <f>SUM(Q84:R90)</f>
        <v>0</v>
      </c>
      <c r="R95" s="2433"/>
      <c r="S95" s="2410">
        <f>SUM(S84:T90)</f>
        <v>0</v>
      </c>
      <c r="T95" s="2411"/>
      <c r="X95" s="343"/>
    </row>
    <row r="96" spans="2:24" ht="20.100000000000001" customHeight="1" x14ac:dyDescent="0.3">
      <c r="C96" s="230"/>
      <c r="D96" s="230"/>
      <c r="E96" s="230"/>
      <c r="F96" s="14"/>
      <c r="G96" s="231"/>
      <c r="H96" s="231"/>
      <c r="I96" s="231"/>
      <c r="J96" s="231"/>
      <c r="K96" s="2668" t="s">
        <v>498</v>
      </c>
      <c r="L96" s="1539" t="s">
        <v>144</v>
      </c>
      <c r="M96" s="1540" t="s">
        <v>206</v>
      </c>
      <c r="N96" s="1539" t="s">
        <v>144</v>
      </c>
      <c r="O96" s="1541" t="s">
        <v>206</v>
      </c>
      <c r="P96" s="1542"/>
      <c r="Q96" s="1543" t="s">
        <v>144</v>
      </c>
      <c r="R96" s="1540" t="s">
        <v>206</v>
      </c>
      <c r="S96" s="1539" t="s">
        <v>144</v>
      </c>
      <c r="T96" s="1540" t="s">
        <v>206</v>
      </c>
    </row>
    <row r="97" spans="3:24" ht="20.100000000000001" customHeight="1" x14ac:dyDescent="0.3">
      <c r="C97" s="226"/>
      <c r="D97" s="226"/>
      <c r="E97" s="226"/>
      <c r="F97" s="14"/>
      <c r="G97" s="232"/>
      <c r="H97" s="232"/>
      <c r="I97" s="232"/>
      <c r="J97" s="232"/>
      <c r="K97" s="2669"/>
      <c r="L97" s="1544">
        <f>SUM(L84:L90)</f>
        <v>0</v>
      </c>
      <c r="M97" s="1545">
        <f>SUM(M84:M90)</f>
        <v>0</v>
      </c>
      <c r="N97" s="1544">
        <f>SUM(N84:N90)</f>
        <v>0</v>
      </c>
      <c r="O97" s="1546">
        <f>SUM(O84:O90)</f>
        <v>0</v>
      </c>
      <c r="P97" s="1542"/>
      <c r="Q97" s="1547">
        <f>SUM(Q84:Q90)</f>
        <v>0</v>
      </c>
      <c r="R97" s="1545">
        <f>SUM(R84:R90)</f>
        <v>0</v>
      </c>
      <c r="S97" s="1544">
        <f>SUM(S84:S90)</f>
        <v>0</v>
      </c>
      <c r="T97" s="1545">
        <f>SUM(T84:T90)</f>
        <v>0</v>
      </c>
    </row>
    <row r="98" spans="3:24" ht="20.100000000000001" customHeight="1" x14ac:dyDescent="0.3">
      <c r="C98" s="230"/>
      <c r="D98" s="230"/>
      <c r="E98" s="230"/>
      <c r="F98" s="14"/>
      <c r="G98" s="231"/>
      <c r="H98" s="231"/>
      <c r="I98" s="231"/>
      <c r="J98" s="231"/>
      <c r="K98" s="2566" t="s">
        <v>499</v>
      </c>
      <c r="L98" s="1548" t="s">
        <v>145</v>
      </c>
      <c r="M98" s="1549" t="s">
        <v>146</v>
      </c>
      <c r="N98" s="1548" t="s">
        <v>145</v>
      </c>
      <c r="O98" s="1550" t="s">
        <v>146</v>
      </c>
      <c r="P98" s="1542"/>
      <c r="Q98" s="1551" t="s">
        <v>145</v>
      </c>
      <c r="R98" s="1549" t="s">
        <v>146</v>
      </c>
      <c r="S98" s="1548" t="s">
        <v>145</v>
      </c>
      <c r="T98" s="1549" t="s">
        <v>146</v>
      </c>
    </row>
    <row r="99" spans="3:24" ht="20.100000000000001" customHeight="1" x14ac:dyDescent="0.3">
      <c r="C99" s="226"/>
      <c r="D99" s="226"/>
      <c r="E99" s="226"/>
      <c r="F99" s="14"/>
      <c r="G99" s="232"/>
      <c r="H99" s="232"/>
      <c r="I99" s="232"/>
      <c r="J99" s="232"/>
      <c r="K99" s="2567"/>
      <c r="L99" s="1552"/>
      <c r="M99" s="1553"/>
      <c r="N99" s="1552"/>
      <c r="O99" s="1554"/>
      <c r="P99" s="1555"/>
      <c r="Q99" s="1556"/>
      <c r="R99" s="1553"/>
      <c r="S99" s="1552"/>
      <c r="T99" s="1553"/>
    </row>
    <row r="100" spans="3:24" ht="6" customHeight="1" x14ac:dyDescent="0.3"/>
    <row r="101" spans="3:24" s="21" customFormat="1" ht="15" customHeight="1" x14ac:dyDescent="0.3">
      <c r="D101" s="58"/>
      <c r="E101" s="58"/>
      <c r="F101" s="54"/>
      <c r="G101" s="58"/>
      <c r="H101" s="58"/>
      <c r="I101" s="58"/>
      <c r="J101" s="23"/>
      <c r="K101" s="2597" t="s">
        <v>820</v>
      </c>
      <c r="L101" s="2598"/>
      <c r="M101" s="2599"/>
      <c r="N101" s="2509" t="s">
        <v>1039</v>
      </c>
      <c r="O101" s="2402"/>
      <c r="P101" s="227"/>
      <c r="Q101" s="2426" t="s">
        <v>1037</v>
      </c>
      <c r="R101" s="2427"/>
      <c r="S101" s="2401" t="s">
        <v>1038</v>
      </c>
      <c r="T101" s="2402"/>
      <c r="X101" s="341"/>
    </row>
    <row r="102" spans="3:24" s="21" customFormat="1" ht="15" customHeight="1" x14ac:dyDescent="0.25">
      <c r="D102" s="58"/>
      <c r="E102" s="58"/>
      <c r="F102" s="54"/>
      <c r="G102" s="58"/>
      <c r="H102" s="58"/>
      <c r="I102" s="58"/>
      <c r="J102" s="23"/>
      <c r="K102" s="2600"/>
      <c r="L102" s="2601"/>
      <c r="M102" s="2602"/>
      <c r="N102" s="2584" t="str">
        <f>IF(durée_1=0," ",durée_1)</f>
        <v xml:space="preserve"> </v>
      </c>
      <c r="O102" s="2406"/>
      <c r="P102" s="227"/>
      <c r="Q102" s="2512" t="str">
        <f>IF(durée_2=0," ",durée_2)</f>
        <v xml:space="preserve"> </v>
      </c>
      <c r="R102" s="2513"/>
      <c r="S102" s="2405" t="str">
        <f>IF(durée_3=0," ",durée_3)</f>
        <v xml:space="preserve"> </v>
      </c>
      <c r="T102" s="2406"/>
      <c r="X102" s="341"/>
    </row>
    <row r="103" spans="3:24" s="21" customFormat="1" ht="21.9" customHeight="1" x14ac:dyDescent="0.25">
      <c r="D103" s="23"/>
      <c r="E103" s="23"/>
      <c r="G103" s="234"/>
      <c r="H103" s="234"/>
      <c r="I103" s="234"/>
      <c r="J103" s="234"/>
      <c r="K103" s="2595" t="s">
        <v>1041</v>
      </c>
      <c r="L103" s="2596"/>
      <c r="M103" s="2596"/>
      <c r="N103" s="2515"/>
      <c r="O103" s="2431"/>
      <c r="P103" s="227"/>
      <c r="Q103" s="2430"/>
      <c r="R103" s="2431"/>
      <c r="S103" s="2403"/>
      <c r="T103" s="2404"/>
      <c r="X103" s="341"/>
    </row>
    <row r="104" spans="3:24" s="21" customFormat="1" ht="21.9" customHeight="1" x14ac:dyDescent="0.25">
      <c r="D104" s="23"/>
      <c r="E104" s="23"/>
      <c r="F104" s="23"/>
      <c r="G104" s="235"/>
      <c r="H104" s="235"/>
      <c r="I104" s="235"/>
      <c r="J104" s="236"/>
      <c r="K104" s="2592" t="s">
        <v>822</v>
      </c>
      <c r="L104" s="2593"/>
      <c r="M104" s="1583" t="s">
        <v>85</v>
      </c>
      <c r="N104" s="2514"/>
      <c r="O104" s="2417"/>
      <c r="P104" s="227"/>
      <c r="Q104" s="2571"/>
      <c r="R104" s="2417"/>
      <c r="S104" s="2416"/>
      <c r="T104" s="2417"/>
      <c r="X104" s="341"/>
    </row>
    <row r="105" spans="3:24" s="21" customFormat="1" ht="20.100000000000001" customHeight="1" thickBot="1" x14ac:dyDescent="0.3">
      <c r="D105" s="23"/>
      <c r="E105" s="23"/>
      <c r="G105" s="234"/>
      <c r="H105" s="234"/>
      <c r="I105" s="234"/>
      <c r="J105" s="234"/>
      <c r="K105" s="2594"/>
      <c r="L105" s="2593"/>
      <c r="M105" s="1584" t="s">
        <v>138</v>
      </c>
      <c r="N105" s="2568">
        <f>IF(N103=0,0,N104/N103)</f>
        <v>0</v>
      </c>
      <c r="O105" s="2421"/>
      <c r="P105" s="237"/>
      <c r="Q105" s="2570">
        <f>IF(Q103=0,0,Q104/Q103)</f>
        <v>0</v>
      </c>
      <c r="R105" s="2421"/>
      <c r="S105" s="2420">
        <f>IF(S103=0,0,S104/S103)</f>
        <v>0</v>
      </c>
      <c r="T105" s="2421"/>
      <c r="X105" s="341"/>
    </row>
    <row r="106" spans="3:24" s="21" customFormat="1" ht="20.100000000000001" customHeight="1" thickTop="1" x14ac:dyDescent="0.3">
      <c r="D106" s="23"/>
      <c r="E106" s="23"/>
      <c r="F106" s="54"/>
      <c r="G106" s="58"/>
      <c r="H106" s="58"/>
      <c r="I106" s="58"/>
      <c r="J106" s="23"/>
      <c r="K106" s="2588" t="s">
        <v>1042</v>
      </c>
      <c r="L106" s="2589"/>
      <c r="M106" s="2589"/>
      <c r="N106" s="2519">
        <f>N103+N104</f>
        <v>0</v>
      </c>
      <c r="O106" s="2423"/>
      <c r="P106" s="802"/>
      <c r="Q106" s="2422">
        <f>Q103+Q104</f>
        <v>0</v>
      </c>
      <c r="R106" s="2569"/>
      <c r="S106" s="2422">
        <f>S103+S104</f>
        <v>0</v>
      </c>
      <c r="T106" s="2423"/>
      <c r="X106" s="341"/>
    </row>
    <row r="107" spans="3:24" ht="21.9" customHeight="1" x14ac:dyDescent="0.3">
      <c r="D107" s="238"/>
      <c r="E107" s="238"/>
      <c r="F107" s="14"/>
      <c r="G107" s="239"/>
      <c r="H107" s="239"/>
      <c r="I107" s="239"/>
      <c r="J107" s="239"/>
      <c r="K107" s="2590"/>
      <c r="L107" s="2591"/>
      <c r="M107" s="2591"/>
      <c r="N107" s="2587">
        <f>IF(ca_1=0,0,IF(N106=0,0,N106/ca_1))</f>
        <v>0</v>
      </c>
      <c r="O107" s="2577"/>
      <c r="Q107" s="2576">
        <f>IF(ca_2=0,0,IF(Q103=0,0,Q106/ca_2))</f>
        <v>0</v>
      </c>
      <c r="R107" s="2586"/>
      <c r="S107" s="2576">
        <f>IF(ca_3=0,0,IF(S103=0,0,S106/ca_3))</f>
        <v>0</v>
      </c>
      <c r="T107" s="2577"/>
    </row>
    <row r="108" spans="3:24" ht="20.100000000000001" customHeight="1" x14ac:dyDescent="0.3">
      <c r="K108" s="240"/>
      <c r="L108" s="240"/>
      <c r="M108" s="240"/>
      <c r="N108" s="241"/>
      <c r="O108" s="241"/>
      <c r="Q108" s="242"/>
      <c r="R108" s="242"/>
      <c r="S108" s="242"/>
      <c r="T108" s="242"/>
    </row>
    <row r="109" spans="3:24" ht="15" customHeight="1" x14ac:dyDescent="0.3">
      <c r="K109" s="240"/>
      <c r="L109" s="240"/>
      <c r="M109" s="240"/>
      <c r="N109" s="241"/>
      <c r="O109" s="241"/>
      <c r="Q109" s="242"/>
      <c r="R109" s="242"/>
      <c r="S109" s="242"/>
      <c r="T109" s="242"/>
    </row>
    <row r="110" spans="3:24" ht="15" customHeight="1" x14ac:dyDescent="0.3">
      <c r="K110" s="240"/>
      <c r="L110" s="240"/>
      <c r="M110" s="240"/>
      <c r="N110" s="241"/>
      <c r="O110" s="241"/>
      <c r="Q110" s="242"/>
      <c r="R110" s="242"/>
      <c r="S110" s="242"/>
      <c r="T110" s="242"/>
    </row>
    <row r="111" spans="3:24" ht="15" customHeight="1" x14ac:dyDescent="0.3">
      <c r="K111" s="240"/>
      <c r="L111" s="240"/>
      <c r="M111" s="240"/>
      <c r="N111" s="241"/>
      <c r="O111" s="241"/>
      <c r="Q111" s="242"/>
      <c r="R111" s="242"/>
      <c r="S111" s="242"/>
      <c r="T111" s="242"/>
    </row>
    <row r="112" spans="3:24" ht="15" customHeight="1" x14ac:dyDescent="0.3">
      <c r="K112" s="240"/>
      <c r="L112" s="240"/>
      <c r="M112" s="240"/>
      <c r="N112" s="241"/>
      <c r="O112" s="241"/>
      <c r="Q112" s="242"/>
      <c r="R112" s="242"/>
      <c r="S112" s="242"/>
      <c r="T112" s="242"/>
    </row>
    <row r="113" spans="11:20" ht="15" customHeight="1" x14ac:dyDescent="0.3">
      <c r="K113" s="240"/>
      <c r="L113" s="240"/>
      <c r="M113" s="240"/>
      <c r="N113" s="241"/>
      <c r="O113" s="241"/>
      <c r="Q113" s="242"/>
      <c r="R113" s="242"/>
      <c r="S113" s="242"/>
      <c r="T113" s="242"/>
    </row>
    <row r="114" spans="11:20" ht="15" customHeight="1" x14ac:dyDescent="0.3">
      <c r="K114" s="240"/>
      <c r="L114" s="240"/>
      <c r="M114" s="240"/>
      <c r="N114" s="241"/>
      <c r="O114" s="241"/>
      <c r="Q114" s="242"/>
      <c r="R114" s="242"/>
      <c r="S114" s="242"/>
      <c r="T114" s="242"/>
    </row>
    <row r="115" spans="11:20" ht="15" customHeight="1" x14ac:dyDescent="0.3">
      <c r="K115" s="240"/>
      <c r="L115" s="240"/>
      <c r="M115" s="240"/>
      <c r="N115" s="241"/>
      <c r="O115" s="241"/>
      <c r="Q115" s="242"/>
      <c r="R115" s="242"/>
      <c r="S115" s="242"/>
      <c r="T115" s="242"/>
    </row>
    <row r="116" spans="11:20" ht="15" customHeight="1" x14ac:dyDescent="0.3">
      <c r="K116" s="240"/>
      <c r="L116" s="240"/>
      <c r="M116" s="240"/>
      <c r="N116" s="241"/>
      <c r="O116" s="241"/>
      <c r="Q116" s="242"/>
      <c r="R116" s="242"/>
      <c r="S116" s="242"/>
      <c r="T116" s="242"/>
    </row>
    <row r="117" spans="11:20" ht="15" customHeight="1" x14ac:dyDescent="0.3">
      <c r="K117" s="240"/>
      <c r="L117" s="240"/>
      <c r="M117" s="240"/>
      <c r="N117" s="241"/>
      <c r="O117" s="241"/>
      <c r="Q117" s="242"/>
      <c r="R117" s="242"/>
      <c r="S117" s="242"/>
      <c r="T117" s="242"/>
    </row>
    <row r="118" spans="11:20" ht="15" customHeight="1" x14ac:dyDescent="0.3">
      <c r="K118" s="240"/>
      <c r="L118" s="240"/>
      <c r="M118" s="240"/>
      <c r="N118" s="241"/>
      <c r="O118" s="241"/>
      <c r="Q118" s="242"/>
      <c r="R118" s="242"/>
      <c r="S118" s="242"/>
      <c r="T118" s="242"/>
    </row>
    <row r="119" spans="11:20" ht="15" customHeight="1" x14ac:dyDescent="0.3">
      <c r="K119" s="240"/>
      <c r="L119" s="240"/>
      <c r="M119" s="240"/>
      <c r="N119" s="241"/>
      <c r="O119" s="241"/>
      <c r="Q119" s="242"/>
      <c r="R119" s="242"/>
      <c r="S119" s="242"/>
      <c r="T119" s="242"/>
    </row>
    <row r="120" spans="11:20" ht="15" customHeight="1" x14ac:dyDescent="0.3"/>
    <row r="121" spans="11:20" ht="15" customHeight="1" x14ac:dyDescent="0.3"/>
    <row r="122" spans="11:20" ht="15" customHeight="1" x14ac:dyDescent="0.3"/>
    <row r="123" spans="11:20" ht="15" customHeight="1" x14ac:dyDescent="0.3"/>
    <row r="124" spans="11:20" ht="15" customHeight="1" x14ac:dyDescent="0.3"/>
    <row r="125" spans="11:20" ht="15" customHeight="1" x14ac:dyDescent="0.3"/>
    <row r="126" spans="11:20" ht="15" customHeight="1" x14ac:dyDescent="0.3"/>
    <row r="127" spans="11:20" ht="15" customHeight="1" x14ac:dyDescent="0.3"/>
    <row r="128" spans="11:20" ht="15" customHeight="1" x14ac:dyDescent="0.3">
      <c r="L128" s="209"/>
      <c r="M128" s="209"/>
      <c r="P128" s="209"/>
    </row>
    <row r="129" spans="2:24" ht="20.100000000000001" customHeight="1" x14ac:dyDescent="0.3">
      <c r="B129" s="2634" t="s">
        <v>501</v>
      </c>
      <c r="C129" s="2635"/>
      <c r="D129" s="2635"/>
      <c r="E129" s="2636"/>
      <c r="F129" s="2689" t="s">
        <v>97</v>
      </c>
      <c r="G129" s="2689"/>
      <c r="H129" s="2689"/>
      <c r="I129" s="2689"/>
      <c r="J129" s="1572"/>
      <c r="K129" s="2504" t="s">
        <v>98</v>
      </c>
      <c r="L129" s="2505"/>
      <c r="M129" s="2585"/>
      <c r="N129" s="2504" t="s">
        <v>99</v>
      </c>
      <c r="O129" s="2505"/>
      <c r="P129" s="2505"/>
      <c r="Q129" s="2505"/>
      <c r="R129" s="2506"/>
      <c r="S129" s="2424" t="s">
        <v>339</v>
      </c>
      <c r="T129" s="2425"/>
    </row>
    <row r="130" spans="2:24" ht="20.100000000000001" customHeight="1" x14ac:dyDescent="0.3">
      <c r="B130" s="2637"/>
      <c r="C130" s="2638"/>
      <c r="D130" s="2638"/>
      <c r="E130" s="2639"/>
      <c r="F130" s="2632" t="s">
        <v>249</v>
      </c>
      <c r="G130" s="2633"/>
      <c r="H130" s="2517" t="s">
        <v>339</v>
      </c>
      <c r="I130" s="2517"/>
      <c r="J130" s="2517"/>
      <c r="K130" s="1571" t="s">
        <v>259</v>
      </c>
      <c r="L130" s="2530" t="s">
        <v>339</v>
      </c>
      <c r="M130" s="2531"/>
      <c r="N130" s="2582" t="s">
        <v>378</v>
      </c>
      <c r="O130" s="2583"/>
      <c r="P130" s="2516" t="s">
        <v>339</v>
      </c>
      <c r="Q130" s="2517"/>
      <c r="R130" s="2518"/>
      <c r="S130" s="2418" t="s">
        <v>205</v>
      </c>
      <c r="T130" s="2419"/>
    </row>
    <row r="131" spans="2:24" s="15" customFormat="1" ht="20.100000000000001" customHeight="1" x14ac:dyDescent="0.3">
      <c r="B131" s="2640"/>
      <c r="C131" s="2641"/>
      <c r="D131" s="2641"/>
      <c r="E131" s="2642"/>
      <c r="F131" s="1756" t="s">
        <v>376</v>
      </c>
      <c r="G131" s="1757" t="s">
        <v>221</v>
      </c>
      <c r="H131" s="2534" t="s">
        <v>85</v>
      </c>
      <c r="I131" s="2534"/>
      <c r="J131" s="2534"/>
      <c r="K131" s="1758" t="s">
        <v>258</v>
      </c>
      <c r="L131" s="2522" t="s">
        <v>85</v>
      </c>
      <c r="M131" s="2523"/>
      <c r="N131" s="2578" t="s">
        <v>260</v>
      </c>
      <c r="O131" s="2579"/>
      <c r="P131" s="2522" t="s">
        <v>85</v>
      </c>
      <c r="Q131" s="2534"/>
      <c r="R131" s="2535"/>
      <c r="S131" s="2580" t="s">
        <v>85</v>
      </c>
      <c r="T131" s="2581"/>
      <c r="U131" s="14"/>
      <c r="X131" s="342"/>
    </row>
    <row r="132" spans="2:24" ht="20.100000000000001" customHeight="1" x14ac:dyDescent="0.3">
      <c r="B132" s="2526"/>
      <c r="C132" s="2527"/>
      <c r="D132" s="2527"/>
      <c r="E132" s="2527"/>
      <c r="F132" s="1565"/>
      <c r="G132" s="1566"/>
      <c r="H132" s="2503"/>
      <c r="I132" s="2503"/>
      <c r="J132" s="2503"/>
      <c r="K132" s="1565"/>
      <c r="L132" s="2503"/>
      <c r="M132" s="2503"/>
      <c r="N132" s="2532"/>
      <c r="O132" s="2533"/>
      <c r="P132" s="2503"/>
      <c r="Q132" s="2503"/>
      <c r="R132" s="2503"/>
      <c r="S132" s="2414">
        <f>H132+L132+P132</f>
        <v>0</v>
      </c>
      <c r="T132" s="2415"/>
    </row>
    <row r="133" spans="2:24" ht="20.100000000000001" customHeight="1" x14ac:dyDescent="0.3">
      <c r="B133" s="2630"/>
      <c r="C133" s="2631"/>
      <c r="D133" s="2631"/>
      <c r="E133" s="2631"/>
      <c r="F133" s="1567"/>
      <c r="G133" s="1568"/>
      <c r="H133" s="2508"/>
      <c r="I133" s="2508"/>
      <c r="J133" s="2508"/>
      <c r="K133" s="1567"/>
      <c r="L133" s="2508"/>
      <c r="M133" s="2508"/>
      <c r="N133" s="2536"/>
      <c r="O133" s="2537"/>
      <c r="P133" s="2508"/>
      <c r="Q133" s="2508"/>
      <c r="R133" s="2508"/>
      <c r="S133" s="2408">
        <f>H133+L133+P133</f>
        <v>0</v>
      </c>
      <c r="T133" s="2409"/>
    </row>
    <row r="134" spans="2:24" ht="20.100000000000001" customHeight="1" x14ac:dyDescent="0.3">
      <c r="B134" s="2630"/>
      <c r="C134" s="2631"/>
      <c r="D134" s="2631"/>
      <c r="E134" s="2631"/>
      <c r="F134" s="1567"/>
      <c r="G134" s="1568"/>
      <c r="H134" s="2508"/>
      <c r="I134" s="2508"/>
      <c r="J134" s="2508"/>
      <c r="K134" s="1567"/>
      <c r="L134" s="2508"/>
      <c r="M134" s="2508"/>
      <c r="N134" s="2536"/>
      <c r="O134" s="2537"/>
      <c r="P134" s="2508"/>
      <c r="Q134" s="2508"/>
      <c r="R134" s="2508"/>
      <c r="S134" s="2408">
        <f>H134+L134+P134</f>
        <v>0</v>
      </c>
      <c r="T134" s="2409"/>
    </row>
    <row r="135" spans="2:24" ht="20.100000000000001" customHeight="1" x14ac:dyDescent="0.3">
      <c r="B135" s="2630"/>
      <c r="C135" s="2631"/>
      <c r="D135" s="2631"/>
      <c r="E135" s="2631"/>
      <c r="F135" s="1567"/>
      <c r="G135" s="1568"/>
      <c r="H135" s="2508"/>
      <c r="I135" s="2508"/>
      <c r="J135" s="2508"/>
      <c r="K135" s="1567"/>
      <c r="L135" s="2508"/>
      <c r="M135" s="2508"/>
      <c r="N135" s="2536"/>
      <c r="O135" s="2537"/>
      <c r="P135" s="2508"/>
      <c r="Q135" s="2508"/>
      <c r="R135" s="2508"/>
      <c r="S135" s="2408">
        <f>H135+L135+P135</f>
        <v>0</v>
      </c>
      <c r="T135" s="2409"/>
    </row>
    <row r="136" spans="2:24" ht="19.5" customHeight="1" x14ac:dyDescent="0.3">
      <c r="B136" s="2526"/>
      <c r="C136" s="2527"/>
      <c r="D136" s="2527"/>
      <c r="E136" s="2527"/>
      <c r="F136" s="1565"/>
      <c r="G136" s="1566"/>
      <c r="H136" s="2503"/>
      <c r="I136" s="2503"/>
      <c r="J136" s="2503"/>
      <c r="K136" s="1565"/>
      <c r="L136" s="2503"/>
      <c r="M136" s="2503"/>
      <c r="N136" s="2532"/>
      <c r="O136" s="2533"/>
      <c r="P136" s="2503"/>
      <c r="Q136" s="2503"/>
      <c r="R136" s="2503"/>
      <c r="S136" s="2414">
        <f>H136+L136+P136</f>
        <v>0</v>
      </c>
      <c r="T136" s="2415"/>
    </row>
    <row r="137" spans="2:24" ht="24.9" customHeight="1" x14ac:dyDescent="0.3">
      <c r="B137" s="2501" t="s">
        <v>248</v>
      </c>
      <c r="C137" s="2502"/>
      <c r="D137" s="2502"/>
      <c r="E137" s="2502"/>
      <c r="F137" s="1569">
        <f>SUM(F132:F136)</f>
        <v>0</v>
      </c>
      <c r="G137" s="1570">
        <f>SUM(G132:G136)</f>
        <v>0</v>
      </c>
      <c r="H137" s="2507">
        <f>SUM(H132:J136)</f>
        <v>0</v>
      </c>
      <c r="I137" s="2507"/>
      <c r="J137" s="2507"/>
      <c r="K137" s="1569">
        <f>SUM(K132:K136)</f>
        <v>0</v>
      </c>
      <c r="L137" s="2507">
        <f>SUM(L132:M136)</f>
        <v>0</v>
      </c>
      <c r="M137" s="2507"/>
      <c r="N137" s="2520">
        <f>SUM(N132:N136)</f>
        <v>0</v>
      </c>
      <c r="O137" s="2521"/>
      <c r="P137" s="2507">
        <f>SUM(Q132:R136)</f>
        <v>0</v>
      </c>
      <c r="Q137" s="2507"/>
      <c r="R137" s="2507"/>
      <c r="S137" s="2412">
        <f>SUM(S132:T136)</f>
        <v>0</v>
      </c>
      <c r="T137" s="2413"/>
    </row>
    <row r="138" spans="2:24" ht="15" customHeight="1" x14ac:dyDescent="0.3"/>
    <row r="139" spans="2:24" ht="20.100000000000001" customHeight="1" x14ac:dyDescent="0.3"/>
    <row r="140" spans="2:24" ht="15" customHeight="1" x14ac:dyDescent="0.3"/>
    <row r="141" spans="2:24" ht="15" customHeight="1" x14ac:dyDescent="0.3">
      <c r="Q141" s="2400"/>
      <c r="R141" s="2400"/>
      <c r="S141" s="2400"/>
      <c r="T141" s="243"/>
    </row>
  </sheetData>
  <sheetProtection algorithmName="SHA-512" hashValue="4kOUWPDYuWGJYXYEUkIC5sIEq+Wo59vpX9Hcy15T/8QwSsK4W/XJCQBhJsNVB3x/SCnprLPX7mK0abQ/h2gBDw==" saltValue="9mZyMsIR3Ru/PCwslW/BUA==" spinCount="100000" sheet="1" objects="1" scenarios="1" formatCells="0" formatColumns="0" formatRows="0" insertColumns="0" insertRows="0" insertHyperlinks="0" deleteColumns="0" deleteRows="0" sort="0"/>
  <mergeCells count="458">
    <mergeCell ref="Q27:R27"/>
    <mergeCell ref="S25:T25"/>
    <mergeCell ref="Q25:R25"/>
    <mergeCell ref="G57:I57"/>
    <mergeCell ref="G58:I58"/>
    <mergeCell ref="B59:D59"/>
    <mergeCell ref="C34:E34"/>
    <mergeCell ref="S50:T50"/>
    <mergeCell ref="S46:T46"/>
    <mergeCell ref="S54:T54"/>
    <mergeCell ref="Q57:R57"/>
    <mergeCell ref="S36:T36"/>
    <mergeCell ref="S28:T28"/>
    <mergeCell ref="Q41:R41"/>
    <mergeCell ref="Q31:R31"/>
    <mergeCell ref="S31:T31"/>
    <mergeCell ref="S30:T30"/>
    <mergeCell ref="Q42:R42"/>
    <mergeCell ref="Q43:R43"/>
    <mergeCell ref="Q34:R34"/>
    <mergeCell ref="N48:O48"/>
    <mergeCell ref="S38:T38"/>
    <mergeCell ref="N47:O47"/>
    <mergeCell ref="S27:T27"/>
    <mergeCell ref="C84:F84"/>
    <mergeCell ref="C85:F85"/>
    <mergeCell ref="S69:T69"/>
    <mergeCell ref="S48:T48"/>
    <mergeCell ref="S61:T61"/>
    <mergeCell ref="S53:T53"/>
    <mergeCell ref="L35:M35"/>
    <mergeCell ref="N35:O35"/>
    <mergeCell ref="Q35:R35"/>
    <mergeCell ref="S35:T35"/>
    <mergeCell ref="L64:M64"/>
    <mergeCell ref="L61:M61"/>
    <mergeCell ref="N61:O61"/>
    <mergeCell ref="N59:O59"/>
    <mergeCell ref="N58:O58"/>
    <mergeCell ref="Q61:R61"/>
    <mergeCell ref="Q62:R62"/>
    <mergeCell ref="N62:O62"/>
    <mergeCell ref="S58:T58"/>
    <mergeCell ref="L39:M39"/>
    <mergeCell ref="N49:O49"/>
    <mergeCell ref="F48:I48"/>
    <mergeCell ref="L56:M56"/>
    <mergeCell ref="L42:M42"/>
    <mergeCell ref="N23:O23"/>
    <mergeCell ref="Q23:R23"/>
    <mergeCell ref="S23:T23"/>
    <mergeCell ref="C26:E26"/>
    <mergeCell ref="H26:I26"/>
    <mergeCell ref="L26:M26"/>
    <mergeCell ref="N26:O26"/>
    <mergeCell ref="Q26:R26"/>
    <mergeCell ref="S26:T26"/>
    <mergeCell ref="C25:E25"/>
    <mergeCell ref="N24:O24"/>
    <mergeCell ref="L25:M25"/>
    <mergeCell ref="Q24:R24"/>
    <mergeCell ref="B2:C2"/>
    <mergeCell ref="D2:T2"/>
    <mergeCell ref="B30:B36"/>
    <mergeCell ref="B74:D74"/>
    <mergeCell ref="B71:D71"/>
    <mergeCell ref="B80:B83"/>
    <mergeCell ref="G4:K4"/>
    <mergeCell ref="B22:B24"/>
    <mergeCell ref="B13:B15"/>
    <mergeCell ref="B11:B12"/>
    <mergeCell ref="C6:E7"/>
    <mergeCell ref="B16:B18"/>
    <mergeCell ref="C22:E22"/>
    <mergeCell ref="C13:E13"/>
    <mergeCell ref="C27:E27"/>
    <mergeCell ref="B19:B21"/>
    <mergeCell ref="B37:B38"/>
    <mergeCell ref="G80:G83"/>
    <mergeCell ref="C80:F83"/>
    <mergeCell ref="B78:G78"/>
    <mergeCell ref="C37:F37"/>
    <mergeCell ref="B56:C56"/>
    <mergeCell ref="B60:D60"/>
    <mergeCell ref="S14:T14"/>
    <mergeCell ref="C88:F88"/>
    <mergeCell ref="B134:E134"/>
    <mergeCell ref="C95:E95"/>
    <mergeCell ref="I85:J85"/>
    <mergeCell ref="C89:F89"/>
    <mergeCell ref="C90:F90"/>
    <mergeCell ref="F65:I65"/>
    <mergeCell ref="I88:J88"/>
    <mergeCell ref="I89:J89"/>
    <mergeCell ref="I90:J90"/>
    <mergeCell ref="B133:E133"/>
    <mergeCell ref="C86:F86"/>
    <mergeCell ref="I86:J86"/>
    <mergeCell ref="C87:F87"/>
    <mergeCell ref="I87:J87"/>
    <mergeCell ref="B92:F92"/>
    <mergeCell ref="G92:H92"/>
    <mergeCell ref="G69:H69"/>
    <mergeCell ref="G70:H70"/>
    <mergeCell ref="G71:H71"/>
    <mergeCell ref="G72:H72"/>
    <mergeCell ref="F129:I129"/>
    <mergeCell ref="G73:H73"/>
    <mergeCell ref="G74:H74"/>
    <mergeCell ref="B135:E135"/>
    <mergeCell ref="F130:G130"/>
    <mergeCell ref="B129:E131"/>
    <mergeCell ref="H130:J130"/>
    <mergeCell ref="H24:I24"/>
    <mergeCell ref="H25:I25"/>
    <mergeCell ref="B28:I28"/>
    <mergeCell ref="K81:M81"/>
    <mergeCell ref="G53:H54"/>
    <mergeCell ref="B72:D72"/>
    <mergeCell ref="K94:K95"/>
    <mergeCell ref="L95:M95"/>
    <mergeCell ref="L41:M41"/>
    <mergeCell ref="L44:M44"/>
    <mergeCell ref="G61:I61"/>
    <mergeCell ref="G62:I62"/>
    <mergeCell ref="F64:I64"/>
    <mergeCell ref="C38:F38"/>
    <mergeCell ref="C36:E36"/>
    <mergeCell ref="B73:D73"/>
    <mergeCell ref="B132:E132"/>
    <mergeCell ref="B61:D61"/>
    <mergeCell ref="B62:D62"/>
    <mergeCell ref="K96:K97"/>
    <mergeCell ref="S16:T16"/>
    <mergeCell ref="S17:T17"/>
    <mergeCell ref="Q17:R17"/>
    <mergeCell ref="Q16:R16"/>
    <mergeCell ref="N16:O16"/>
    <mergeCell ref="L38:M38"/>
    <mergeCell ref="N30:O30"/>
    <mergeCell ref="N33:O33"/>
    <mergeCell ref="N27:O27"/>
    <mergeCell ref="L36:M36"/>
    <mergeCell ref="N38:O38"/>
    <mergeCell ref="L37:M37"/>
    <mergeCell ref="L30:M30"/>
    <mergeCell ref="L27:M27"/>
    <mergeCell ref="L33:M33"/>
    <mergeCell ref="L32:M32"/>
    <mergeCell ref="N32:O32"/>
    <mergeCell ref="Q32:R32"/>
    <mergeCell ref="S32:T32"/>
    <mergeCell ref="L23:M23"/>
    <mergeCell ref="S34:T34"/>
    <mergeCell ref="Q33:R33"/>
    <mergeCell ref="S33:T33"/>
    <mergeCell ref="Q30:R30"/>
    <mergeCell ref="H6:I7"/>
    <mergeCell ref="H11:I11"/>
    <mergeCell ref="S18:T18"/>
    <mergeCell ref="S19:T19"/>
    <mergeCell ref="S22:T22"/>
    <mergeCell ref="S21:T21"/>
    <mergeCell ref="S20:T20"/>
    <mergeCell ref="H14:I14"/>
    <mergeCell ref="H12:I12"/>
    <mergeCell ref="H13:I13"/>
    <mergeCell ref="H15:I15"/>
    <mergeCell ref="H16:I16"/>
    <mergeCell ref="H17:I17"/>
    <mergeCell ref="H18:I18"/>
    <mergeCell ref="H19:I19"/>
    <mergeCell ref="H21:I21"/>
    <mergeCell ref="H22:I22"/>
    <mergeCell ref="L16:M16"/>
    <mergeCell ref="Q12:R12"/>
    <mergeCell ref="N15:O15"/>
    <mergeCell ref="N21:O21"/>
    <mergeCell ref="N19:O19"/>
    <mergeCell ref="N18:O18"/>
    <mergeCell ref="N17:O17"/>
    <mergeCell ref="L14:M14"/>
    <mergeCell ref="N14:O14"/>
    <mergeCell ref="Q14:R14"/>
    <mergeCell ref="L20:M20"/>
    <mergeCell ref="N20:O20"/>
    <mergeCell ref="Q20:R20"/>
    <mergeCell ref="L19:M19"/>
    <mergeCell ref="L17:M17"/>
    <mergeCell ref="L22:M22"/>
    <mergeCell ref="L21:M21"/>
    <mergeCell ref="L15:M15"/>
    <mergeCell ref="C17:E17"/>
    <mergeCell ref="C18:E18"/>
    <mergeCell ref="C19:E19"/>
    <mergeCell ref="C16:E16"/>
    <mergeCell ref="H32:I32"/>
    <mergeCell ref="F51:G51"/>
    <mergeCell ref="K48:M49"/>
    <mergeCell ref="C21:E21"/>
    <mergeCell ref="C20:E20"/>
    <mergeCell ref="H20:I20"/>
    <mergeCell ref="C23:E23"/>
    <mergeCell ref="H23:I23"/>
    <mergeCell ref="L46:M46"/>
    <mergeCell ref="S107:T107"/>
    <mergeCell ref="N131:O131"/>
    <mergeCell ref="S134:T134"/>
    <mergeCell ref="S131:T131"/>
    <mergeCell ref="N130:O130"/>
    <mergeCell ref="N102:O102"/>
    <mergeCell ref="K129:M129"/>
    <mergeCell ref="Q107:R107"/>
    <mergeCell ref="N107:O107"/>
    <mergeCell ref="K106:M107"/>
    <mergeCell ref="K104:L105"/>
    <mergeCell ref="K103:M103"/>
    <mergeCell ref="K101:M102"/>
    <mergeCell ref="K98:K99"/>
    <mergeCell ref="N105:O105"/>
    <mergeCell ref="Q106:R106"/>
    <mergeCell ref="Q105:R105"/>
    <mergeCell ref="Q104:R104"/>
    <mergeCell ref="N34:O34"/>
    <mergeCell ref="N36:O36"/>
    <mergeCell ref="L34:M34"/>
    <mergeCell ref="L28:M28"/>
    <mergeCell ref="L31:M31"/>
    <mergeCell ref="N31:O31"/>
    <mergeCell ref="N37:O37"/>
    <mergeCell ref="N74:O74"/>
    <mergeCell ref="N73:O73"/>
    <mergeCell ref="Q76:R76"/>
    <mergeCell ref="Q59:R59"/>
    <mergeCell ref="N39:O39"/>
    <mergeCell ref="Q39:R39"/>
    <mergeCell ref="Q38:R38"/>
    <mergeCell ref="N46:O46"/>
    <mergeCell ref="Q58:R58"/>
    <mergeCell ref="N43:O43"/>
    <mergeCell ref="L43:M43"/>
    <mergeCell ref="L58:M58"/>
    <mergeCell ref="B4:C4"/>
    <mergeCell ref="D4:F4"/>
    <mergeCell ref="C30:E30"/>
    <mergeCell ref="F6:F7"/>
    <mergeCell ref="C15:E15"/>
    <mergeCell ref="L4:M4"/>
    <mergeCell ref="Q15:R15"/>
    <mergeCell ref="Q80:R80"/>
    <mergeCell ref="L18:M18"/>
    <mergeCell ref="L24:M24"/>
    <mergeCell ref="C24:E24"/>
    <mergeCell ref="B6:B7"/>
    <mergeCell ref="B25:B27"/>
    <mergeCell ref="G6:G7"/>
    <mergeCell ref="C42:F42"/>
    <mergeCell ref="C43:F43"/>
    <mergeCell ref="L47:M47"/>
    <mergeCell ref="Q13:R13"/>
    <mergeCell ref="Q18:R18"/>
    <mergeCell ref="Q19:R19"/>
    <mergeCell ref="C14:E14"/>
    <mergeCell ref="Q21:R21"/>
    <mergeCell ref="Q22:R22"/>
    <mergeCell ref="H27:I27"/>
    <mergeCell ref="H134:J134"/>
    <mergeCell ref="H133:J133"/>
    <mergeCell ref="L137:M137"/>
    <mergeCell ref="L133:M133"/>
    <mergeCell ref="L130:M130"/>
    <mergeCell ref="N136:O136"/>
    <mergeCell ref="S133:T133"/>
    <mergeCell ref="P132:R132"/>
    <mergeCell ref="P133:R133"/>
    <mergeCell ref="P131:R131"/>
    <mergeCell ref="H135:J135"/>
    <mergeCell ref="L134:M134"/>
    <mergeCell ref="P135:R135"/>
    <mergeCell ref="N133:O133"/>
    <mergeCell ref="L135:M135"/>
    <mergeCell ref="N135:O135"/>
    <mergeCell ref="N132:O132"/>
    <mergeCell ref="L132:M132"/>
    <mergeCell ref="N134:O134"/>
    <mergeCell ref="P136:R136"/>
    <mergeCell ref="H131:J131"/>
    <mergeCell ref="Q6:R6"/>
    <mergeCell ref="B137:E137"/>
    <mergeCell ref="H136:J136"/>
    <mergeCell ref="N129:R129"/>
    <mergeCell ref="P137:R137"/>
    <mergeCell ref="P134:R134"/>
    <mergeCell ref="N101:O101"/>
    <mergeCell ref="N95:O95"/>
    <mergeCell ref="Q102:R102"/>
    <mergeCell ref="N104:O104"/>
    <mergeCell ref="N103:O103"/>
    <mergeCell ref="P130:R130"/>
    <mergeCell ref="N106:O106"/>
    <mergeCell ref="N137:O137"/>
    <mergeCell ref="L136:M136"/>
    <mergeCell ref="L131:M131"/>
    <mergeCell ref="H132:J132"/>
    <mergeCell ref="Q82:R82"/>
    <mergeCell ref="B136:E136"/>
    <mergeCell ref="N82:O82"/>
    <mergeCell ref="N81:O81"/>
    <mergeCell ref="L7:M7"/>
    <mergeCell ref="L8:M8"/>
    <mergeCell ref="H137:J137"/>
    <mergeCell ref="L13:M13"/>
    <mergeCell ref="L11:M11"/>
    <mergeCell ref="K6:O6"/>
    <mergeCell ref="N7:O7"/>
    <mergeCell ref="N13:O13"/>
    <mergeCell ref="L12:M12"/>
    <mergeCell ref="N12:O12"/>
    <mergeCell ref="N8:O8"/>
    <mergeCell ref="N11:O11"/>
    <mergeCell ref="S81:T81"/>
    <mergeCell ref="S80:T80"/>
    <mergeCell ref="N69:O69"/>
    <mergeCell ref="N71:O71"/>
    <mergeCell ref="S6:T6"/>
    <mergeCell ref="S51:T51"/>
    <mergeCell ref="S11:T11"/>
    <mergeCell ref="S12:T12"/>
    <mergeCell ref="Q11:R11"/>
    <mergeCell ref="N44:O44"/>
    <mergeCell ref="Q7:R7"/>
    <mergeCell ref="N28:O28"/>
    <mergeCell ref="N41:O41"/>
    <mergeCell ref="N42:O42"/>
    <mergeCell ref="N22:O22"/>
    <mergeCell ref="Q36:R36"/>
    <mergeCell ref="N65:O65"/>
    <mergeCell ref="S7:T7"/>
    <mergeCell ref="N25:O25"/>
    <mergeCell ref="S15:T15"/>
    <mergeCell ref="S13:T13"/>
    <mergeCell ref="N51:O51"/>
    <mergeCell ref="S24:T24"/>
    <mergeCell ref="Q28:R28"/>
    <mergeCell ref="I84:J84"/>
    <mergeCell ref="S73:T73"/>
    <mergeCell ref="S64:T64"/>
    <mergeCell ref="S59:T59"/>
    <mergeCell ref="Q65:R65"/>
    <mergeCell ref="H80:M80"/>
    <mergeCell ref="N80:O80"/>
    <mergeCell ref="H78:T78"/>
    <mergeCell ref="H81:J81"/>
    <mergeCell ref="H82:J82"/>
    <mergeCell ref="I83:J83"/>
    <mergeCell ref="S82:T82"/>
    <mergeCell ref="Q73:R73"/>
    <mergeCell ref="Q72:R72"/>
    <mergeCell ref="S76:T76"/>
    <mergeCell ref="Q70:R70"/>
    <mergeCell ref="Q81:R81"/>
    <mergeCell ref="L82:M82"/>
    <mergeCell ref="N76:O76"/>
    <mergeCell ref="N72:O72"/>
    <mergeCell ref="Q74:R74"/>
    <mergeCell ref="S71:T71"/>
    <mergeCell ref="N70:O70"/>
    <mergeCell ref="K70:M70"/>
    <mergeCell ref="Q141:S141"/>
    <mergeCell ref="S101:T101"/>
    <mergeCell ref="S103:T103"/>
    <mergeCell ref="S102:T102"/>
    <mergeCell ref="Q64:R64"/>
    <mergeCell ref="Q60:R60"/>
    <mergeCell ref="S135:T135"/>
    <mergeCell ref="S95:T95"/>
    <mergeCell ref="S137:T137"/>
    <mergeCell ref="S132:T132"/>
    <mergeCell ref="S136:T136"/>
    <mergeCell ref="S104:T104"/>
    <mergeCell ref="S130:T130"/>
    <mergeCell ref="S105:T105"/>
    <mergeCell ref="S106:T106"/>
    <mergeCell ref="S129:T129"/>
    <mergeCell ref="Q101:R101"/>
    <mergeCell ref="S65:T65"/>
    <mergeCell ref="Q103:R103"/>
    <mergeCell ref="Q95:R95"/>
    <mergeCell ref="Q69:R69"/>
    <mergeCell ref="S70:T70"/>
    <mergeCell ref="S92:T92"/>
    <mergeCell ref="I92:R92"/>
    <mergeCell ref="K71:M71"/>
    <mergeCell ref="K72:M72"/>
    <mergeCell ref="K73:M73"/>
    <mergeCell ref="K74:M74"/>
    <mergeCell ref="K69:M69"/>
    <mergeCell ref="N50:O50"/>
    <mergeCell ref="K65:M65"/>
    <mergeCell ref="Q55:T55"/>
    <mergeCell ref="S72:T72"/>
    <mergeCell ref="Q71:R71"/>
    <mergeCell ref="S60:T60"/>
    <mergeCell ref="S62:T62"/>
    <mergeCell ref="Q56:R56"/>
    <mergeCell ref="S56:T56"/>
    <mergeCell ref="S57:T57"/>
    <mergeCell ref="Q51:R51"/>
    <mergeCell ref="M53:R53"/>
    <mergeCell ref="S74:T74"/>
    <mergeCell ref="N64:O64"/>
    <mergeCell ref="L62:M62"/>
    <mergeCell ref="L59:M59"/>
    <mergeCell ref="N56:O56"/>
    <mergeCell ref="Q50:R50"/>
    <mergeCell ref="M54:Q54"/>
    <mergeCell ref="L60:M60"/>
    <mergeCell ref="L57:M57"/>
    <mergeCell ref="N57:O57"/>
    <mergeCell ref="N60:O60"/>
    <mergeCell ref="Q37:R37"/>
    <mergeCell ref="S44:T44"/>
    <mergeCell ref="Q44:R44"/>
    <mergeCell ref="S37:T37"/>
    <mergeCell ref="S42:T42"/>
    <mergeCell ref="S47:T47"/>
    <mergeCell ref="Q49:R49"/>
    <mergeCell ref="Q46:R46"/>
    <mergeCell ref="Q47:R47"/>
    <mergeCell ref="S49:T49"/>
    <mergeCell ref="Q48:R48"/>
    <mergeCell ref="S39:T39"/>
    <mergeCell ref="S41:T41"/>
    <mergeCell ref="S43:T43"/>
    <mergeCell ref="B9:I9"/>
    <mergeCell ref="B67:I67"/>
    <mergeCell ref="F49:I49"/>
    <mergeCell ref="H30:I30"/>
    <mergeCell ref="H33:I33"/>
    <mergeCell ref="H34:I34"/>
    <mergeCell ref="H36:I36"/>
    <mergeCell ref="H37:I37"/>
    <mergeCell ref="H38:I38"/>
    <mergeCell ref="C33:E33"/>
    <mergeCell ref="B41:B43"/>
    <mergeCell ref="C41:F41"/>
    <mergeCell ref="F47:H47"/>
    <mergeCell ref="C31:E31"/>
    <mergeCell ref="H31:I31"/>
    <mergeCell ref="C32:E32"/>
    <mergeCell ref="C35:E35"/>
    <mergeCell ref="H35:I35"/>
    <mergeCell ref="G59:I59"/>
    <mergeCell ref="G60:I60"/>
    <mergeCell ref="B39:I39"/>
    <mergeCell ref="B44:I44"/>
    <mergeCell ref="H41:I43"/>
    <mergeCell ref="F46:I46"/>
  </mergeCells>
  <phoneticPr fontId="0" type="noConversion"/>
  <conditionalFormatting sqref="G138:I65548 G108:I128 G106:I106 G95:I102 G77:I77 G79:I79 H68:I68 G63:I63 H5:I5 G57:G58 L64 N64 Q64 S64 G68:G70 G3:I3 G5:G8 G52:I52 H51:I51 H6 H8:I8 G11:H13 G45:I45 G44:H44 G40:I40 G42:G43 G41:H41 G29:I29 G30:H30 G62 G75:I75 G15:H19 G21:H22 G24:H25 G27:H27 G33:H34 G36:H39 H10:I10 G10:G13">
    <cfRule type="cellIs" dxfId="763" priority="135" stopIfTrue="1" operator="equal">
      <formula>"oui"</formula>
    </cfRule>
  </conditionalFormatting>
  <conditionalFormatting sqref="F11:F13 F30 F44 F39:F40 F15:F19 F21:F22 F24:F25 F27 F33:F34 F36">
    <cfRule type="cellIs" dxfId="762" priority="138" stopIfTrue="1" operator="equal">
      <formula>"occasion"</formula>
    </cfRule>
  </conditionalFormatting>
  <conditionalFormatting sqref="N107:O107 Q107:T107">
    <cfRule type="cellIs" dxfId="761" priority="108" stopIfTrue="1" operator="equal">
      <formula>0</formula>
    </cfRule>
  </conditionalFormatting>
  <conditionalFormatting sqref="F57:F62">
    <cfRule type="cellIs" dxfId="760" priority="65" operator="greaterThan">
      <formula>0</formula>
    </cfRule>
  </conditionalFormatting>
  <conditionalFormatting sqref="D57:D58">
    <cfRule type="cellIs" dxfId="759" priority="64" operator="greaterThan">
      <formula>0</formula>
    </cfRule>
  </conditionalFormatting>
  <conditionalFormatting sqref="D69:D70 F69:F74">
    <cfRule type="cellIs" dxfId="758" priority="63" operator="greaterThan">
      <formula>0</formula>
    </cfRule>
  </conditionalFormatting>
  <conditionalFormatting sqref="N49:O49">
    <cfRule type="cellIs" dxfId="757" priority="59" operator="equal">
      <formula>"Erreur"</formula>
    </cfRule>
  </conditionalFormatting>
  <conditionalFormatting sqref="N51:O51">
    <cfRule type="expression" dxfId="756" priority="58">
      <formula>N50=1</formula>
    </cfRule>
  </conditionalFormatting>
  <conditionalFormatting sqref="Q51:R51">
    <cfRule type="expression" dxfId="755" priority="2">
      <formula>$W$51=1</formula>
    </cfRule>
    <cfRule type="expression" dxfId="754" priority="57">
      <formula>Q50=1</formula>
    </cfRule>
  </conditionalFormatting>
  <conditionalFormatting sqref="S51:T51">
    <cfRule type="expression" dxfId="753" priority="1">
      <formula>$W$51=1</formula>
    </cfRule>
    <cfRule type="expression" dxfId="752" priority="56">
      <formula>S50=1</formula>
    </cfRule>
  </conditionalFormatting>
  <conditionalFormatting sqref="G66:I66">
    <cfRule type="cellIs" dxfId="751" priority="54" stopIfTrue="1" operator="equal">
      <formula>"oui"</formula>
    </cfRule>
  </conditionalFormatting>
  <conditionalFormatting sqref="Q55">
    <cfRule type="expression" dxfId="750" priority="53" stopIfTrue="1">
      <formula>$W$64&gt;$W$63</formula>
    </cfRule>
  </conditionalFormatting>
  <conditionalFormatting sqref="R54">
    <cfRule type="cellIs" dxfId="749" priority="52" operator="greaterThan">
      <formula>1</formula>
    </cfRule>
  </conditionalFormatting>
  <conditionalFormatting sqref="S54:T54">
    <cfRule type="cellIs" dxfId="748" priority="51" operator="greaterThan">
      <formula>$S$53</formula>
    </cfRule>
  </conditionalFormatting>
  <conditionalFormatting sqref="Q49:R49">
    <cfRule type="cellIs" dxfId="747" priority="50" operator="equal">
      <formula>"Erreur"</formula>
    </cfRule>
  </conditionalFormatting>
  <conditionalFormatting sqref="S49:T49">
    <cfRule type="cellIs" dxfId="746" priority="49" operator="equal">
      <formula>"Erreur"</formula>
    </cfRule>
  </conditionalFormatting>
  <conditionalFormatting sqref="K84 K88:K91 I92">
    <cfRule type="cellIs" dxfId="745" priority="46" operator="greaterThan">
      <formula>1</formula>
    </cfRule>
    <cfRule type="cellIs" dxfId="744" priority="47" operator="equal">
      <formula>1</formula>
    </cfRule>
  </conditionalFormatting>
  <conditionalFormatting sqref="K85">
    <cfRule type="cellIs" dxfId="743" priority="44" operator="greaterThan">
      <formula>1</formula>
    </cfRule>
    <cfRule type="cellIs" dxfId="742" priority="45" operator="equal">
      <formula>1</formula>
    </cfRule>
  </conditionalFormatting>
  <conditionalFormatting sqref="N84:O85 N88:O91">
    <cfRule type="cellIs" dxfId="741" priority="43" operator="equal">
      <formula>0</formula>
    </cfRule>
  </conditionalFormatting>
  <conditionalFormatting sqref="G59">
    <cfRule type="cellIs" dxfId="740" priority="42" stopIfTrue="1" operator="equal">
      <formula>"oui"</formula>
    </cfRule>
  </conditionalFormatting>
  <conditionalFormatting sqref="G60">
    <cfRule type="cellIs" dxfId="739" priority="41" stopIfTrue="1" operator="equal">
      <formula>"oui"</formula>
    </cfRule>
  </conditionalFormatting>
  <conditionalFormatting sqref="G61">
    <cfRule type="cellIs" dxfId="738" priority="40" stopIfTrue="1" operator="equal">
      <formula>"oui"</formula>
    </cfRule>
  </conditionalFormatting>
  <conditionalFormatting sqref="G80">
    <cfRule type="cellIs" dxfId="737" priority="38" stopIfTrue="1" operator="equal">
      <formula>"oui"</formula>
    </cfRule>
  </conditionalFormatting>
  <conditionalFormatting sqref="N105:O105 Q105:T105">
    <cfRule type="cellIs" dxfId="736" priority="37" operator="equal">
      <formula>0</formula>
    </cfRule>
  </conditionalFormatting>
  <conditionalFormatting sqref="G14:H14">
    <cfRule type="cellIs" dxfId="735" priority="35" stopIfTrue="1" operator="equal">
      <formula>"oui"</formula>
    </cfRule>
  </conditionalFormatting>
  <conditionalFormatting sqref="F14">
    <cfRule type="cellIs" dxfId="734" priority="36" stopIfTrue="1" operator="equal">
      <formula>"occasion"</formula>
    </cfRule>
  </conditionalFormatting>
  <conditionalFormatting sqref="G20:H20">
    <cfRule type="cellIs" dxfId="733" priority="33" stopIfTrue="1" operator="equal">
      <formula>"oui"</formula>
    </cfRule>
  </conditionalFormatting>
  <conditionalFormatting sqref="F20">
    <cfRule type="cellIs" dxfId="732" priority="34" stopIfTrue="1" operator="equal">
      <formula>"occasion"</formula>
    </cfRule>
  </conditionalFormatting>
  <conditionalFormatting sqref="G23:H23">
    <cfRule type="cellIs" dxfId="731" priority="31" stopIfTrue="1" operator="equal">
      <formula>"oui"</formula>
    </cfRule>
  </conditionalFormatting>
  <conditionalFormatting sqref="F23">
    <cfRule type="cellIs" dxfId="730" priority="32" stopIfTrue="1" operator="equal">
      <formula>"occasion"</formula>
    </cfRule>
  </conditionalFormatting>
  <conditionalFormatting sqref="G26:H26">
    <cfRule type="cellIs" dxfId="729" priority="29" stopIfTrue="1" operator="equal">
      <formula>"oui"</formula>
    </cfRule>
  </conditionalFormatting>
  <conditionalFormatting sqref="F26">
    <cfRule type="cellIs" dxfId="728" priority="30" stopIfTrue="1" operator="equal">
      <formula>"occasion"</formula>
    </cfRule>
  </conditionalFormatting>
  <conditionalFormatting sqref="G31:H31">
    <cfRule type="cellIs" dxfId="727" priority="25" stopIfTrue="1" operator="equal">
      <formula>"oui"</formula>
    </cfRule>
  </conditionalFormatting>
  <conditionalFormatting sqref="F31">
    <cfRule type="cellIs" dxfId="726" priority="26" stopIfTrue="1" operator="equal">
      <formula>"occasion"</formula>
    </cfRule>
  </conditionalFormatting>
  <conditionalFormatting sqref="G35:H35">
    <cfRule type="cellIs" dxfId="725" priority="23" stopIfTrue="1" operator="equal">
      <formula>"oui"</formula>
    </cfRule>
  </conditionalFormatting>
  <conditionalFormatting sqref="F35">
    <cfRule type="cellIs" dxfId="724" priority="24" stopIfTrue="1" operator="equal">
      <formula>"occasion"</formula>
    </cfRule>
  </conditionalFormatting>
  <conditionalFormatting sqref="G32:H32">
    <cfRule type="cellIs" dxfId="723" priority="21" stopIfTrue="1" operator="equal">
      <formula>"oui"</formula>
    </cfRule>
  </conditionalFormatting>
  <conditionalFormatting sqref="F32">
    <cfRule type="cellIs" dxfId="722" priority="22" stopIfTrue="1" operator="equal">
      <formula>"occasion"</formula>
    </cfRule>
  </conditionalFormatting>
  <conditionalFormatting sqref="K86">
    <cfRule type="cellIs" dxfId="721" priority="19" operator="greaterThan">
      <formula>1</formula>
    </cfRule>
    <cfRule type="cellIs" dxfId="720" priority="20" operator="equal">
      <formula>1</formula>
    </cfRule>
  </conditionalFormatting>
  <conditionalFormatting sqref="N86:O86">
    <cfRule type="cellIs" dxfId="719" priority="18" operator="equal">
      <formula>0</formula>
    </cfRule>
  </conditionalFormatting>
  <conditionalFormatting sqref="K87">
    <cfRule type="cellIs" dxfId="718" priority="16" operator="greaterThan">
      <formula>1</formula>
    </cfRule>
    <cfRule type="cellIs" dxfId="717" priority="17" operator="equal">
      <formula>1</formula>
    </cfRule>
  </conditionalFormatting>
  <conditionalFormatting sqref="N87:O87">
    <cfRule type="cellIs" dxfId="716" priority="15" operator="equal">
      <formula>0</formula>
    </cfRule>
  </conditionalFormatting>
  <conditionalFormatting sqref="Q85 Q88:Q89">
    <cfRule type="cellIs" dxfId="715" priority="14" operator="equal">
      <formula>0</formula>
    </cfRule>
  </conditionalFormatting>
  <conditionalFormatting sqref="Q86">
    <cfRule type="cellIs" dxfId="714" priority="13" operator="equal">
      <formula>0</formula>
    </cfRule>
  </conditionalFormatting>
  <conditionalFormatting sqref="Q87">
    <cfRule type="cellIs" dxfId="713" priority="12" operator="equal">
      <formula>0</formula>
    </cfRule>
  </conditionalFormatting>
  <conditionalFormatting sqref="S85 S88:S89">
    <cfRule type="cellIs" dxfId="712" priority="11" operator="equal">
      <formula>0</formula>
    </cfRule>
  </conditionalFormatting>
  <conditionalFormatting sqref="S86">
    <cfRule type="cellIs" dxfId="711" priority="10" operator="equal">
      <formula>0</formula>
    </cfRule>
  </conditionalFormatting>
  <conditionalFormatting sqref="S87">
    <cfRule type="cellIs" dxfId="710" priority="9" operator="equal">
      <formula>0</formula>
    </cfRule>
  </conditionalFormatting>
  <conditionalFormatting sqref="I69">
    <cfRule type="cellIs" dxfId="709" priority="8" operator="greaterThan">
      <formula>0</formula>
    </cfRule>
  </conditionalFormatting>
  <conditionalFormatting sqref="G71">
    <cfRule type="cellIs" dxfId="708" priority="7" stopIfTrue="1" operator="equal">
      <formula>"oui"</formula>
    </cfRule>
  </conditionalFormatting>
  <conditionalFormatting sqref="G72:G74">
    <cfRule type="cellIs" dxfId="707" priority="6" stopIfTrue="1" operator="equal">
      <formula>"oui"</formula>
    </cfRule>
  </conditionalFormatting>
  <conditionalFormatting sqref="I70:I74">
    <cfRule type="cellIs" dxfId="706" priority="5" operator="greaterThan">
      <formula>0</formula>
    </cfRule>
  </conditionalFormatting>
  <conditionalFormatting sqref="N69:O69 Q69:T69">
    <cfRule type="cellIs" dxfId="705" priority="4" operator="equal">
      <formula>0</formula>
    </cfRule>
  </conditionalFormatting>
  <conditionalFormatting sqref="K69:M69">
    <cfRule type="cellIs" dxfId="704" priority="3" operator="equal">
      <formula>0</formula>
    </cfRule>
  </conditionalFormatting>
  <dataValidations xWindow="503" yWindow="356" count="9">
    <dataValidation allowBlank="1" showInputMessage="1" showErrorMessage="1" sqref="F132:I136 P132:P136 L132:L136 S132:S136" xr:uid="{00000000-0002-0000-0500-000000000000}"/>
    <dataValidation allowBlank="1" showInputMessage="1" showErrorMessage="1" prompt="Prudence dans les embauches, il faut limiter au maximum les charges fixes. Possibilité de faire appel à des VRP multicartes, agents commerciaux._x000a_" sqref="L84:M90 H84:I91" xr:uid="{00000000-0002-0000-0500-000001000000}"/>
    <dataValidation type="list" allowBlank="1" showInputMessage="1" showErrorMessage="1" sqref="I69:I74" xr:uid="{00000000-0002-0000-0500-000002000000}">
      <formula1>"Non,Oui"</formula1>
    </dataValidation>
    <dataValidation allowBlank="1" showInputMessage="1" showErrorMessage="1" prompt="Vérifiez si cet apport en nature ne nécessite pas l'intervention d'un commissaire aux apports" sqref="J69:J75 J41:J43 J13:J27 J30:J36" xr:uid="{00000000-0002-0000-0500-000003000000}"/>
    <dataValidation type="list" allowBlank="1" showInputMessage="1" showErrorMessage="1" prompt="vérifiez si cet apport ne nécessite pas l'intervention d'un commissaire aux apports" sqref="G41:G43 G11:G27 G30:G38" xr:uid="{00000000-0002-0000-0500-000004000000}">
      <formula1>"nature"</formula1>
    </dataValidation>
    <dataValidation type="list" allowBlank="1" showInputMessage="1" showErrorMessage="1" prompt="N'oubliez pas de préciser s'il s'agit de biens neufs ou d'occasion_x000a__x000a_Si l'élément fait l'objet d'un apport en nature, inscrire oui dans la case suivante_x000a_" sqref="F11:F27 F30:F36" xr:uid="{00000000-0002-0000-0500-000005000000}">
      <formula1>"neuf,occasion"</formula1>
    </dataValidation>
    <dataValidation allowBlank="1" showInputMessage="1" showErrorMessage="1" prompt="N'oubliez pas de préciser s'il s'agit de biens neufs ou d'occasion en renseignant la précédente colonne _x000a_N pour neuf, O pour occasion_x000a__x000a_Si l'élément fait l'objet d'un apport en nature, inscrire A dans la case suivante_x000a_" sqref="J11:J12 P11:P12 D13:E27" xr:uid="{00000000-0002-0000-0500-000006000000}"/>
    <dataValidation allowBlank="1" showInputMessage="1" showErrorMessage="1" prompt="les acquisitions de véhicules de tourisme doivent être inscritres pour leur montant TTC" sqref="K21:O21 K19:O19 Q19:T19 Q21:T21" xr:uid="{00000000-0002-0000-0500-000007000000}"/>
    <dataValidation type="list" allowBlank="1" showInputMessage="1" showErrorMessage="1" prompt="N/A = non applicable" sqref="G92:H92 S92:T92" xr:uid="{00000000-0002-0000-0500-000008000000}">
      <mc:AlternateContent xmlns:x12ac="http://schemas.microsoft.com/office/spreadsheetml/2011/1/ac" xmlns:mc="http://schemas.openxmlformats.org/markup-compatibility/2006">
        <mc:Choice Requires="x12ac">
          <x12ac:list>Oui,Non,"Oui, à terme",N/A</x12ac:list>
        </mc:Choice>
        <mc:Fallback>
          <formula1>"Oui,Non,Oui, à terme,N/A"</formula1>
        </mc:Fallback>
      </mc:AlternateContent>
    </dataValidation>
  </dataValidations>
  <hyperlinks>
    <hyperlink ref="B4" location="Comprendre!B76" display="voir apports en nature" xr:uid="{00000000-0004-0000-0500-000000000000}"/>
    <hyperlink ref="G4" location="Comprendre!B23" display="pour en savoir plus sur les amortissements" xr:uid="{00000000-0004-0000-0500-000001000000}"/>
    <hyperlink ref="D4" location="Comprendre!B76" display="voir apports en nature" xr:uid="{00000000-0004-0000-0500-000002000000}"/>
    <hyperlink ref="D4:F4" location="Comprendre!B77" display="en savoir plus sur les apports en nature" xr:uid="{00000000-0004-0000-0500-000003000000}"/>
    <hyperlink ref="B4:C4" location="Comprendre!B217" display="en savoir plus sur les moyens d'exploitation" xr:uid="{00000000-0004-0000-0500-000004000000}"/>
    <hyperlink ref="G4:K4" location="Comprendre!B24" display="en savoir plus sur les amortissements" xr:uid="{00000000-0004-0000-0500-000005000000}"/>
  </hyperlinks>
  <printOptions horizontalCentered="1"/>
  <pageMargins left="0" right="0" top="0" bottom="0" header="0" footer="0"/>
  <pageSetup paperSize="9" scale="54" fitToHeight="0" orientation="portrait" r:id="rId1"/>
  <headerFooter alignWithMargins="0"/>
  <rowBreaks count="1" manualBreakCount="1">
    <brk id="77" max="16383" man="1"/>
  </rowBreaks>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indexed="32"/>
    <pageSetUpPr fitToPage="1"/>
  </sheetPr>
  <dimension ref="A1:Q127"/>
  <sheetViews>
    <sheetView showGridLines="0" showRowColHeaders="0" workbookViewId="0">
      <pane ySplit="9" topLeftCell="A10" activePane="bottomLeft" state="frozenSplit"/>
      <selection pane="bottomLeft" activeCell="C6" sqref="C6:E7"/>
    </sheetView>
  </sheetViews>
  <sheetFormatPr baseColWidth="10" defaultColWidth="10.77734375" defaultRowHeight="14.4" x14ac:dyDescent="0.3"/>
  <cols>
    <col min="1" max="1" width="1.77734375" style="4" customWidth="1"/>
    <col min="2" max="2" width="48" style="4" customWidth="1"/>
    <col min="3" max="3" width="8.77734375" style="4" customWidth="1"/>
    <col min="4" max="4" width="11.77734375" style="4" customWidth="1"/>
    <col min="5" max="5" width="3.77734375" style="5" customWidth="1"/>
    <col min="6" max="6" width="1" style="6" customWidth="1"/>
    <col min="7" max="7" width="13.77734375" style="7" customWidth="1"/>
    <col min="8" max="8" width="10.77734375" style="8" customWidth="1"/>
    <col min="9" max="9" width="1" style="9" customWidth="1"/>
    <col min="10" max="10" width="13.77734375" style="4" customWidth="1"/>
    <col min="11" max="11" width="10.77734375" style="10" customWidth="1"/>
    <col min="12" max="12" width="1" style="11" customWidth="1"/>
    <col min="13" max="13" width="13.77734375" style="4" customWidth="1"/>
    <col min="14" max="14" width="10.77734375" style="10" customWidth="1"/>
    <col min="15" max="15" width="1" style="4" customWidth="1"/>
    <col min="16" max="16" width="61.77734375" style="4" customWidth="1"/>
    <col min="17" max="16384" width="10.77734375" style="4"/>
  </cols>
  <sheetData>
    <row r="1" spans="2:17" ht="6" customHeight="1" x14ac:dyDescent="0.3"/>
    <row r="2" spans="2:17" s="205" customFormat="1" ht="21.9" customHeight="1" x14ac:dyDescent="0.3">
      <c r="B2" s="1098" t="str">
        <f>IF(ISBLANK(dossier)," ",dossier)</f>
        <v xml:space="preserve"> </v>
      </c>
      <c r="C2" s="2273" t="s">
        <v>873</v>
      </c>
      <c r="D2" s="2149"/>
      <c r="E2" s="2149"/>
      <c r="F2" s="2149"/>
      <c r="G2" s="2149"/>
      <c r="H2" s="2149"/>
      <c r="I2" s="2149"/>
      <c r="J2" s="2149"/>
      <c r="K2" s="2149"/>
      <c r="L2" s="2149"/>
      <c r="M2" s="2149"/>
      <c r="N2" s="2448"/>
    </row>
    <row r="3" spans="2:17" ht="3" customHeight="1" x14ac:dyDescent="0.3"/>
    <row r="4" spans="2:17" s="746" customFormat="1" ht="15" customHeight="1" x14ac:dyDescent="0.25">
      <c r="B4" s="2819" t="str">
        <f>IF(AND(G10&gt;0,activité=0),"Ne pas omettre de renseigner l'activité principale exercée ci-dessous"," ")</f>
        <v xml:space="preserve"> </v>
      </c>
      <c r="C4" s="2819"/>
      <c r="D4" s="2147"/>
      <c r="E4" s="2147"/>
      <c r="F4" s="1"/>
      <c r="H4" s="1"/>
      <c r="I4" s="1"/>
      <c r="J4" s="1"/>
      <c r="K4" s="1"/>
      <c r="L4" s="2"/>
      <c r="M4" s="1"/>
      <c r="N4" s="1"/>
    </row>
    <row r="5" spans="2:17" ht="3" customHeight="1" x14ac:dyDescent="0.3"/>
    <row r="6" spans="2:17" s="14" customFormat="1" ht="20.100000000000001" customHeight="1" x14ac:dyDescent="0.3">
      <c r="B6" s="2799" t="s">
        <v>686</v>
      </c>
      <c r="C6" s="2803"/>
      <c r="D6" s="2804"/>
      <c r="E6" s="2805"/>
      <c r="F6" s="12"/>
      <c r="G6" s="2801" t="s">
        <v>97</v>
      </c>
      <c r="H6" s="2802"/>
      <c r="I6" s="675"/>
      <c r="J6" s="2801" t="s">
        <v>1037</v>
      </c>
      <c r="K6" s="2802"/>
      <c r="L6" s="676"/>
      <c r="M6" s="2801" t="s">
        <v>1038</v>
      </c>
      <c r="N6" s="2802"/>
    </row>
    <row r="7" spans="2:17" s="14" customFormat="1" ht="17.100000000000001" customHeight="1" x14ac:dyDescent="0.3">
      <c r="B7" s="2800"/>
      <c r="C7" s="2806"/>
      <c r="D7" s="2807"/>
      <c r="E7" s="2808"/>
      <c r="F7" s="12"/>
      <c r="G7" s="2784" t="str">
        <f>IF(durée_1=0," ",durée_1)</f>
        <v xml:space="preserve"> </v>
      </c>
      <c r="H7" s="2785"/>
      <c r="I7" s="799"/>
      <c r="J7" s="2784" t="str">
        <f>IF(durée_2=0," ",durée_2)</f>
        <v xml:space="preserve"> </v>
      </c>
      <c r="K7" s="2785"/>
      <c r="L7" s="800"/>
      <c r="M7" s="2784" t="str">
        <f>IF(durée_3=0," ",durée_3)</f>
        <v xml:space="preserve"> </v>
      </c>
      <c r="N7" s="2785"/>
    </row>
    <row r="8" spans="2:17" ht="20.100000000000001" customHeight="1" x14ac:dyDescent="0.3">
      <c r="B8" s="2825" t="s">
        <v>586</v>
      </c>
      <c r="C8" s="2826"/>
      <c r="D8" s="2826"/>
      <c r="E8" s="2827"/>
      <c r="G8" s="1587" t="s">
        <v>85</v>
      </c>
      <c r="H8" s="1588" t="s">
        <v>380</v>
      </c>
      <c r="I8" s="1589"/>
      <c r="J8" s="1587" t="s">
        <v>85</v>
      </c>
      <c r="K8" s="1588" t="s">
        <v>380</v>
      </c>
      <c r="L8" s="1590"/>
      <c r="M8" s="1587" t="s">
        <v>85</v>
      </c>
      <c r="N8" s="1588" t="s">
        <v>380</v>
      </c>
    </row>
    <row r="9" spans="2:17" s="15" customFormat="1" ht="6" customHeight="1" x14ac:dyDescent="0.3">
      <c r="E9" s="6"/>
      <c r="F9" s="12"/>
      <c r="G9" s="12"/>
      <c r="H9" s="16"/>
      <c r="I9" s="16"/>
      <c r="J9" s="12"/>
      <c r="K9" s="1099"/>
      <c r="L9" s="17"/>
      <c r="M9" s="12"/>
      <c r="N9" s="1100"/>
      <c r="P9" s="14"/>
      <c r="Q9" s="14"/>
    </row>
    <row r="10" spans="2:17" s="21" customFormat="1" ht="21.9" customHeight="1" x14ac:dyDescent="0.3">
      <c r="B10" s="2809" t="s">
        <v>65</v>
      </c>
      <c r="C10" s="2810"/>
      <c r="D10" s="2811"/>
      <c r="E10" s="2812"/>
      <c r="F10" s="18"/>
      <c r="G10" s="1103">
        <f>ca_1</f>
        <v>0</v>
      </c>
      <c r="H10" s="1163">
        <f>IF(ISERROR(G10/p_1),0,G10/p_1)</f>
        <v>0</v>
      </c>
      <c r="I10" s="19"/>
      <c r="J10" s="1106">
        <f>ca_2</f>
        <v>0</v>
      </c>
      <c r="K10" s="1163">
        <f>IF(ISERROR(J10/p_2),0,J10/p_2)</f>
        <v>0</v>
      </c>
      <c r="L10" s="20"/>
      <c r="M10" s="1106">
        <f>ca_3</f>
        <v>0</v>
      </c>
      <c r="N10" s="1163">
        <f>IF(ISERROR(M10/p_3),0,M10/p_3)</f>
        <v>0</v>
      </c>
      <c r="P10" s="14"/>
      <c r="Q10" s="14"/>
    </row>
    <row r="11" spans="2:17" s="21" customFormat="1" ht="20.100000000000001" customHeight="1" x14ac:dyDescent="0.25">
      <c r="B11" s="2793" t="s">
        <v>406</v>
      </c>
      <c r="C11" s="2794"/>
      <c r="D11" s="2794"/>
      <c r="E11" s="2795"/>
      <c r="F11" s="200"/>
      <c r="G11" s="1606"/>
      <c r="H11" s="1188">
        <f>IF(ISERROR(G11/p_1),0,G11/p_1)</f>
        <v>0</v>
      </c>
      <c r="I11" s="19"/>
      <c r="J11" s="1606"/>
      <c r="K11" s="1189">
        <f>IF(ISERROR(J11/p_2),0,J11/p_2)</f>
        <v>0</v>
      </c>
      <c r="L11" s="20"/>
      <c r="M11" s="1606"/>
      <c r="N11" s="1189">
        <f>IF(ISERROR(M11/p_3),0,M11/p_3)</f>
        <v>0</v>
      </c>
    </row>
    <row r="12" spans="2:17" s="21" customFormat="1" ht="20.100000000000001" customHeight="1" x14ac:dyDescent="0.25">
      <c r="B12" s="2790" t="s">
        <v>246</v>
      </c>
      <c r="C12" s="2791"/>
      <c r="D12" s="2791"/>
      <c r="E12" s="2792"/>
      <c r="F12" s="200"/>
      <c r="G12" s="1607"/>
      <c r="H12" s="1175">
        <f>IF(ISERROR(G12/p_1),0,G12/p_1)</f>
        <v>0</v>
      </c>
      <c r="I12" s="19"/>
      <c r="J12" s="1607"/>
      <c r="K12" s="1177">
        <f>IF(ISERROR(J12/p_2),0,J12/p_2)</f>
        <v>0</v>
      </c>
      <c r="L12" s="20"/>
      <c r="M12" s="1607"/>
      <c r="N12" s="1177">
        <f>IF(ISERROR(M12/p_3),0,M12/p_3)</f>
        <v>0</v>
      </c>
    </row>
    <row r="13" spans="2:17" s="21" customFormat="1" ht="20.100000000000001" customHeight="1" x14ac:dyDescent="0.25">
      <c r="B13" s="2809" t="s">
        <v>405</v>
      </c>
      <c r="C13" s="2810"/>
      <c r="D13" s="2811"/>
      <c r="E13" s="2812"/>
      <c r="F13" s="18"/>
      <c r="G13" s="1103">
        <f>ca_1+G11+G12</f>
        <v>0</v>
      </c>
      <c r="H13" s="1176">
        <v>1</v>
      </c>
      <c r="I13" s="19"/>
      <c r="J13" s="1106">
        <f>ca_2+J11+J12</f>
        <v>0</v>
      </c>
      <c r="K13" s="1176">
        <v>1</v>
      </c>
      <c r="L13" s="20"/>
      <c r="M13" s="1106">
        <f>ca_3+M11+M12</f>
        <v>0</v>
      </c>
      <c r="N13" s="1176">
        <v>1</v>
      </c>
    </row>
    <row r="14" spans="2:17" s="21" customFormat="1" ht="20.100000000000001" customHeight="1" x14ac:dyDescent="0.25">
      <c r="B14" s="2796" t="s">
        <v>116</v>
      </c>
      <c r="C14" s="2797"/>
      <c r="D14" s="2797"/>
      <c r="E14" s="2798"/>
      <c r="F14" s="200"/>
      <c r="G14" s="1104"/>
      <c r="H14" s="1182"/>
      <c r="I14" s="19"/>
      <c r="J14" s="1104"/>
      <c r="K14" s="1183"/>
      <c r="L14" s="20"/>
      <c r="M14" s="1104"/>
      <c r="N14" s="1182"/>
    </row>
    <row r="15" spans="2:17" s="21" customFormat="1" ht="20.100000000000001" customHeight="1" x14ac:dyDescent="0.25">
      <c r="B15" s="2735" t="s">
        <v>191</v>
      </c>
      <c r="C15" s="2736"/>
      <c r="D15" s="2736"/>
      <c r="E15" s="2737"/>
      <c r="F15" s="23"/>
      <c r="G15" s="1105"/>
      <c r="H15" s="1608"/>
      <c r="I15" s="24"/>
      <c r="J15" s="1107"/>
      <c r="K15" s="1186"/>
      <c r="L15" s="25"/>
      <c r="M15" s="1107"/>
      <c r="N15" s="1187"/>
    </row>
    <row r="16" spans="2:17" s="21" customFormat="1" ht="20.100000000000001" customHeight="1" x14ac:dyDescent="0.25">
      <c r="B16" s="2786" t="s">
        <v>489</v>
      </c>
      <c r="C16" s="2787"/>
      <c r="D16" s="2788"/>
      <c r="E16" s="2789"/>
      <c r="F16" s="41"/>
      <c r="G16" s="1156">
        <f>SUM(G13:G15)</f>
        <v>0</v>
      </c>
      <c r="H16" s="1184"/>
      <c r="I16" s="24"/>
      <c r="J16" s="1156">
        <f>SUM(J13:J15)</f>
        <v>0</v>
      </c>
      <c r="K16" s="1185"/>
      <c r="L16" s="25"/>
      <c r="M16" s="1156">
        <f>SUM(M13:M15)</f>
        <v>0</v>
      </c>
      <c r="N16" s="1184"/>
    </row>
    <row r="17" spans="1:16" s="14" customFormat="1" ht="3" customHeight="1" x14ac:dyDescent="0.3">
      <c r="D17" s="42"/>
      <c r="E17" s="42"/>
      <c r="F17" s="26"/>
      <c r="G17" s="325"/>
      <c r="H17" s="22"/>
      <c r="I17" s="16"/>
      <c r="J17" s="1101"/>
      <c r="K17" s="1135"/>
      <c r="L17" s="17"/>
      <c r="M17" s="1101"/>
      <c r="N17" s="22"/>
    </row>
    <row r="18" spans="1:16" s="21" customFormat="1" ht="20.100000000000001" customHeight="1" x14ac:dyDescent="0.25">
      <c r="B18" s="2816" t="s">
        <v>117</v>
      </c>
      <c r="C18" s="2817"/>
      <c r="D18" s="2818"/>
      <c r="E18" s="1108" t="s">
        <v>207</v>
      </c>
      <c r="F18" s="200"/>
      <c r="G18" s="1119"/>
      <c r="H18" s="1157">
        <f>IF(ISERROR(G18/p_1),0,G18/p_1)</f>
        <v>0</v>
      </c>
      <c r="I18" s="19"/>
      <c r="J18" s="1136"/>
      <c r="K18" s="1178">
        <f>IF(ISERROR(J18/p_2),0,J18/p_2)</f>
        <v>0</v>
      </c>
      <c r="L18" s="20"/>
      <c r="M18" s="1136"/>
      <c r="N18" s="1178">
        <f>IF(ISERROR(M18/p_3),0,M18/p_3)</f>
        <v>0</v>
      </c>
      <c r="P18" s="673" t="str">
        <f>IF((G19/-1)&gt;G18,"Erreur : stock final supérieur aux achats de l'exercice"," ")</f>
        <v xml:space="preserve"> </v>
      </c>
    </row>
    <row r="19" spans="1:16" s="21" customFormat="1" ht="20.100000000000001" customHeight="1" x14ac:dyDescent="0.25">
      <c r="B19" s="2822" t="s">
        <v>121</v>
      </c>
      <c r="C19" s="2823"/>
      <c r="D19" s="2824"/>
      <c r="E19" s="1109" t="s">
        <v>207</v>
      </c>
      <c r="F19" s="200"/>
      <c r="G19" s="1120"/>
      <c r="H19" s="1158"/>
      <c r="I19" s="19"/>
      <c r="J19" s="1121"/>
      <c r="K19" s="1158"/>
      <c r="L19" s="20"/>
      <c r="M19" s="1121"/>
      <c r="N19" s="1158"/>
      <c r="P19" s="673" t="str">
        <f>IF(G19&lt;=0," ","la variation de stock ne peut pas être positive à la clôture du 1er exercice")</f>
        <v xml:space="preserve"> </v>
      </c>
    </row>
    <row r="20" spans="1:16" s="21" customFormat="1" ht="20.100000000000001" customHeight="1" x14ac:dyDescent="0.25">
      <c r="B20" s="2822" t="s">
        <v>118</v>
      </c>
      <c r="C20" s="2823"/>
      <c r="D20" s="2824"/>
      <c r="E20" s="1109" t="s">
        <v>207</v>
      </c>
      <c r="F20" s="200"/>
      <c r="G20" s="1120"/>
      <c r="H20" s="1159">
        <f>IF(ISERROR(G20/p_1),0,G20/p_1)</f>
        <v>0</v>
      </c>
      <c r="I20" s="19"/>
      <c r="J20" s="1121"/>
      <c r="K20" s="1179">
        <f>IF(ISERROR(J20/p_2),0,J20/p_2)</f>
        <v>0</v>
      </c>
      <c r="L20" s="20"/>
      <c r="M20" s="1121"/>
      <c r="N20" s="1179">
        <f>IF(ISERROR(M20/p_3),0,M20/p_3)</f>
        <v>0</v>
      </c>
      <c r="P20" s="673" t="str">
        <f>IF((G21/-1)&gt;G20,"Erreur : stock final supérieur aux achats de l'exercice"," ")</f>
        <v xml:space="preserve"> </v>
      </c>
    </row>
    <row r="21" spans="1:16" s="21" customFormat="1" ht="20.100000000000001" customHeight="1" x14ac:dyDescent="0.25">
      <c r="B21" s="2822" t="s">
        <v>119</v>
      </c>
      <c r="C21" s="2823"/>
      <c r="D21" s="2824"/>
      <c r="E21" s="1109" t="s">
        <v>207</v>
      </c>
      <c r="F21" s="200"/>
      <c r="G21" s="1121"/>
      <c r="H21" s="1160"/>
      <c r="I21" s="19"/>
      <c r="J21" s="1121"/>
      <c r="K21" s="1158"/>
      <c r="L21" s="20"/>
      <c r="M21" s="1121"/>
      <c r="N21" s="1158"/>
      <c r="P21" s="673" t="str">
        <f>IF(G21&gt;0,"la variation de stock ne peut pas être positive à la clôture du 1er exercice"," ")</f>
        <v xml:space="preserve"> </v>
      </c>
    </row>
    <row r="22" spans="1:16" s="21" customFormat="1" ht="20.100000000000001" customHeight="1" x14ac:dyDescent="0.25">
      <c r="B22" s="2822" t="s">
        <v>16</v>
      </c>
      <c r="C22" s="2823"/>
      <c r="D22" s="2824"/>
      <c r="E22" s="1109" t="s">
        <v>207</v>
      </c>
      <c r="F22" s="200"/>
      <c r="G22" s="1120"/>
      <c r="H22" s="1159">
        <f>IF(ISERROR(G22/p_1),0,G22/p_1)</f>
        <v>0</v>
      </c>
      <c r="I22" s="19"/>
      <c r="J22" s="1121"/>
      <c r="K22" s="1159">
        <f>IF(ISERROR(J22/p_2),0,J22/p_2)</f>
        <v>0</v>
      </c>
      <c r="L22" s="20"/>
      <c r="M22" s="1121"/>
      <c r="N22" s="1159">
        <f>IF(ISERROR(M22/p_3),0,M22/p_3)</f>
        <v>0</v>
      </c>
    </row>
    <row r="23" spans="1:16" s="29" customFormat="1" ht="20.100000000000001" customHeight="1" x14ac:dyDescent="0.25">
      <c r="B23" s="2813" t="s">
        <v>120</v>
      </c>
      <c r="C23" s="2814"/>
      <c r="D23" s="2815"/>
      <c r="E23" s="1110" t="s">
        <v>207</v>
      </c>
      <c r="F23" s="200"/>
      <c r="G23" s="1122"/>
      <c r="H23" s="1161">
        <f>IF(ISERROR(G23/p_1),0,G23/p_1)</f>
        <v>0</v>
      </c>
      <c r="I23" s="27"/>
      <c r="J23" s="1102"/>
      <c r="K23" s="1180">
        <f>IF(ISERROR(J23/p_2),0,J23/p_2)</f>
        <v>0</v>
      </c>
      <c r="L23" s="28"/>
      <c r="M23" s="1102"/>
      <c r="N23" s="1180">
        <f>IF(ISERROR(M23/p_3),0,M23/p_3)</f>
        <v>0</v>
      </c>
    </row>
    <row r="24" spans="1:16" s="21" customFormat="1" ht="21.9" customHeight="1" x14ac:dyDescent="0.25">
      <c r="B24" s="2766" t="s">
        <v>255</v>
      </c>
      <c r="C24" s="2769"/>
      <c r="D24" s="2769"/>
      <c r="E24" s="2770"/>
      <c r="F24" s="200"/>
      <c r="G24" s="1145">
        <f>SUM(G18:G23)</f>
        <v>0</v>
      </c>
      <c r="H24" s="1162">
        <f>IF(ISERROR(G24/p_1),0,G24/p_1)</f>
        <v>0</v>
      </c>
      <c r="I24" s="19"/>
      <c r="J24" s="1146">
        <f>SUM(J18:J23)</f>
        <v>0</v>
      </c>
      <c r="K24" s="1162">
        <f>IF(ISERROR(J24/p_2),0,J24/p_2)</f>
        <v>0</v>
      </c>
      <c r="L24" s="20"/>
      <c r="M24" s="1146">
        <f>SUM(M18:M23)</f>
        <v>0</v>
      </c>
      <c r="N24" s="1162">
        <f>IF(ISERROR(M24/p_3),0,M24/p_3)</f>
        <v>0</v>
      </c>
    </row>
    <row r="25" spans="1:16" s="21" customFormat="1" ht="21.9" customHeight="1" x14ac:dyDescent="0.25">
      <c r="B25" s="2738" t="str">
        <f>IF(activité="Négoce","Marge commerciale","Marge brute")</f>
        <v>Marge brute</v>
      </c>
      <c r="C25" s="2739"/>
      <c r="D25" s="2740"/>
      <c r="E25" s="2741"/>
      <c r="F25" s="18"/>
      <c r="G25" s="1103">
        <f>p_1-G24</f>
        <v>0</v>
      </c>
      <c r="H25" s="1163">
        <f>IF(ISERROR(G25/p_1),0,G25/p_1)</f>
        <v>0</v>
      </c>
      <c r="I25" s="19"/>
      <c r="J25" s="1106">
        <f>p_2-J24</f>
        <v>0</v>
      </c>
      <c r="K25" s="1163">
        <f>IF(ISERROR(J25/p_2),0,J25/p_2)</f>
        <v>0</v>
      </c>
      <c r="L25" s="20"/>
      <c r="M25" s="1106">
        <f>p_3-M24</f>
        <v>0</v>
      </c>
      <c r="N25" s="1163">
        <f>IF(ISERROR(M25/p_3),0,M25/p_3)</f>
        <v>0</v>
      </c>
    </row>
    <row r="26" spans="1:16" s="196" customFormat="1" ht="20.100000000000001" customHeight="1" x14ac:dyDescent="0.25">
      <c r="A26" s="21"/>
      <c r="B26" s="2744" t="s">
        <v>17</v>
      </c>
      <c r="C26" s="2147"/>
      <c r="D26" s="2745"/>
      <c r="E26" s="1111" t="s">
        <v>206</v>
      </c>
      <c r="F26" s="558"/>
      <c r="G26" s="1123"/>
      <c r="H26" s="1164">
        <f t="shared" ref="H26:H44" si="0">IF(ISERROR(G26/p_1),0,G26/p_1)</f>
        <v>0</v>
      </c>
      <c r="I26" s="197"/>
      <c r="J26" s="1123"/>
      <c r="K26" s="1164">
        <f t="shared" ref="K26:K44" si="1">IF(ISERROR(J26/p_2),0,J26/p_2)</f>
        <v>0</v>
      </c>
      <c r="L26" s="198"/>
      <c r="M26" s="1123"/>
      <c r="N26" s="1164">
        <f t="shared" ref="N26:N44" si="2">IF(ISERROR(M26/p_3),0,M26/p_3)</f>
        <v>0</v>
      </c>
      <c r="O26" s="199"/>
    </row>
    <row r="27" spans="1:16" s="196" customFormat="1" ht="20.100000000000001" customHeight="1" x14ac:dyDescent="0.25">
      <c r="A27" s="21"/>
      <c r="B27" s="2749" t="s">
        <v>75</v>
      </c>
      <c r="C27" s="2244"/>
      <c r="D27" s="2743"/>
      <c r="E27" s="1112" t="s">
        <v>206</v>
      </c>
      <c r="F27" s="558"/>
      <c r="G27" s="1124">
        <f>loyer_1</f>
        <v>0</v>
      </c>
      <c r="H27" s="1165">
        <f t="shared" si="0"/>
        <v>0</v>
      </c>
      <c r="I27" s="197"/>
      <c r="J27" s="1124">
        <f>loyer_2</f>
        <v>0</v>
      </c>
      <c r="K27" s="1165">
        <f t="shared" si="1"/>
        <v>0</v>
      </c>
      <c r="L27" s="198"/>
      <c r="M27" s="1143">
        <f>loyer_3</f>
        <v>0</v>
      </c>
      <c r="N27" s="1169">
        <f t="shared" si="2"/>
        <v>0</v>
      </c>
      <c r="O27" s="199"/>
    </row>
    <row r="28" spans="1:16" s="196" customFormat="1" ht="20.100000000000001" customHeight="1" x14ac:dyDescent="0.25">
      <c r="A28" s="21"/>
      <c r="B28" s="2749" t="s">
        <v>122</v>
      </c>
      <c r="C28" s="2244"/>
      <c r="D28" s="2743"/>
      <c r="E28" s="1112" t="s">
        <v>206</v>
      </c>
      <c r="F28" s="558"/>
      <c r="G28" s="1124">
        <f>loyer_créditbail_1</f>
        <v>0</v>
      </c>
      <c r="H28" s="1165">
        <f t="shared" si="0"/>
        <v>0</v>
      </c>
      <c r="I28" s="197"/>
      <c r="J28" s="1124">
        <f>loyer_créditbail_2</f>
        <v>0</v>
      </c>
      <c r="K28" s="1165">
        <f t="shared" si="1"/>
        <v>0</v>
      </c>
      <c r="L28" s="198"/>
      <c r="M28" s="1143">
        <f>loyer_créditbail_3</f>
        <v>0</v>
      </c>
      <c r="N28" s="1169">
        <f t="shared" si="2"/>
        <v>0</v>
      </c>
    </row>
    <row r="29" spans="1:16" s="21" customFormat="1" ht="20.100000000000001" customHeight="1" x14ac:dyDescent="0.25">
      <c r="B29" s="2821" t="s">
        <v>72</v>
      </c>
      <c r="C29" s="2244"/>
      <c r="D29" s="2743"/>
      <c r="E29" s="1113" t="s">
        <v>207</v>
      </c>
      <c r="F29" s="200"/>
      <c r="G29" s="1125"/>
      <c r="H29" s="1166">
        <f t="shared" si="0"/>
        <v>0</v>
      </c>
      <c r="I29" s="19"/>
      <c r="J29" s="1137"/>
      <c r="K29" s="1166">
        <f t="shared" si="1"/>
        <v>0</v>
      </c>
      <c r="L29" s="20"/>
      <c r="M29" s="1121"/>
      <c r="N29" s="1159">
        <f t="shared" si="2"/>
        <v>0</v>
      </c>
    </row>
    <row r="30" spans="1:16" s="196" customFormat="1" ht="20.100000000000001" customHeight="1" x14ac:dyDescent="0.25">
      <c r="A30" s="21"/>
      <c r="B30" s="2749" t="s">
        <v>74</v>
      </c>
      <c r="C30" s="2244"/>
      <c r="D30" s="2743"/>
      <c r="E30" s="1112" t="s">
        <v>206</v>
      </c>
      <c r="F30" s="558"/>
      <c r="G30" s="1126"/>
      <c r="H30" s="1165">
        <f t="shared" si="0"/>
        <v>0</v>
      </c>
      <c r="I30" s="197"/>
      <c r="J30" s="1138"/>
      <c r="K30" s="1165">
        <f t="shared" si="1"/>
        <v>0</v>
      </c>
      <c r="L30" s="198"/>
      <c r="M30" s="1144"/>
      <c r="N30" s="1169">
        <f t="shared" si="2"/>
        <v>0</v>
      </c>
    </row>
    <row r="31" spans="1:16" s="196" customFormat="1" ht="20.100000000000001" customHeight="1" x14ac:dyDescent="0.25">
      <c r="A31" s="21"/>
      <c r="B31" s="2749" t="s">
        <v>562</v>
      </c>
      <c r="C31" s="2244"/>
      <c r="D31" s="2743"/>
      <c r="E31" s="1112" t="s">
        <v>206</v>
      </c>
      <c r="F31" s="558"/>
      <c r="G31" s="1126"/>
      <c r="H31" s="1165">
        <f t="shared" si="0"/>
        <v>0</v>
      </c>
      <c r="I31" s="197"/>
      <c r="J31" s="1138"/>
      <c r="K31" s="1165">
        <f t="shared" si="1"/>
        <v>0</v>
      </c>
      <c r="L31" s="198"/>
      <c r="M31" s="1144"/>
      <c r="N31" s="1169">
        <f t="shared" si="2"/>
        <v>0</v>
      </c>
    </row>
    <row r="32" spans="1:16" s="196" customFormat="1" ht="20.100000000000001" customHeight="1" x14ac:dyDescent="0.25">
      <c r="A32" s="21"/>
      <c r="B32" s="2749" t="s">
        <v>73</v>
      </c>
      <c r="C32" s="2244"/>
      <c r="D32" s="2743"/>
      <c r="E32" s="1112" t="s">
        <v>206</v>
      </c>
      <c r="F32" s="558"/>
      <c r="G32" s="1126"/>
      <c r="H32" s="1165">
        <f t="shared" si="0"/>
        <v>0</v>
      </c>
      <c r="I32" s="197"/>
      <c r="J32" s="1126"/>
      <c r="K32" s="1165">
        <f t="shared" si="1"/>
        <v>0</v>
      </c>
      <c r="L32" s="198"/>
      <c r="M32" s="1131"/>
      <c r="N32" s="1169">
        <f t="shared" si="2"/>
        <v>0</v>
      </c>
    </row>
    <row r="33" spans="1:14" s="196" customFormat="1" ht="20.100000000000001" customHeight="1" x14ac:dyDescent="0.25">
      <c r="A33" s="21"/>
      <c r="B33" s="2749" t="s">
        <v>567</v>
      </c>
      <c r="C33" s="2244"/>
      <c r="D33" s="2743"/>
      <c r="E33" s="1112" t="s">
        <v>206</v>
      </c>
      <c r="F33" s="558"/>
      <c r="G33" s="1126"/>
      <c r="H33" s="1165">
        <f t="shared" si="0"/>
        <v>0</v>
      </c>
      <c r="I33" s="197"/>
      <c r="J33" s="1138"/>
      <c r="K33" s="1165">
        <f t="shared" si="1"/>
        <v>0</v>
      </c>
      <c r="L33" s="198"/>
      <c r="M33" s="1144"/>
      <c r="N33" s="1169">
        <f t="shared" si="2"/>
        <v>0</v>
      </c>
    </row>
    <row r="34" spans="1:14" s="21" customFormat="1" ht="20.100000000000001" customHeight="1" x14ac:dyDescent="0.25">
      <c r="B34" s="2742" t="s">
        <v>76</v>
      </c>
      <c r="C34" s="2244"/>
      <c r="D34" s="2743"/>
      <c r="E34" s="1113" t="s">
        <v>207</v>
      </c>
      <c r="F34" s="200"/>
      <c r="G34" s="1125"/>
      <c r="H34" s="1166">
        <f t="shared" si="0"/>
        <v>0</v>
      </c>
      <c r="I34" s="19"/>
      <c r="J34" s="1137"/>
      <c r="K34" s="1166">
        <f t="shared" si="1"/>
        <v>0</v>
      </c>
      <c r="L34" s="20"/>
      <c r="M34" s="1121"/>
      <c r="N34" s="1159">
        <f t="shared" si="2"/>
        <v>0</v>
      </c>
    </row>
    <row r="35" spans="1:14" s="196" customFormat="1" ht="20.100000000000001" customHeight="1" x14ac:dyDescent="0.25">
      <c r="A35" s="21"/>
      <c r="B35" s="2749" t="s">
        <v>563</v>
      </c>
      <c r="C35" s="2244"/>
      <c r="D35" s="2743"/>
      <c r="E35" s="1112" t="s">
        <v>206</v>
      </c>
      <c r="F35" s="558"/>
      <c r="G35" s="1126"/>
      <c r="H35" s="1165">
        <f t="shared" si="0"/>
        <v>0</v>
      </c>
      <c r="I35" s="197"/>
      <c r="J35" s="1138"/>
      <c r="K35" s="1165">
        <f t="shared" si="1"/>
        <v>0</v>
      </c>
      <c r="L35" s="198"/>
      <c r="M35" s="1144"/>
      <c r="N35" s="1169">
        <f t="shared" si="2"/>
        <v>0</v>
      </c>
    </row>
    <row r="36" spans="1:14" s="21" customFormat="1" ht="20.100000000000001" customHeight="1" x14ac:dyDescent="0.25">
      <c r="B36" s="2749" t="s">
        <v>566</v>
      </c>
      <c r="C36" s="2244"/>
      <c r="D36" s="2743"/>
      <c r="E36" s="1112" t="s">
        <v>206</v>
      </c>
      <c r="F36" s="200"/>
      <c r="G36" s="1126"/>
      <c r="H36" s="1165">
        <f t="shared" si="0"/>
        <v>0</v>
      </c>
      <c r="I36" s="197"/>
      <c r="J36" s="1138"/>
      <c r="K36" s="1165">
        <f t="shared" si="1"/>
        <v>0</v>
      </c>
      <c r="L36" s="198"/>
      <c r="M36" s="1144"/>
      <c r="N36" s="1169">
        <f t="shared" si="2"/>
        <v>0</v>
      </c>
    </row>
    <row r="37" spans="1:14" s="21" customFormat="1" ht="20.100000000000001" customHeight="1" x14ac:dyDescent="0.25">
      <c r="B37" s="2742" t="s">
        <v>77</v>
      </c>
      <c r="C37" s="2244"/>
      <c r="D37" s="2743"/>
      <c r="E37" s="1113" t="s">
        <v>207</v>
      </c>
      <c r="F37" s="200"/>
      <c r="G37" s="1125"/>
      <c r="H37" s="1166">
        <f t="shared" si="0"/>
        <v>0</v>
      </c>
      <c r="I37" s="19"/>
      <c r="J37" s="1137"/>
      <c r="K37" s="1166">
        <f t="shared" si="1"/>
        <v>0</v>
      </c>
      <c r="L37" s="20"/>
      <c r="M37" s="1121"/>
      <c r="N37" s="1159">
        <f t="shared" si="2"/>
        <v>0</v>
      </c>
    </row>
    <row r="38" spans="1:14" s="196" customFormat="1" ht="20.100000000000001" customHeight="1" x14ac:dyDescent="0.25">
      <c r="A38" s="21"/>
      <c r="B38" s="2749" t="s">
        <v>564</v>
      </c>
      <c r="C38" s="2244"/>
      <c r="D38" s="2743"/>
      <c r="E38" s="1112" t="s">
        <v>206</v>
      </c>
      <c r="F38" s="558"/>
      <c r="G38" s="1126"/>
      <c r="H38" s="1165">
        <f t="shared" si="0"/>
        <v>0</v>
      </c>
      <c r="I38" s="197"/>
      <c r="J38" s="1126"/>
      <c r="K38" s="1165">
        <f t="shared" si="1"/>
        <v>0</v>
      </c>
      <c r="L38" s="198"/>
      <c r="M38" s="1126"/>
      <c r="N38" s="1169">
        <f t="shared" si="2"/>
        <v>0</v>
      </c>
    </row>
    <row r="39" spans="1:14" s="196" customFormat="1" ht="20.100000000000001" customHeight="1" x14ac:dyDescent="0.25">
      <c r="A39" s="21"/>
      <c r="B39" s="2749" t="s">
        <v>565</v>
      </c>
      <c r="C39" s="2244"/>
      <c r="D39" s="2743"/>
      <c r="E39" s="1112" t="s">
        <v>206</v>
      </c>
      <c r="F39" s="558"/>
      <c r="G39" s="1126"/>
      <c r="H39" s="1165">
        <f t="shared" si="0"/>
        <v>0</v>
      </c>
      <c r="I39" s="197"/>
      <c r="J39" s="1138"/>
      <c r="K39" s="1165">
        <f t="shared" si="1"/>
        <v>0</v>
      </c>
      <c r="L39" s="198"/>
      <c r="M39" s="1144"/>
      <c r="N39" s="1169">
        <f t="shared" si="2"/>
        <v>0</v>
      </c>
    </row>
    <row r="40" spans="1:14" s="196" customFormat="1" ht="20.100000000000001" customHeight="1" x14ac:dyDescent="0.25">
      <c r="A40" s="21"/>
      <c r="B40" s="2749" t="s">
        <v>78</v>
      </c>
      <c r="C40" s="2244"/>
      <c r="D40" s="2743"/>
      <c r="E40" s="1112" t="s">
        <v>206</v>
      </c>
      <c r="F40" s="558"/>
      <c r="G40" s="1126"/>
      <c r="H40" s="1165">
        <f t="shared" si="0"/>
        <v>0</v>
      </c>
      <c r="I40" s="197"/>
      <c r="J40" s="1138"/>
      <c r="K40" s="1165">
        <f t="shared" si="1"/>
        <v>0</v>
      </c>
      <c r="L40" s="198"/>
      <c r="M40" s="1144"/>
      <c r="N40" s="1169">
        <f t="shared" si="2"/>
        <v>0</v>
      </c>
    </row>
    <row r="41" spans="1:14" s="196" customFormat="1" ht="20.100000000000001" customHeight="1" x14ac:dyDescent="0.25">
      <c r="A41" s="21"/>
      <c r="B41" s="2749" t="s">
        <v>79</v>
      </c>
      <c r="C41" s="2244"/>
      <c r="D41" s="2743"/>
      <c r="E41" s="1112" t="s">
        <v>206</v>
      </c>
      <c r="F41" s="558"/>
      <c r="G41" s="1126"/>
      <c r="H41" s="1165">
        <f t="shared" si="0"/>
        <v>0</v>
      </c>
      <c r="I41" s="197"/>
      <c r="J41" s="1138"/>
      <c r="K41" s="1165">
        <f t="shared" si="1"/>
        <v>0</v>
      </c>
      <c r="L41" s="198"/>
      <c r="M41" s="1144"/>
      <c r="N41" s="1169">
        <f t="shared" si="2"/>
        <v>0</v>
      </c>
    </row>
    <row r="42" spans="1:14" s="196" customFormat="1" ht="20.100000000000001" customHeight="1" x14ac:dyDescent="0.25">
      <c r="A42" s="21"/>
      <c r="B42" s="2749" t="s">
        <v>568</v>
      </c>
      <c r="C42" s="2244"/>
      <c r="D42" s="2743"/>
      <c r="E42" s="1112" t="s">
        <v>206</v>
      </c>
      <c r="F42" s="558"/>
      <c r="G42" s="1126"/>
      <c r="H42" s="1165">
        <f t="shared" si="0"/>
        <v>0</v>
      </c>
      <c r="I42" s="197"/>
      <c r="J42" s="1138"/>
      <c r="K42" s="1165">
        <f t="shared" si="1"/>
        <v>0</v>
      </c>
      <c r="L42" s="198"/>
      <c r="M42" s="1144"/>
      <c r="N42" s="1169">
        <f t="shared" si="2"/>
        <v>0</v>
      </c>
    </row>
    <row r="43" spans="1:14" s="21" customFormat="1" ht="20.100000000000001" customHeight="1" x14ac:dyDescent="0.25">
      <c r="B43" s="2771" t="s">
        <v>190</v>
      </c>
      <c r="C43" s="2772"/>
      <c r="D43" s="2772"/>
      <c r="E43" s="1111" t="s">
        <v>206</v>
      </c>
      <c r="F43" s="200"/>
      <c r="G43" s="1127"/>
      <c r="H43" s="1164">
        <f t="shared" si="0"/>
        <v>0</v>
      </c>
      <c r="I43" s="19"/>
      <c r="J43" s="1139"/>
      <c r="K43" s="1164">
        <f t="shared" si="1"/>
        <v>0</v>
      </c>
      <c r="L43" s="20"/>
      <c r="M43" s="1139"/>
      <c r="N43" s="1164">
        <f t="shared" si="2"/>
        <v>0</v>
      </c>
    </row>
    <row r="44" spans="1:14" s="14" customFormat="1" ht="21.9" customHeight="1" x14ac:dyDescent="0.3">
      <c r="B44" s="2766" t="s">
        <v>256</v>
      </c>
      <c r="C44" s="2767"/>
      <c r="D44" s="2767"/>
      <c r="E44" s="2768"/>
      <c r="F44" s="36"/>
      <c r="G44" s="1145">
        <f>SUM(G26:G43)</f>
        <v>0</v>
      </c>
      <c r="H44" s="1162">
        <f t="shared" si="0"/>
        <v>0</v>
      </c>
      <c r="I44" s="19"/>
      <c r="J44" s="1146">
        <f>SUM(J26:J43)</f>
        <v>0</v>
      </c>
      <c r="K44" s="1162">
        <f t="shared" si="1"/>
        <v>0</v>
      </c>
      <c r="L44" s="20"/>
      <c r="M44" s="1146">
        <f>SUM(M26:M43)</f>
        <v>0</v>
      </c>
      <c r="N44" s="1162">
        <f t="shared" si="2"/>
        <v>0</v>
      </c>
    </row>
    <row r="45" spans="1:14" s="21" customFormat="1" ht="21.9" customHeight="1" x14ac:dyDescent="0.25">
      <c r="B45" s="2738" t="s">
        <v>687</v>
      </c>
      <c r="C45" s="2739"/>
      <c r="D45" s="2740"/>
      <c r="E45" s="2741"/>
      <c r="F45" s="18"/>
      <c r="G45" s="1103">
        <f>p_1-G24-G44</f>
        <v>0</v>
      </c>
      <c r="H45" s="1163">
        <f t="shared" ref="H45:H59" si="3">IF(ISERROR(G45/p_1),0,G45/p_1)</f>
        <v>0</v>
      </c>
      <c r="I45" s="19"/>
      <c r="J45" s="1106">
        <f>p_2-J24-J44</f>
        <v>0</v>
      </c>
      <c r="K45" s="1163">
        <f t="shared" ref="K45:K59" si="4">IF(ISERROR(J45/p_2),0,J45/p_2)</f>
        <v>0</v>
      </c>
      <c r="L45" s="20"/>
      <c r="M45" s="1106">
        <f>p_3-M24-M44</f>
        <v>0</v>
      </c>
      <c r="N45" s="1163">
        <f t="shared" ref="N45:N59" si="5">IF(ISERROR(M45/p_3),0,M45/p_3)</f>
        <v>0</v>
      </c>
    </row>
    <row r="46" spans="1:14" s="196" customFormat="1" ht="20.100000000000001" customHeight="1" x14ac:dyDescent="0.25">
      <c r="A46" s="21"/>
      <c r="B46" s="2744" t="s">
        <v>86</v>
      </c>
      <c r="C46" s="2147"/>
      <c r="D46" s="2745"/>
      <c r="E46" s="1114" t="s">
        <v>206</v>
      </c>
      <c r="F46" s="558"/>
      <c r="G46" s="1123"/>
      <c r="H46" s="1164">
        <f t="shared" si="3"/>
        <v>0</v>
      </c>
      <c r="I46" s="197"/>
      <c r="J46" s="1123"/>
      <c r="K46" s="1164">
        <f t="shared" si="4"/>
        <v>0</v>
      </c>
      <c r="L46" s="198"/>
      <c r="M46" s="1123"/>
      <c r="N46" s="1164">
        <f t="shared" si="5"/>
        <v>0</v>
      </c>
    </row>
    <row r="47" spans="1:14" s="196" customFormat="1" ht="20.100000000000001" customHeight="1" x14ac:dyDescent="0.25">
      <c r="A47" s="21"/>
      <c r="B47" s="2749" t="s">
        <v>487</v>
      </c>
      <c r="C47" s="2244"/>
      <c r="D47" s="2743"/>
      <c r="E47" s="1115" t="s">
        <v>206</v>
      </c>
      <c r="F47" s="558"/>
      <c r="G47" s="1124">
        <f>perso_1</f>
        <v>0</v>
      </c>
      <c r="H47" s="1165">
        <f t="shared" si="3"/>
        <v>0</v>
      </c>
      <c r="I47" s="671"/>
      <c r="J47" s="1124">
        <f>perso_2</f>
        <v>0</v>
      </c>
      <c r="K47" s="1165">
        <f t="shared" si="4"/>
        <v>0</v>
      </c>
      <c r="L47" s="672"/>
      <c r="M47" s="1124">
        <f>perso_3</f>
        <v>0</v>
      </c>
      <c r="N47" s="1165">
        <f t="shared" si="5"/>
        <v>0</v>
      </c>
    </row>
    <row r="48" spans="1:14" s="21" customFormat="1" ht="20.100000000000001" customHeight="1" x14ac:dyDescent="0.25">
      <c r="B48" s="2820" t="s">
        <v>87</v>
      </c>
      <c r="C48" s="2147"/>
      <c r="D48" s="2745"/>
      <c r="E48" s="1116" t="s">
        <v>207</v>
      </c>
      <c r="F48" s="200"/>
      <c r="G48" s="1128"/>
      <c r="H48" s="1167">
        <f t="shared" si="3"/>
        <v>0</v>
      </c>
      <c r="I48" s="19"/>
      <c r="J48" s="1102"/>
      <c r="K48" s="1167">
        <f t="shared" si="4"/>
        <v>0</v>
      </c>
      <c r="L48" s="20"/>
      <c r="M48" s="1102"/>
      <c r="N48" s="1167">
        <f t="shared" si="5"/>
        <v>0</v>
      </c>
    </row>
    <row r="49" spans="1:14" s="14" customFormat="1" ht="21.9" customHeight="1" x14ac:dyDescent="0.3">
      <c r="B49" s="2766" t="s">
        <v>156</v>
      </c>
      <c r="C49" s="2767"/>
      <c r="D49" s="2767"/>
      <c r="E49" s="2768"/>
      <c r="F49" s="36"/>
      <c r="G49" s="1145">
        <f>G47+G48</f>
        <v>0</v>
      </c>
      <c r="H49" s="1162">
        <f t="shared" si="3"/>
        <v>0</v>
      </c>
      <c r="I49" s="19"/>
      <c r="J49" s="1146">
        <f>J47+J48</f>
        <v>0</v>
      </c>
      <c r="K49" s="1162">
        <f t="shared" si="4"/>
        <v>0</v>
      </c>
      <c r="L49" s="20"/>
      <c r="M49" s="1146">
        <f>M47+M48</f>
        <v>0</v>
      </c>
      <c r="N49" s="1162">
        <f t="shared" si="5"/>
        <v>0</v>
      </c>
    </row>
    <row r="50" spans="1:14" s="21" customFormat="1" ht="21.9" customHeight="1" x14ac:dyDescent="0.25">
      <c r="B50" s="2738" t="s">
        <v>67</v>
      </c>
      <c r="C50" s="2732"/>
      <c r="D50" s="2733"/>
      <c r="E50" s="2734"/>
      <c r="F50" s="41"/>
      <c r="G50" s="1129">
        <f>G45+G14-G46-G49</f>
        <v>0</v>
      </c>
      <c r="H50" s="1168">
        <f t="shared" si="3"/>
        <v>0</v>
      </c>
      <c r="I50" s="24"/>
      <c r="J50" s="1129">
        <f>J45+J14-J46-J49</f>
        <v>0</v>
      </c>
      <c r="K50" s="1168">
        <f t="shared" si="4"/>
        <v>0</v>
      </c>
      <c r="L50" s="25"/>
      <c r="M50" s="1129">
        <f>M45+M14-M46-M49</f>
        <v>0</v>
      </c>
      <c r="N50" s="1168">
        <f t="shared" si="5"/>
        <v>0</v>
      </c>
    </row>
    <row r="51" spans="1:14" s="196" customFormat="1" ht="20.100000000000001" customHeight="1" x14ac:dyDescent="0.25">
      <c r="A51" s="21"/>
      <c r="B51" s="2744" t="s">
        <v>243</v>
      </c>
      <c r="C51" s="2147"/>
      <c r="D51" s="2745"/>
      <c r="E51" s="1111" t="s">
        <v>206</v>
      </c>
      <c r="F51" s="558"/>
      <c r="G51" s="1130">
        <f>amort_1</f>
        <v>0</v>
      </c>
      <c r="H51" s="1164">
        <f t="shared" si="3"/>
        <v>0</v>
      </c>
      <c r="I51" s="197"/>
      <c r="J51" s="1130">
        <f>amort_2</f>
        <v>0</v>
      </c>
      <c r="K51" s="1164">
        <f t="shared" si="4"/>
        <v>0</v>
      </c>
      <c r="L51" s="198"/>
      <c r="M51" s="1130">
        <f>amort_3</f>
        <v>0</v>
      </c>
      <c r="N51" s="1164">
        <f t="shared" si="5"/>
        <v>0</v>
      </c>
    </row>
    <row r="52" spans="1:14" s="196" customFormat="1" ht="20.100000000000001" customHeight="1" x14ac:dyDescent="0.25">
      <c r="A52" s="21"/>
      <c r="B52" s="2749" t="s">
        <v>88</v>
      </c>
      <c r="C52" s="2244"/>
      <c r="D52" s="2743"/>
      <c r="E52" s="1117" t="s">
        <v>206</v>
      </c>
      <c r="F52" s="558"/>
      <c r="G52" s="1131"/>
      <c r="H52" s="1169">
        <f t="shared" si="3"/>
        <v>0</v>
      </c>
      <c r="I52" s="197"/>
      <c r="J52" s="1131"/>
      <c r="K52" s="1169">
        <f t="shared" si="4"/>
        <v>0</v>
      </c>
      <c r="L52" s="198"/>
      <c r="M52" s="1131"/>
      <c r="N52" s="1169">
        <f t="shared" si="5"/>
        <v>0</v>
      </c>
    </row>
    <row r="53" spans="1:14" s="196" customFormat="1" ht="20.100000000000001" customHeight="1" x14ac:dyDescent="0.25">
      <c r="A53" s="21"/>
      <c r="B53" s="2744" t="s">
        <v>488</v>
      </c>
      <c r="C53" s="2147"/>
      <c r="D53" s="2745"/>
      <c r="E53" s="1111" t="s">
        <v>206</v>
      </c>
      <c r="F53" s="558"/>
      <c r="G53" s="1123"/>
      <c r="H53" s="1164">
        <f t="shared" si="3"/>
        <v>0</v>
      </c>
      <c r="I53" s="197"/>
      <c r="J53" s="1123"/>
      <c r="K53" s="1164">
        <f t="shared" si="4"/>
        <v>0</v>
      </c>
      <c r="L53" s="198"/>
      <c r="M53" s="1123"/>
      <c r="N53" s="1164">
        <f t="shared" si="5"/>
        <v>0</v>
      </c>
    </row>
    <row r="54" spans="1:14" s="21" customFormat="1" ht="24.9" customHeight="1" x14ac:dyDescent="0.25">
      <c r="B54" s="2766" t="s">
        <v>490</v>
      </c>
      <c r="C54" s="2767"/>
      <c r="D54" s="2767"/>
      <c r="E54" s="2768"/>
      <c r="F54" s="41"/>
      <c r="G54" s="1145">
        <f>G24+G44+G46+G49+G51+G52+G53</f>
        <v>0</v>
      </c>
      <c r="H54" s="1162">
        <f t="shared" si="3"/>
        <v>0</v>
      </c>
      <c r="I54" s="19"/>
      <c r="J54" s="1146">
        <f>J24+J44+J46+J49+J51+J52+J53</f>
        <v>0</v>
      </c>
      <c r="K54" s="1162">
        <f t="shared" si="4"/>
        <v>0</v>
      </c>
      <c r="L54" s="20"/>
      <c r="M54" s="1146">
        <f>M24+M44+M46+M49+M51+M52+M53</f>
        <v>0</v>
      </c>
      <c r="N54" s="1162">
        <f t="shared" si="5"/>
        <v>0</v>
      </c>
    </row>
    <row r="55" spans="1:14" s="21" customFormat="1" ht="24.9" customHeight="1" x14ac:dyDescent="0.25">
      <c r="B55" s="2731" t="s">
        <v>68</v>
      </c>
      <c r="C55" s="2732"/>
      <c r="D55" s="2733"/>
      <c r="E55" s="2734"/>
      <c r="F55" s="41"/>
      <c r="G55" s="1129">
        <f>G16-G54</f>
        <v>0</v>
      </c>
      <c r="H55" s="1168">
        <f t="shared" si="3"/>
        <v>0</v>
      </c>
      <c r="I55" s="24"/>
      <c r="J55" s="1129">
        <f>J16-J54</f>
        <v>0</v>
      </c>
      <c r="K55" s="1168">
        <f t="shared" si="4"/>
        <v>0</v>
      </c>
      <c r="L55" s="25"/>
      <c r="M55" s="1129">
        <f>M16-M54</f>
        <v>0</v>
      </c>
      <c r="N55" s="1168">
        <f t="shared" si="5"/>
        <v>0</v>
      </c>
    </row>
    <row r="56" spans="1:14" s="196" customFormat="1" ht="20.100000000000001" customHeight="1" x14ac:dyDescent="0.25">
      <c r="A56" s="21"/>
      <c r="B56" s="2744" t="s">
        <v>337</v>
      </c>
      <c r="C56" s="2147"/>
      <c r="D56" s="2745"/>
      <c r="E56" s="1118" t="s">
        <v>206</v>
      </c>
      <c r="F56" s="558"/>
      <c r="G56" s="1132"/>
      <c r="H56" s="1170">
        <f t="shared" si="3"/>
        <v>0</v>
      </c>
      <c r="I56" s="197"/>
      <c r="J56" s="1140"/>
      <c r="K56" s="1170">
        <f t="shared" si="4"/>
        <v>0</v>
      </c>
      <c r="L56" s="198"/>
      <c r="M56" s="1140"/>
      <c r="N56" s="1170">
        <f t="shared" si="5"/>
        <v>0</v>
      </c>
    </row>
    <row r="57" spans="1:14" s="196" customFormat="1" ht="20.100000000000001" customHeight="1" x14ac:dyDescent="0.25">
      <c r="A57" s="21"/>
      <c r="B57" s="2746" t="s">
        <v>188</v>
      </c>
      <c r="C57" s="2747"/>
      <c r="D57" s="2748"/>
      <c r="E57" s="1111" t="s">
        <v>206</v>
      </c>
      <c r="F57" s="558"/>
      <c r="G57" s="1123"/>
      <c r="H57" s="1164">
        <f t="shared" si="3"/>
        <v>0</v>
      </c>
      <c r="I57" s="197"/>
      <c r="J57" s="1141"/>
      <c r="K57" s="1164">
        <f t="shared" si="4"/>
        <v>0</v>
      </c>
      <c r="L57" s="198"/>
      <c r="M57" s="1141"/>
      <c r="N57" s="1164">
        <f t="shared" si="5"/>
        <v>0</v>
      </c>
    </row>
    <row r="58" spans="1:14" s="14" customFormat="1" ht="21.9" customHeight="1" x14ac:dyDescent="0.3">
      <c r="B58" s="2780" t="s">
        <v>257</v>
      </c>
      <c r="C58" s="2781"/>
      <c r="D58" s="2782"/>
      <c r="E58" s="2783"/>
      <c r="F58" s="36"/>
      <c r="G58" s="1147">
        <f>G56+G57</f>
        <v>0</v>
      </c>
      <c r="H58" s="1171">
        <f t="shared" si="3"/>
        <v>0</v>
      </c>
      <c r="I58" s="30"/>
      <c r="J58" s="1147">
        <f>J56+J57</f>
        <v>0</v>
      </c>
      <c r="K58" s="1171">
        <f t="shared" si="4"/>
        <v>0</v>
      </c>
      <c r="L58" s="31"/>
      <c r="M58" s="1147">
        <f>M56+M57</f>
        <v>0</v>
      </c>
      <c r="N58" s="1171">
        <f t="shared" si="5"/>
        <v>0</v>
      </c>
    </row>
    <row r="59" spans="1:14" s="21" customFormat="1" ht="21.9" customHeight="1" x14ac:dyDescent="0.25">
      <c r="B59" s="2731" t="s">
        <v>69</v>
      </c>
      <c r="C59" s="2732"/>
      <c r="D59" s="2733"/>
      <c r="E59" s="2734"/>
      <c r="F59" s="41"/>
      <c r="G59" s="1129">
        <f>G55-G58</f>
        <v>0</v>
      </c>
      <c r="H59" s="1168">
        <f t="shared" si="3"/>
        <v>0</v>
      </c>
      <c r="I59" s="24"/>
      <c r="J59" s="1129">
        <f>J55-J58</f>
        <v>0</v>
      </c>
      <c r="K59" s="1168">
        <f t="shared" si="4"/>
        <v>0</v>
      </c>
      <c r="L59" s="25"/>
      <c r="M59" s="1129">
        <f>M55-M58</f>
        <v>0</v>
      </c>
      <c r="N59" s="1168">
        <f t="shared" si="5"/>
        <v>0</v>
      </c>
    </row>
    <row r="60" spans="1:14" s="29" customFormat="1" ht="20.100000000000001" customHeight="1" x14ac:dyDescent="0.25">
      <c r="B60" s="2744" t="s">
        <v>189</v>
      </c>
      <c r="C60" s="2760"/>
      <c r="D60" s="2760"/>
      <c r="E60" s="2777"/>
      <c r="F60" s="200"/>
      <c r="G60" s="1133"/>
      <c r="H60" s="1170">
        <f>IF(ISERROR(G60/p_1),0,G60/p_1)</f>
        <v>0</v>
      </c>
      <c r="I60" s="19"/>
      <c r="J60" s="1142"/>
      <c r="K60" s="1170">
        <f>IF(ISERROR(J60/p_2),0,J60/p_2)</f>
        <v>0</v>
      </c>
      <c r="L60" s="20"/>
      <c r="M60" s="1142"/>
      <c r="N60" s="1170">
        <f>IF(ISERROR(M60/p_3),0,M60/p_3)</f>
        <v>0</v>
      </c>
    </row>
    <row r="61" spans="1:14" s="21" customFormat="1" ht="20.100000000000001" customHeight="1" x14ac:dyDescent="0.25">
      <c r="B61" s="2746" t="s">
        <v>655</v>
      </c>
      <c r="C61" s="2778"/>
      <c r="D61" s="2778"/>
      <c r="E61" s="2779"/>
      <c r="F61" s="200"/>
      <c r="G61" s="1152"/>
      <c r="H61" s="1172">
        <f>IF(ISERROR(G61/p_1),0,G61/p_1)</f>
        <v>0</v>
      </c>
      <c r="I61" s="19"/>
      <c r="J61" s="1139"/>
      <c r="K61" s="1164">
        <f>IF(ISERROR(J61/p_2),0,J61/p_2)</f>
        <v>0</v>
      </c>
      <c r="L61" s="20"/>
      <c r="M61" s="1139"/>
      <c r="N61" s="1164">
        <f>IF(ISERROR(M61/p_3),0,M61/p_3)</f>
        <v>0</v>
      </c>
    </row>
    <row r="62" spans="1:14" s="21" customFormat="1" ht="21.9" customHeight="1" x14ac:dyDescent="0.25">
      <c r="B62" s="2773" t="s">
        <v>66</v>
      </c>
      <c r="C62" s="2774"/>
      <c r="D62" s="2775"/>
      <c r="E62" s="2776"/>
      <c r="F62" s="41"/>
      <c r="G62" s="1153">
        <f>G59+G60-G61</f>
        <v>0</v>
      </c>
      <c r="H62" s="1173">
        <f>IF(ISERROR(G62/p_1),0,G62/p_1)</f>
        <v>0</v>
      </c>
      <c r="I62" s="24"/>
      <c r="J62" s="1153">
        <f>J59+J60-J61</f>
        <v>0</v>
      </c>
      <c r="K62" s="1181">
        <f>IF(ISERROR(J62/p_2),0,J62/p_2)</f>
        <v>0</v>
      </c>
      <c r="L62" s="25"/>
      <c r="M62" s="1153">
        <f>M59+M60-M61</f>
        <v>0</v>
      </c>
      <c r="N62" s="1181">
        <f>IF(ISERROR(M62/p_3),0,M62/p_3)</f>
        <v>0</v>
      </c>
    </row>
    <row r="63" spans="1:14" s="21" customFormat="1" ht="21.9" customHeight="1" x14ac:dyDescent="0.25">
      <c r="B63" s="2762" t="s">
        <v>149</v>
      </c>
      <c r="C63" s="2763"/>
      <c r="D63" s="2764"/>
      <c r="E63" s="2765"/>
      <c r="F63" s="41"/>
      <c r="G63" s="1134">
        <f>G62+G51+G52-G60</f>
        <v>0</v>
      </c>
      <c r="H63" s="1174">
        <f>IF(ISERROR(G63/p_1),0,G63/p_1)</f>
        <v>0</v>
      </c>
      <c r="I63" s="24"/>
      <c r="J63" s="1134">
        <f>J62+J51+J52-J60</f>
        <v>0</v>
      </c>
      <c r="K63" s="1174">
        <f>IF(ISERROR(J63/p_2),0,J63/p_2)</f>
        <v>0</v>
      </c>
      <c r="L63" s="25"/>
      <c r="M63" s="1134">
        <f>M62+M51+M52-M60</f>
        <v>0</v>
      </c>
      <c r="N63" s="1174">
        <f>IF(ISERROR(M63/p_3),0,M63/p_3)</f>
        <v>0</v>
      </c>
    </row>
    <row r="64" spans="1:14" s="14" customFormat="1" ht="6" customHeight="1" x14ac:dyDescent="0.3">
      <c r="B64" s="38"/>
      <c r="C64" s="38"/>
      <c r="D64" s="38"/>
      <c r="E64" s="33"/>
      <c r="F64" s="13"/>
      <c r="G64" s="39"/>
      <c r="H64" s="40"/>
      <c r="I64" s="16"/>
      <c r="J64" s="39"/>
      <c r="K64" s="40"/>
      <c r="L64" s="17"/>
      <c r="M64" s="39"/>
      <c r="N64" s="40"/>
    </row>
    <row r="65" spans="2:15" s="21" customFormat="1" ht="24.9" customHeight="1" x14ac:dyDescent="0.25">
      <c r="B65" s="2754" t="s">
        <v>662</v>
      </c>
      <c r="C65" s="2755"/>
      <c r="D65" s="2755"/>
      <c r="E65" s="2756"/>
      <c r="F65" s="1148" t="s">
        <v>207</v>
      </c>
      <c r="G65" s="1150">
        <f>SUMIF($E$18:$E$61,"="&amp;$F$65,G18:G62)</f>
        <v>0</v>
      </c>
      <c r="H65" s="1154">
        <f>IF(ISERROR(G65/$G$13),0,G65/$G$13)</f>
        <v>0</v>
      </c>
      <c r="I65" s="19"/>
      <c r="J65" s="1150">
        <f>SUMIF($E$18:$E$61,"="&amp;$F$65,J18:J62)</f>
        <v>0</v>
      </c>
      <c r="K65" s="1154">
        <f>IF(ISERROR(J65/$J$13),0,J65/$J$13)</f>
        <v>0</v>
      </c>
      <c r="L65" s="20"/>
      <c r="M65" s="1150">
        <f>SUMIF($E$18:$E$61,"="&amp;$F$65,M18:M62)</f>
        <v>0</v>
      </c>
      <c r="N65" s="1154">
        <f>IF(ISERROR(M65/$M$13),0,M65/$M$13)</f>
        <v>0</v>
      </c>
    </row>
    <row r="66" spans="2:15" s="21" customFormat="1" ht="24.9" customHeight="1" x14ac:dyDescent="0.25">
      <c r="B66" s="2757" t="s">
        <v>336</v>
      </c>
      <c r="C66" s="2758"/>
      <c r="D66" s="2758"/>
      <c r="E66" s="2759"/>
      <c r="F66" s="1149" t="s">
        <v>308</v>
      </c>
      <c r="G66" s="1759">
        <f>p_1-G65</f>
        <v>0</v>
      </c>
      <c r="H66" s="1760">
        <f>1-H65</f>
        <v>1</v>
      </c>
      <c r="I66" s="19"/>
      <c r="J66" s="1759">
        <f>p_2-J65</f>
        <v>0</v>
      </c>
      <c r="K66" s="1760">
        <f>1-K65</f>
        <v>1</v>
      </c>
      <c r="L66" s="20"/>
      <c r="M66" s="1759">
        <f>p_3-M65</f>
        <v>0</v>
      </c>
      <c r="N66" s="1760">
        <f>1-N65</f>
        <v>1</v>
      </c>
      <c r="O66" s="58"/>
    </row>
    <row r="67" spans="2:15" s="196" customFormat="1" ht="24.9" customHeight="1" x14ac:dyDescent="0.25">
      <c r="B67" s="2744" t="s">
        <v>649</v>
      </c>
      <c r="C67" s="2760"/>
      <c r="D67" s="2760"/>
      <c r="E67" s="2761"/>
      <c r="F67" s="1148" t="s">
        <v>206</v>
      </c>
      <c r="G67" s="1151">
        <f>SUMIF($E$18:$E$61,"="&amp;$F$67,G18:G61)</f>
        <v>0</v>
      </c>
      <c r="H67" s="1155">
        <f>IF(ISERROR(G67/$G$13),0,G67/$G$13)</f>
        <v>0</v>
      </c>
      <c r="I67" s="197"/>
      <c r="J67" s="1151">
        <f>SUMIF($E$18:$E$61,"="&amp;$F$67,J18:J61)</f>
        <v>0</v>
      </c>
      <c r="K67" s="1155">
        <f>IF(ISERROR(J67/$J$13),0,J67/$J$13)</f>
        <v>0</v>
      </c>
      <c r="L67" s="198"/>
      <c r="M67" s="1151">
        <f>SUMIF($E$18:$E$61,"="&amp;$F$67,M18:M61)</f>
        <v>0</v>
      </c>
      <c r="N67" s="1155">
        <f>IF(ISERROR(M67/$M$13),0,M67/$M$13)</f>
        <v>0</v>
      </c>
    </row>
    <row r="68" spans="2:15" s="21" customFormat="1" ht="24.9" customHeight="1" x14ac:dyDescent="0.25">
      <c r="B68" s="2750" t="s">
        <v>546</v>
      </c>
      <c r="C68" s="2751"/>
      <c r="D68" s="2752"/>
      <c r="E68" s="2753"/>
      <c r="F68" s="41"/>
      <c r="G68" s="1761">
        <f>G67/H66</f>
        <v>0</v>
      </c>
      <c r="H68" s="1762" t="str">
        <f>IF(ISERROR(G68/G13)," ",G68/G13)</f>
        <v xml:space="preserve"> </v>
      </c>
      <c r="I68" s="139"/>
      <c r="J68" s="1763">
        <f>J67/K66</f>
        <v>0</v>
      </c>
      <c r="K68" s="1762" t="str">
        <f>IF(ISERROR(J68/J13)," ",J68/J13)</f>
        <v xml:space="preserve"> </v>
      </c>
      <c r="L68" s="140"/>
      <c r="M68" s="1763">
        <f>M67/N66</f>
        <v>0</v>
      </c>
      <c r="N68" s="1762" t="str">
        <f>IF(ISERROR(M68/M13)," ",M68/M13)</f>
        <v xml:space="preserve"> </v>
      </c>
    </row>
    <row r="69" spans="2:15" ht="15" customHeight="1" x14ac:dyDescent="0.3"/>
    <row r="70" spans="2:15" s="29" customFormat="1" ht="20.100000000000001" customHeight="1" x14ac:dyDescent="0.25">
      <c r="E70" s="687"/>
      <c r="F70" s="688"/>
      <c r="G70" s="689">
        <f>G24-G19-G21+G44-G27-G28-G32</f>
        <v>0</v>
      </c>
      <c r="H70" s="690" t="e">
        <f>G70/G10</f>
        <v>#DIV/0!</v>
      </c>
      <c r="I70" s="691"/>
      <c r="J70" s="689">
        <f>J24-J19-J21+J44-J27-J28-J32</f>
        <v>0</v>
      </c>
      <c r="K70" s="690" t="e">
        <f>J70/J10</f>
        <v>#DIV/0!</v>
      </c>
      <c r="L70" s="692"/>
      <c r="M70" s="689">
        <f>M24-M19-M21+M44-M27-M28-M32</f>
        <v>0</v>
      </c>
      <c r="N70" s="690" t="e">
        <f>M70/M10</f>
        <v>#DIV/0!</v>
      </c>
    </row>
    <row r="71" spans="2:15" ht="12.9" customHeight="1" x14ac:dyDescent="0.3">
      <c r="G71" s="685"/>
      <c r="H71" s="686"/>
    </row>
    <row r="72" spans="2:15" ht="15" customHeight="1" x14ac:dyDescent="0.3"/>
    <row r="73" spans="2:15" ht="15" customHeight="1" x14ac:dyDescent="0.3"/>
    <row r="74" spans="2:15" ht="15" customHeight="1" x14ac:dyDescent="0.3"/>
    <row r="75" spans="2:15" ht="15" customHeight="1" x14ac:dyDescent="0.3"/>
    <row r="76" spans="2:15" ht="15" customHeight="1" x14ac:dyDescent="0.3"/>
    <row r="77" spans="2:15" ht="15" customHeight="1" x14ac:dyDescent="0.3"/>
    <row r="78" spans="2:15" ht="15" customHeight="1" x14ac:dyDescent="0.3"/>
    <row r="79" spans="2:15" ht="15" customHeight="1" x14ac:dyDescent="0.3"/>
    <row r="80" spans="2:15"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2.9" customHeight="1" x14ac:dyDescent="0.3"/>
    <row r="88" ht="45" customHeight="1" x14ac:dyDescent="0.3"/>
    <row r="89" ht="12.9" customHeight="1" x14ac:dyDescent="0.3"/>
    <row r="121" spans="2:14" ht="12.9" customHeight="1" x14ac:dyDescent="0.3">
      <c r="B121" s="245"/>
      <c r="C121" s="245"/>
      <c r="D121" s="245"/>
      <c r="E121" s="245"/>
      <c r="G121" s="246"/>
      <c r="H121" s="246"/>
      <c r="I121" s="246"/>
      <c r="J121" s="246"/>
      <c r="K121" s="246"/>
      <c r="L121" s="246"/>
      <c r="M121" s="246"/>
      <c r="N121" s="247"/>
    </row>
    <row r="122" spans="2:14" ht="20.100000000000001" customHeight="1" x14ac:dyDescent="0.3">
      <c r="G122" s="43"/>
      <c r="J122" s="44"/>
    </row>
    <row r="123" spans="2:14" ht="12.9" customHeight="1" x14ac:dyDescent="0.3">
      <c r="G123" s="43"/>
      <c r="J123" s="43"/>
      <c r="M123" s="43"/>
    </row>
    <row r="124" spans="2:14" ht="12.9" customHeight="1" x14ac:dyDescent="0.3"/>
    <row r="125" spans="2:14" ht="12.9" customHeight="1" x14ac:dyDescent="0.3"/>
    <row r="126" spans="2:14" ht="12.9" customHeight="1" x14ac:dyDescent="0.3">
      <c r="J126" s="10"/>
    </row>
    <row r="127" spans="2:14" ht="12.9" customHeight="1" x14ac:dyDescent="0.3"/>
  </sheetData>
  <sheetProtection algorithmName="SHA-512" hashValue="gNR0S2oAH88d8tPNudboZv79rG6TA9VQNaz2d8PENvIR333TAAvRFOB/mN5lvXNkB6zaZkWVR4NFGQz+v/rRXQ==" saltValue="u9PiHYBDy59MvoX8q0JwKw==" spinCount="100000" sheet="1" objects="1" scenarios="1" formatCells="0" formatColumns="0" formatRows="0" insertColumns="0" insertRows="0" insertHyperlinks="0" deleteColumns="0" deleteRows="0" sort="0" autoFilter="0" pivotTables="0"/>
  <mergeCells count="68">
    <mergeCell ref="B23:D23"/>
    <mergeCell ref="B18:D18"/>
    <mergeCell ref="B4:E4"/>
    <mergeCell ref="B47:D47"/>
    <mergeCell ref="B48:D48"/>
    <mergeCell ref="B27:D27"/>
    <mergeCell ref="B28:D28"/>
    <mergeCell ref="B29:D29"/>
    <mergeCell ref="B19:D19"/>
    <mergeCell ref="B8:E8"/>
    <mergeCell ref="B20:D20"/>
    <mergeCell ref="B21:D21"/>
    <mergeCell ref="B22:D22"/>
    <mergeCell ref="J7:K7"/>
    <mergeCell ref="M7:N7"/>
    <mergeCell ref="G7:H7"/>
    <mergeCell ref="B16:E16"/>
    <mergeCell ref="B12:E12"/>
    <mergeCell ref="B11:E11"/>
    <mergeCell ref="B14:E14"/>
    <mergeCell ref="B6:B7"/>
    <mergeCell ref="J6:K6"/>
    <mergeCell ref="C6:E7"/>
    <mergeCell ref="M6:N6"/>
    <mergeCell ref="B13:E13"/>
    <mergeCell ref="B10:E10"/>
    <mergeCell ref="G6:H6"/>
    <mergeCell ref="B62:E62"/>
    <mergeCell ref="B60:E60"/>
    <mergeCell ref="B61:E61"/>
    <mergeCell ref="B58:E58"/>
    <mergeCell ref="B54:E54"/>
    <mergeCell ref="B52:D52"/>
    <mergeCell ref="B49:E49"/>
    <mergeCell ref="B51:D51"/>
    <mergeCell ref="B25:E25"/>
    <mergeCell ref="B24:E24"/>
    <mergeCell ref="B44:E44"/>
    <mergeCell ref="B30:D30"/>
    <mergeCell ref="B31:D31"/>
    <mergeCell ref="B32:D32"/>
    <mergeCell ref="B33:D33"/>
    <mergeCell ref="B34:D34"/>
    <mergeCell ref="B35:D35"/>
    <mergeCell ref="B36:D36"/>
    <mergeCell ref="B43:D43"/>
    <mergeCell ref="B26:D26"/>
    <mergeCell ref="B68:E68"/>
    <mergeCell ref="B65:E65"/>
    <mergeCell ref="B66:E66"/>
    <mergeCell ref="B67:E67"/>
    <mergeCell ref="B63:E63"/>
    <mergeCell ref="C2:N2"/>
    <mergeCell ref="B59:E59"/>
    <mergeCell ref="B15:E15"/>
    <mergeCell ref="B45:E45"/>
    <mergeCell ref="B50:E50"/>
    <mergeCell ref="B37:D37"/>
    <mergeCell ref="B53:D53"/>
    <mergeCell ref="B56:D56"/>
    <mergeCell ref="B55:E55"/>
    <mergeCell ref="B57:D57"/>
    <mergeCell ref="B38:D38"/>
    <mergeCell ref="B39:D39"/>
    <mergeCell ref="B40:D40"/>
    <mergeCell ref="B41:D41"/>
    <mergeCell ref="B42:D42"/>
    <mergeCell ref="B46:D46"/>
  </mergeCells>
  <phoneticPr fontId="0" type="noConversion"/>
  <conditionalFormatting sqref="M132">
    <cfRule type="cellIs" dxfId="703" priority="76" stopIfTrue="1" operator="lessThan">
      <formula>0</formula>
    </cfRule>
  </conditionalFormatting>
  <conditionalFormatting sqref="J68 M68 G68">
    <cfRule type="cellIs" dxfId="702" priority="69" stopIfTrue="1" operator="equal">
      <formula>0</formula>
    </cfRule>
  </conditionalFormatting>
  <conditionalFormatting sqref="H66 N66 K66">
    <cfRule type="cellIs" dxfId="701" priority="70" stopIfTrue="1" operator="equal">
      <formula>1</formula>
    </cfRule>
  </conditionalFormatting>
  <conditionalFormatting sqref="M26:M27 J26:J27">
    <cfRule type="expression" dxfId="700" priority="74" stopIfTrue="1">
      <formula>#REF!=1</formula>
    </cfRule>
  </conditionalFormatting>
  <conditionalFormatting sqref="M28 G28 J28">
    <cfRule type="expression" dxfId="699" priority="75" stopIfTrue="1">
      <formula>#REF!=1</formula>
    </cfRule>
  </conditionalFormatting>
  <conditionalFormatting sqref="H51:H53 K51:K53 N51:N53 H56:H57 K56:K57 N56:N57 H60:H61 K60:K61 N60:N61 H46:H48 K46:K48 N46:N48 H11:H12 K11:K12 N11:N12 K18:K23 N18:N23 H26:H43 N26:N43 K26:K43 H22:H23 H18 H20">
    <cfRule type="cellIs" dxfId="698" priority="63" stopIfTrue="1" operator="equal">
      <formula>0</formula>
    </cfRule>
  </conditionalFormatting>
  <conditionalFormatting sqref="G58">
    <cfRule type="cellIs" dxfId="697" priority="51" stopIfTrue="1" operator="lessThan">
      <formula>0</formula>
    </cfRule>
  </conditionalFormatting>
  <conditionalFormatting sqref="J58">
    <cfRule type="cellIs" dxfId="696" priority="50" stopIfTrue="1" operator="lessThan">
      <formula>0</formula>
    </cfRule>
  </conditionalFormatting>
  <conditionalFormatting sqref="M58">
    <cfRule type="cellIs" dxfId="695" priority="49" stopIfTrue="1" operator="lessThan">
      <formula>0</formula>
    </cfRule>
  </conditionalFormatting>
  <conditionalFormatting sqref="G59">
    <cfRule type="cellIs" dxfId="694" priority="47" operator="lessThan">
      <formula>0</formula>
    </cfRule>
  </conditionalFormatting>
  <conditionalFormatting sqref="H59">
    <cfRule type="cellIs" dxfId="693" priority="46" operator="lessThan">
      <formula>0</formula>
    </cfRule>
  </conditionalFormatting>
  <conditionalFormatting sqref="J59">
    <cfRule type="cellIs" dxfId="692" priority="45" operator="lessThan">
      <formula>0</formula>
    </cfRule>
  </conditionalFormatting>
  <conditionalFormatting sqref="M59">
    <cfRule type="cellIs" dxfId="691" priority="44" operator="lessThan">
      <formula>0</formula>
    </cfRule>
  </conditionalFormatting>
  <conditionalFormatting sqref="K59">
    <cfRule type="cellIs" dxfId="690" priority="43" operator="lessThan">
      <formula>0</formula>
    </cfRule>
  </conditionalFormatting>
  <conditionalFormatting sqref="N59">
    <cfRule type="cellIs" dxfId="689" priority="42" operator="lessThan">
      <formula>0</formula>
    </cfRule>
  </conditionalFormatting>
  <conditionalFormatting sqref="G63">
    <cfRule type="cellIs" dxfId="688" priority="41" operator="lessThan">
      <formula>0</formula>
    </cfRule>
  </conditionalFormatting>
  <conditionalFormatting sqref="H63">
    <cfRule type="cellIs" dxfId="687" priority="38" operator="lessThan">
      <formula>0</formula>
    </cfRule>
  </conditionalFormatting>
  <conditionalFormatting sqref="G50 J50 M50">
    <cfRule type="cellIs" dxfId="686" priority="35" operator="lessThan">
      <formula>0</formula>
    </cfRule>
  </conditionalFormatting>
  <conditionalFormatting sqref="H50 K50 N50">
    <cfRule type="cellIs" dxfId="685" priority="34" operator="lessThan">
      <formula>0</formula>
    </cfRule>
  </conditionalFormatting>
  <conditionalFormatting sqref="G55">
    <cfRule type="cellIs" dxfId="684" priority="33" operator="lessThan">
      <formula>0</formula>
    </cfRule>
  </conditionalFormatting>
  <conditionalFormatting sqref="H55">
    <cfRule type="cellIs" dxfId="683" priority="32" operator="lessThan">
      <formula>0</formula>
    </cfRule>
  </conditionalFormatting>
  <conditionalFormatting sqref="J55">
    <cfRule type="cellIs" dxfId="682" priority="31" operator="lessThan">
      <formula>0</formula>
    </cfRule>
  </conditionalFormatting>
  <conditionalFormatting sqref="K55">
    <cfRule type="cellIs" dxfId="681" priority="30" operator="lessThan">
      <formula>0</formula>
    </cfRule>
  </conditionalFormatting>
  <conditionalFormatting sqref="M55">
    <cfRule type="cellIs" dxfId="680" priority="29" operator="lessThan">
      <formula>0</formula>
    </cfRule>
  </conditionalFormatting>
  <conditionalFormatting sqref="N55">
    <cfRule type="cellIs" dxfId="679" priority="28" operator="lessThan">
      <formula>0</formula>
    </cfRule>
  </conditionalFormatting>
  <conditionalFormatting sqref="M63 J63">
    <cfRule type="cellIs" dxfId="678" priority="21" operator="lessThan">
      <formula>0</formula>
    </cfRule>
  </conditionalFormatting>
  <conditionalFormatting sqref="K63">
    <cfRule type="cellIs" dxfId="677" priority="20" operator="lessThan">
      <formula>0</formula>
    </cfRule>
  </conditionalFormatting>
  <conditionalFormatting sqref="N63">
    <cfRule type="cellIs" dxfId="676" priority="19" operator="lessThan">
      <formula>0</formula>
    </cfRule>
  </conditionalFormatting>
  <conditionalFormatting sqref="P19">
    <cfRule type="expression" dxfId="675" priority="18">
      <formula>G19&gt;0</formula>
    </cfRule>
  </conditionalFormatting>
  <conditionalFormatting sqref="P21">
    <cfRule type="expression" dxfId="674" priority="17">
      <formula>G21&gt;0</formula>
    </cfRule>
  </conditionalFormatting>
  <conditionalFormatting sqref="P20">
    <cfRule type="expression" dxfId="673" priority="12">
      <formula>(G21/-1)&gt;G20</formula>
    </cfRule>
  </conditionalFormatting>
  <conditionalFormatting sqref="H19">
    <cfRule type="cellIs" dxfId="672" priority="11" stopIfTrue="1" operator="equal">
      <formula>0</formula>
    </cfRule>
  </conditionalFormatting>
  <conditionalFormatting sqref="G18">
    <cfRule type="expression" dxfId="671" priority="10">
      <formula>(G19/-1)&gt;G18</formula>
    </cfRule>
  </conditionalFormatting>
  <conditionalFormatting sqref="P18">
    <cfRule type="expression" dxfId="670" priority="9">
      <formula>(G19/-1)&gt;G18</formula>
    </cfRule>
  </conditionalFormatting>
  <conditionalFormatting sqref="B4:E4">
    <cfRule type="expression" dxfId="669" priority="8">
      <formula>$G$10=0</formula>
    </cfRule>
  </conditionalFormatting>
  <conditionalFormatting sqref="G7:H7 J7:K7 M7:N7">
    <cfRule type="cellIs" dxfId="668" priority="7" operator="notEqual">
      <formula>12</formula>
    </cfRule>
  </conditionalFormatting>
  <conditionalFormatting sqref="G6:H6">
    <cfRule type="expression" dxfId="667" priority="2">
      <formula>G7&lt;&gt;12</formula>
    </cfRule>
  </conditionalFormatting>
  <conditionalFormatting sqref="M6:N6 J6:K6">
    <cfRule type="expression" dxfId="666" priority="1">
      <formula>J7&lt;&gt;12</formula>
    </cfRule>
  </conditionalFormatting>
  <conditionalFormatting sqref="B4:C4">
    <cfRule type="expression" dxfId="665" priority="922">
      <formula>$C$6=0</formula>
    </cfRule>
  </conditionalFormatting>
  <dataValidations xWindow="850" yWindow="573" count="12">
    <dataValidation allowBlank="1" showInputMessage="1" showErrorMessage="1" prompt="La différence entre le stock de produits &amp; en-cours existant à la clôture  et celui existant à l'ouverture de l'exercice constitue la production stockée ou déstockée_x000a_Pour le 1er exercice,en cas d'existence de stock à la clôture, le montant sera positif_x000a_" sqref="G11" xr:uid="{00000000-0002-0000-0600-000000000000}"/>
    <dataValidation allowBlank="1" showInputMessage="1" showErrorMessage="1" sqref="J12 M12" xr:uid="{00000000-0002-0000-0600-000001000000}"/>
    <dataValidation allowBlank="1" showInputMessage="1" showErrorMessage="1" prompt="La différence entre le stock de produits &amp; en-cours existant à la clôture (SF)  et celui existant à l'ouverture de l'exercice (SI) constitue la production stockée ou déstockée_x000a_Si SF&gt;SI = montant + _x000a_Si SF&lt;SI = montant -_x000a_" sqref="J11 M11" xr:uid="{00000000-0002-0000-0600-000002000000}"/>
    <dataValidation allowBlank="1" showInputMessage="1" showErrorMessage="1" prompt="la variation de stocks de matières est égale à la différence entre le stock de matières existant au début de l'exercice et celui à la clôture de l'exercice_x000a_Pour le 1er exercice, en cas d'existence de stock à la clôture, la variation sera négative" sqref="G21" xr:uid="{00000000-0002-0000-0600-000003000000}"/>
    <dataValidation allowBlank="1" showInputMessage="1" showErrorMessage="1" prompt="la variation de stock de Mses est égale à la différence entre le stock existant au début de l'exercice (SI) et celui à la clôture de l'exercice (SF)_x000a_Si SI&lt;SF ou, autrement dit, si SF&gt;SI, la variation est négative_x000a_A l'inverse, la variation est positive_x000a__x000a__x000a__x000a_" sqref="J19 M19" xr:uid="{00000000-0002-0000-0600-000004000000}"/>
    <dataValidation allowBlank="1" showInputMessage="1" showErrorMessage="1" prompt="la variation de stock de mat. est égale à la différence entre le stock existant au début de l'exercice (SI) et celui à la clôture de l'exercice (SF)_x000a_Si SI&lt;SF ou, autrement dit, si SF&gt;SI, la variation est négative_x000a_A l'inverse, la variation est positive_x000a__x000a__x000a__x000a_" sqref="J21 M21" xr:uid="{00000000-0002-0000-0600-000005000000}"/>
    <dataValidation allowBlank="1" showInputMessage="1" showErrorMessage="1" prompt="Report de la ligne amortissements de l'onglet Moyens d'exploitation" sqref="G51 J51 M51" xr:uid="{00000000-0002-0000-0600-000006000000}"/>
    <dataValidation allowBlank="1" showInputMessage="1" showErrorMessage="1" prompt="Le montant du CA doit être renseigné dans l'onglet &quot;chiffre d'affaires&quot;" sqref="G10 J10 M10" xr:uid="{00000000-0002-0000-0600-000007000000}"/>
    <dataValidation type="list" allowBlank="1" showInputMessage="1" showErrorMessage="1" sqref="C6:E7" xr:uid="{00000000-0002-0000-0600-000008000000}">
      <formula1>"Négoce,Production de biens, Production de services"</formula1>
    </dataValidation>
    <dataValidation allowBlank="1" showInputMessage="1" showErrorMessage="1" prompt="Report de la ligne charges de personnel de l'onglet Moyens d'exploitation" sqref="G47 J47 M47" xr:uid="{82FED151-6F2E-4DE4-AAD9-EC1AE42F72EC}"/>
    <dataValidation allowBlank="1" showInputMessage="1" showErrorMessage="1" prompt="Report de la ligne loyers annuels de crédit-bail de l'onglet Moyens d'exploitation" sqref="G28 J28 M28" xr:uid="{1873D94A-06AA-46F2-BBB4-64AE50735F8D}"/>
    <dataValidation allowBlank="1" showInputMessage="1" showErrorMessage="1" prompt="Report de la ligne total des locations annuellesl de l'onglet Moyens d'exploitation" sqref="G27 J27 M27" xr:uid="{0961B3C1-D9CD-4860-8B62-A3EEF008B218}"/>
  </dataValidations>
  <hyperlinks>
    <hyperlink ref="B8" location="Comprendre!B138" display="pour en savoir plus sur le compte de résultat" xr:uid="{00000000-0004-0000-0600-000000000000}"/>
    <hyperlink ref="B8:E8" location="Comprendre!B126" display="En savoir plus sur le compte de résultat" xr:uid="{00000000-0004-0000-0600-000001000000}"/>
  </hyperlinks>
  <printOptions horizontalCentered="1"/>
  <pageMargins left="0" right="0" top="0" bottom="0" header="0" footer="0"/>
  <pageSetup paperSize="9" scale="77" fitToHeight="2" orientation="portrait" r:id="rId1"/>
  <headerFooter alignWithMargins="0"/>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tabColor rgb="FFC00000"/>
    <pageSetUpPr fitToPage="1"/>
  </sheetPr>
  <dimension ref="A1:Z82"/>
  <sheetViews>
    <sheetView showGridLines="0" showRowColHeaders="0" zoomScaleNormal="100" workbookViewId="0">
      <selection activeCell="G11" sqref="G11"/>
    </sheetView>
  </sheetViews>
  <sheetFormatPr baseColWidth="10" defaultColWidth="10.77734375" defaultRowHeight="13.8" x14ac:dyDescent="0.3"/>
  <cols>
    <col min="1" max="1" width="1.77734375" style="37" customWidth="1"/>
    <col min="2" max="2" width="17.77734375" style="37" customWidth="1"/>
    <col min="3" max="3" width="9.77734375" style="37" customWidth="1"/>
    <col min="4" max="4" width="14.77734375" style="37" customWidth="1"/>
    <col min="5" max="5" width="13.77734375" style="37" customWidth="1"/>
    <col min="6" max="6" width="1" style="37" customWidth="1"/>
    <col min="7" max="7" width="26.77734375" style="37" customWidth="1"/>
    <col min="8" max="8" width="14.77734375" style="37" customWidth="1"/>
    <col min="9" max="9" width="13.77734375" style="37" customWidth="1"/>
    <col min="10" max="10" width="1" style="37" customWidth="1"/>
    <col min="11" max="11" width="26.77734375" style="37" customWidth="1"/>
    <col min="12" max="12" width="14.77734375" style="37" customWidth="1"/>
    <col min="13" max="13" width="13.77734375" style="37" customWidth="1"/>
    <col min="14" max="14" width="20" style="37" bestFit="1" customWidth="1"/>
    <col min="15" max="15" width="10.77734375" style="366"/>
    <col min="16" max="16" width="10.77734375" style="281"/>
    <col min="17" max="16384" width="10.77734375" style="37"/>
  </cols>
  <sheetData>
    <row r="1" spans="2:26" ht="6" customHeight="1" x14ac:dyDescent="0.3"/>
    <row r="2" spans="2:26" s="205" customFormat="1" ht="21.9" customHeight="1" x14ac:dyDescent="0.3">
      <c r="B2" s="2905" t="str">
        <f>IF(ISBLANK(dossier)," ",dossier)</f>
        <v xml:space="preserve"> </v>
      </c>
      <c r="C2" s="2906"/>
      <c r="D2" s="2906"/>
      <c r="E2" s="2921" t="s">
        <v>877</v>
      </c>
      <c r="F2" s="2922"/>
      <c r="G2" s="2922"/>
      <c r="H2" s="2922"/>
      <c r="I2" s="2922"/>
      <c r="J2" s="2922"/>
      <c r="K2" s="2922"/>
      <c r="L2" s="2922"/>
      <c r="M2" s="2923"/>
      <c r="O2" s="362"/>
      <c r="P2" s="250"/>
      <c r="Q2" s="249"/>
      <c r="R2" s="249"/>
      <c r="S2" s="249"/>
      <c r="T2" s="249"/>
      <c r="U2" s="249"/>
      <c r="V2" s="249"/>
      <c r="W2" s="249"/>
      <c r="X2" s="249"/>
      <c r="Y2" s="249"/>
      <c r="Z2" s="249"/>
    </row>
    <row r="3" spans="2:26" s="249" customFormat="1" ht="15" customHeight="1" x14ac:dyDescent="0.3">
      <c r="B3" s="248"/>
      <c r="C3" s="248"/>
      <c r="D3" s="248"/>
      <c r="F3" s="248"/>
      <c r="G3" s="248"/>
      <c r="H3" s="248"/>
      <c r="I3" s="2907"/>
      <c r="J3" s="2908"/>
      <c r="K3" s="2908"/>
      <c r="L3" s="2908"/>
      <c r="M3" s="248"/>
      <c r="O3" s="362"/>
      <c r="P3" s="250"/>
    </row>
    <row r="4" spans="2:26" s="252" customFormat="1" ht="20.100000000000001" customHeight="1" x14ac:dyDescent="0.2">
      <c r="B4" s="2909" t="s">
        <v>832</v>
      </c>
      <c r="C4" s="2910"/>
      <c r="D4" s="2910"/>
      <c r="E4" s="2910"/>
      <c r="F4" s="2910"/>
      <c r="G4" s="2910"/>
      <c r="H4" s="2910"/>
      <c r="I4" s="2911"/>
      <c r="K4" s="2926" t="s">
        <v>587</v>
      </c>
      <c r="L4" s="2926"/>
      <c r="M4" s="1728" t="s">
        <v>215</v>
      </c>
      <c r="N4" s="362"/>
      <c r="O4" s="362"/>
      <c r="P4" s="253"/>
    </row>
    <row r="5" spans="2:26" s="249" customFormat="1" ht="6" customHeight="1" x14ac:dyDescent="0.3">
      <c r="B5" s="808"/>
      <c r="C5" s="808"/>
      <c r="D5" s="808"/>
      <c r="E5" s="248"/>
      <c r="F5" s="248"/>
      <c r="G5" s="248"/>
      <c r="H5" s="248"/>
      <c r="I5" s="815"/>
      <c r="J5" s="814"/>
      <c r="K5" s="808"/>
      <c r="L5" s="808"/>
      <c r="M5" s="808"/>
      <c r="O5" s="362"/>
      <c r="P5" s="250"/>
    </row>
    <row r="6" spans="2:26" s="249" customFormat="1" ht="15" customHeight="1" x14ac:dyDescent="0.3">
      <c r="B6" s="2878">
        <f>IF(AND(ca_1&gt;0,quotité_tv&lt;100%),"Vous devez renseigner la quotité du chiffre d'affaires et des achats soumise ou exonérée de TVA",IF(AND(ca_1&gt;0,quotité_ta&lt;100%),"Vous devez renseigner la quotité du chiffre d'affaires et des achats soumise ou exonérée de TVA",0))</f>
        <v>0</v>
      </c>
      <c r="C6" s="2878"/>
      <c r="D6" s="2878"/>
      <c r="E6" s="2878"/>
      <c r="F6" s="2878"/>
      <c r="G6" s="2878"/>
      <c r="H6" s="2878"/>
      <c r="I6" s="2878"/>
      <c r="J6" s="808"/>
      <c r="K6" s="808"/>
      <c r="L6" s="808"/>
      <c r="M6" s="808"/>
      <c r="O6" s="362"/>
      <c r="P6" s="250"/>
    </row>
    <row r="7" spans="2:26" s="249" customFormat="1" ht="3" customHeight="1" x14ac:dyDescent="0.3">
      <c r="B7" s="248"/>
      <c r="C7" s="248"/>
      <c r="D7" s="1732"/>
      <c r="E7" s="248"/>
      <c r="F7" s="248"/>
      <c r="G7" s="248"/>
      <c r="H7" s="248"/>
      <c r="I7" s="815"/>
      <c r="J7" s="1732"/>
      <c r="K7" s="1732"/>
      <c r="L7" s="814"/>
      <c r="M7" s="248"/>
      <c r="O7" s="362"/>
      <c r="P7" s="250"/>
    </row>
    <row r="8" spans="2:26" s="808" customFormat="1" ht="21.9" customHeight="1" x14ac:dyDescent="0.3">
      <c r="B8" s="2884" t="s">
        <v>827</v>
      </c>
      <c r="C8" s="2885"/>
      <c r="D8" s="2885"/>
      <c r="E8" s="2886"/>
      <c r="F8" s="809"/>
      <c r="G8" s="2884" t="s">
        <v>830</v>
      </c>
      <c r="H8" s="2885"/>
      <c r="I8" s="2886"/>
      <c r="N8" s="810"/>
      <c r="O8" s="810"/>
    </row>
    <row r="9" spans="2:26" s="249" customFormat="1" ht="30" customHeight="1" x14ac:dyDescent="0.3">
      <c r="B9" s="2887" t="s">
        <v>831</v>
      </c>
      <c r="C9" s="2888"/>
      <c r="D9" s="2889"/>
      <c r="E9" s="1733" t="s">
        <v>828</v>
      </c>
      <c r="F9" s="248"/>
      <c r="G9" s="2879" t="s">
        <v>831</v>
      </c>
      <c r="H9" s="2880"/>
      <c r="I9" s="1733" t="s">
        <v>890</v>
      </c>
      <c r="J9" s="804"/>
      <c r="N9" s="362"/>
      <c r="O9" s="362"/>
      <c r="P9" s="250"/>
    </row>
    <row r="10" spans="2:26" s="249" customFormat="1" ht="20.100000000000001" customHeight="1" x14ac:dyDescent="0.3">
      <c r="B10" s="2890" t="s">
        <v>823</v>
      </c>
      <c r="C10" s="2891"/>
      <c r="D10" s="1193">
        <v>0.2</v>
      </c>
      <c r="E10" s="2066"/>
      <c r="G10" s="1190" t="s">
        <v>823</v>
      </c>
      <c r="H10" s="1193">
        <v>0.2</v>
      </c>
      <c r="I10" s="2066"/>
      <c r="J10" s="804"/>
      <c r="L10" s="817">
        <f>D10*E10</f>
        <v>0</v>
      </c>
      <c r="M10" s="816">
        <f>H10*I10</f>
        <v>0</v>
      </c>
      <c r="N10" s="362"/>
      <c r="O10" s="362"/>
      <c r="P10" s="250"/>
    </row>
    <row r="11" spans="2:26" s="249" customFormat="1" ht="20.100000000000001" customHeight="1" x14ac:dyDescent="0.3">
      <c r="B11" s="2892" t="s">
        <v>824</v>
      </c>
      <c r="C11" s="2893"/>
      <c r="D11" s="1192">
        <v>0.1</v>
      </c>
      <c r="E11" s="2067"/>
      <c r="F11" s="1731"/>
      <c r="G11" s="1191" t="s">
        <v>824</v>
      </c>
      <c r="H11" s="1192">
        <v>0.1</v>
      </c>
      <c r="I11" s="2067"/>
      <c r="J11" s="804"/>
      <c r="L11" s="817">
        <f>D11*E11</f>
        <v>0</v>
      </c>
      <c r="M11" s="816">
        <f>H11*I11</f>
        <v>0</v>
      </c>
      <c r="N11" s="362"/>
      <c r="O11" s="362"/>
      <c r="P11" s="250"/>
    </row>
    <row r="12" spans="2:26" s="249" customFormat="1" ht="20.100000000000001" customHeight="1" x14ac:dyDescent="0.3">
      <c r="B12" s="2892" t="s">
        <v>825</v>
      </c>
      <c r="C12" s="2893"/>
      <c r="D12" s="1192">
        <v>5.5E-2</v>
      </c>
      <c r="E12" s="2067"/>
      <c r="F12" s="1731"/>
      <c r="G12" s="1191" t="s">
        <v>825</v>
      </c>
      <c r="H12" s="1192">
        <v>5.5E-2</v>
      </c>
      <c r="I12" s="2067"/>
      <c r="J12" s="804"/>
      <c r="L12" s="817">
        <f>D12*E12</f>
        <v>0</v>
      </c>
      <c r="M12" s="816">
        <f>H12*I12</f>
        <v>0</v>
      </c>
      <c r="N12" s="362"/>
      <c r="O12" s="362"/>
      <c r="P12" s="250"/>
    </row>
    <row r="13" spans="2:26" s="249" customFormat="1" ht="20.100000000000001" customHeight="1" x14ac:dyDescent="0.3">
      <c r="B13" s="2892" t="s">
        <v>826</v>
      </c>
      <c r="C13" s="2893"/>
      <c r="D13" s="1192">
        <v>2.1000000000000001E-2</v>
      </c>
      <c r="E13" s="2067"/>
      <c r="F13" s="1731"/>
      <c r="G13" s="1191" t="s">
        <v>826</v>
      </c>
      <c r="H13" s="1192">
        <v>2.1000000000000001E-2</v>
      </c>
      <c r="I13" s="2067"/>
      <c r="J13" s="804"/>
      <c r="L13" s="817">
        <f>D13*E13</f>
        <v>0</v>
      </c>
      <c r="M13" s="816">
        <f>H13*I13</f>
        <v>0</v>
      </c>
      <c r="N13" s="362"/>
      <c r="O13" s="362"/>
      <c r="P13" s="250"/>
    </row>
    <row r="14" spans="2:26" s="249" customFormat="1" ht="20.100000000000001" customHeight="1" x14ac:dyDescent="0.3">
      <c r="B14" s="2924" t="s">
        <v>899</v>
      </c>
      <c r="C14" s="2925"/>
      <c r="D14" s="1193">
        <v>0</v>
      </c>
      <c r="E14" s="2066"/>
      <c r="F14" s="1731"/>
      <c r="G14" s="1190" t="s">
        <v>899</v>
      </c>
      <c r="H14" s="1193">
        <v>0</v>
      </c>
      <c r="I14" s="2066"/>
      <c r="J14" s="805"/>
      <c r="L14" s="817">
        <f>D14*E14</f>
        <v>0</v>
      </c>
      <c r="M14" s="816">
        <f>H14*I14</f>
        <v>0</v>
      </c>
      <c r="N14" s="362"/>
      <c r="O14" s="362"/>
      <c r="P14" s="250"/>
    </row>
    <row r="15" spans="2:26" s="250" customFormat="1" ht="20.100000000000001" customHeight="1" x14ac:dyDescent="0.3">
      <c r="B15" s="2881" t="s">
        <v>829</v>
      </c>
      <c r="C15" s="2882"/>
      <c r="D15" s="2883"/>
      <c r="E15" s="2065">
        <f>SUM(E10:E14)</f>
        <v>0</v>
      </c>
      <c r="F15" s="806"/>
      <c r="G15" s="2881" t="s">
        <v>833</v>
      </c>
      <c r="H15" s="2883"/>
      <c r="I15" s="2065">
        <f>SUM(I10:I14)</f>
        <v>0</v>
      </c>
      <c r="J15" s="807"/>
      <c r="L15" s="817">
        <f>SUM(L10:L14)</f>
        <v>0</v>
      </c>
      <c r="M15" s="816">
        <f>SUM(M10:M14)</f>
        <v>0</v>
      </c>
      <c r="N15" s="807"/>
      <c r="O15" s="807"/>
    </row>
    <row r="16" spans="2:26" ht="3" customHeight="1" x14ac:dyDescent="0.3">
      <c r="E16" s="396"/>
      <c r="F16" s="396"/>
      <c r="G16" s="396"/>
      <c r="H16" s="396"/>
      <c r="I16" s="396"/>
    </row>
    <row r="17" spans="2:16" s="249" customFormat="1" ht="20.100000000000001" customHeight="1" x14ac:dyDescent="0.3">
      <c r="B17" s="2859" t="str">
        <f>IF(E15=0," ",IF(E15&lt;100%," Attention : quotité des ventes &lt; à 100%",IF(E15&gt;100%,"Attention : quotité des ventes &gt; à 100%"," ")))</f>
        <v xml:space="preserve"> </v>
      </c>
      <c r="C17" s="2859"/>
      <c r="D17" s="2859"/>
      <c r="E17" s="2859"/>
      <c r="F17" s="808"/>
      <c r="G17" s="2859" t="str">
        <f>IF(I15=0," ",IF(I15&lt;100%," Attention : quotité des achats &lt; à 100%",IF(I15&gt;100%,"Attention : quotité des achats &gt; à 100%"," ")))</f>
        <v xml:space="preserve"> </v>
      </c>
      <c r="H17" s="2859"/>
      <c r="I17" s="2859"/>
      <c r="J17" s="805"/>
      <c r="O17" s="362"/>
      <c r="P17" s="250"/>
    </row>
    <row r="18" spans="2:16" s="250" customFormat="1" ht="9.9" customHeight="1" x14ac:dyDescent="0.3">
      <c r="F18" s="811"/>
      <c r="J18" s="812"/>
      <c r="M18" s="813"/>
      <c r="O18" s="807"/>
    </row>
    <row r="19" spans="2:16" s="14" customFormat="1" ht="21.9" customHeight="1" x14ac:dyDescent="0.3">
      <c r="B19" s="2912" t="s">
        <v>97</v>
      </c>
      <c r="C19" s="2913"/>
      <c r="D19" s="2914"/>
      <c r="E19" s="2915"/>
      <c r="F19" s="254"/>
      <c r="G19" s="2912" t="s">
        <v>98</v>
      </c>
      <c r="H19" s="2914"/>
      <c r="I19" s="2915"/>
      <c r="J19" s="254"/>
      <c r="K19" s="2912" t="s">
        <v>99</v>
      </c>
      <c r="L19" s="2914"/>
      <c r="M19" s="2915"/>
      <c r="O19" s="363"/>
    </row>
    <row r="20" spans="2:16" s="15" customFormat="1" ht="9.9" customHeight="1" x14ac:dyDescent="0.3">
      <c r="B20" s="360"/>
      <c r="C20" s="360"/>
      <c r="D20" s="336"/>
      <c r="E20" s="336"/>
      <c r="F20" s="361"/>
      <c r="G20" s="360"/>
      <c r="H20" s="336"/>
      <c r="I20" s="336"/>
      <c r="J20" s="361"/>
      <c r="K20" s="360"/>
      <c r="L20" s="336"/>
      <c r="M20" s="336"/>
      <c r="O20" s="364"/>
    </row>
    <row r="21" spans="2:16" s="4" customFormat="1" ht="21.9" customHeight="1" x14ac:dyDescent="0.3">
      <c r="B21" s="2169" t="s">
        <v>874</v>
      </c>
      <c r="C21" s="2169"/>
      <c r="D21" s="2169"/>
      <c r="E21" s="2169"/>
      <c r="F21" s="2169"/>
      <c r="G21" s="2169"/>
      <c r="H21" s="2169"/>
      <c r="I21" s="2169"/>
      <c r="J21" s="2169"/>
      <c r="K21" s="2902"/>
      <c r="L21" s="789" t="s">
        <v>215</v>
      </c>
      <c r="N21" s="251"/>
      <c r="O21" s="365"/>
      <c r="P21" s="14"/>
    </row>
    <row r="22" spans="2:16" ht="6" customHeight="1" x14ac:dyDescent="0.3"/>
    <row r="23" spans="2:16" s="14" customFormat="1" ht="20.100000000000001" customHeight="1" x14ac:dyDescent="0.3">
      <c r="B23" s="2900" t="s">
        <v>9</v>
      </c>
      <c r="C23" s="2900"/>
      <c r="D23" s="2900"/>
      <c r="E23" s="2900"/>
      <c r="F23" s="2900"/>
      <c r="G23" s="2900"/>
      <c r="H23" s="2900"/>
      <c r="I23" s="2900"/>
      <c r="O23" s="363"/>
    </row>
    <row r="24" spans="2:16" s="14" customFormat="1" ht="15" customHeight="1" x14ac:dyDescent="0.3">
      <c r="B24" s="2897" t="s">
        <v>503</v>
      </c>
      <c r="C24" s="2927"/>
      <c r="D24" s="1194" t="s">
        <v>380</v>
      </c>
      <c r="E24" s="2855" t="s">
        <v>504</v>
      </c>
      <c r="F24" s="38"/>
      <c r="G24" s="2857" t="s">
        <v>503</v>
      </c>
      <c r="H24" s="1194" t="s">
        <v>380</v>
      </c>
      <c r="I24" s="2855" t="s">
        <v>504</v>
      </c>
      <c r="J24" s="529"/>
      <c r="K24" s="2857" t="s">
        <v>503</v>
      </c>
      <c r="L24" s="1194" t="s">
        <v>380</v>
      </c>
      <c r="M24" s="2855" t="s">
        <v>504</v>
      </c>
      <c r="O24" s="374" t="s">
        <v>154</v>
      </c>
      <c r="P24" s="284">
        <v>-10</v>
      </c>
    </row>
    <row r="25" spans="2:16" s="14" customFormat="1" ht="15" customHeight="1" x14ac:dyDescent="0.3">
      <c r="B25" s="2928"/>
      <c r="C25" s="2929"/>
      <c r="D25" s="2070" t="s">
        <v>381</v>
      </c>
      <c r="E25" s="2931"/>
      <c r="F25" s="38"/>
      <c r="G25" s="2930"/>
      <c r="H25" s="2070" t="s">
        <v>381</v>
      </c>
      <c r="I25" s="2931"/>
      <c r="J25" s="529"/>
      <c r="K25" s="2930"/>
      <c r="L25" s="2070" t="s">
        <v>381</v>
      </c>
      <c r="M25" s="2931"/>
      <c r="O25" s="375" t="s">
        <v>317</v>
      </c>
      <c r="P25" s="284">
        <v>10</v>
      </c>
    </row>
    <row r="26" spans="2:16" s="54" customFormat="1" ht="20.100000000000001" customHeight="1" x14ac:dyDescent="0.3">
      <c r="B26" s="2918"/>
      <c r="C26" s="2919"/>
      <c r="D26" s="2068"/>
      <c r="E26" s="2069" t="str">
        <f>IF(ISBLANK(B26)," ",SUMIF($O$24:$O$29,"="&amp;B26,$P$24:$P$29)*D26)</f>
        <v xml:space="preserve"> </v>
      </c>
      <c r="G26" s="1195"/>
      <c r="H26" s="2071"/>
      <c r="I26" s="2069" t="str">
        <f>IF(ISBLANK(G26)," ",SUMIF($O$24:$O$29,"="&amp;G26,$P$24:$P$29)*H26)</f>
        <v xml:space="preserve"> </v>
      </c>
      <c r="J26" s="256"/>
      <c r="K26" s="1195"/>
      <c r="L26" s="2071"/>
      <c r="M26" s="2069" t="str">
        <f>IF(ISBLANK(K26)," ",SUMIF($O$24:$O$29,"="&amp;K26,$P$24:$P$29)*L26)</f>
        <v xml:space="preserve"> </v>
      </c>
      <c r="O26" s="376" t="s">
        <v>280</v>
      </c>
      <c r="P26" s="318">
        <v>30</v>
      </c>
    </row>
    <row r="27" spans="2:16" s="54" customFormat="1" ht="20.100000000000001" customHeight="1" x14ac:dyDescent="0.3">
      <c r="B27" s="2865"/>
      <c r="C27" s="2920"/>
      <c r="D27" s="1198"/>
      <c r="E27" s="1203" t="str">
        <f>IF(ISBLANK(B27)," ",SUMIF($O$24:$O$29,"="&amp;B27,$P$24:$P$29)*D27)</f>
        <v xml:space="preserve"> </v>
      </c>
      <c r="G27" s="1196"/>
      <c r="H27" s="1198"/>
      <c r="I27" s="1203" t="str">
        <f>IF(ISBLANK(G27)," ",SUMIF($O$24:$O$29,"="&amp;G27,$P$24:$P$29)*H27)</f>
        <v xml:space="preserve"> </v>
      </c>
      <c r="J27" s="256"/>
      <c r="K27" s="1196"/>
      <c r="L27" s="1198"/>
      <c r="M27" s="1203" t="str">
        <f>IF(ISBLANK(K27)," ",SUMIF($O$24:$O$29,"="&amp;K27,$P$24:$P$29)*L27)</f>
        <v xml:space="preserve"> </v>
      </c>
      <c r="O27" s="376" t="s">
        <v>281</v>
      </c>
      <c r="P27" s="318">
        <v>45</v>
      </c>
    </row>
    <row r="28" spans="2:16" s="54" customFormat="1" ht="20.100000000000001" customHeight="1" x14ac:dyDescent="0.3">
      <c r="B28" s="2865"/>
      <c r="C28" s="2920"/>
      <c r="D28" s="1198"/>
      <c r="E28" s="1203" t="str">
        <f>IF(ISBLANK(B28)," ",SUMIF($O$24:$O$29,"="&amp;B28,$P$24:$P$29)*D28)</f>
        <v xml:space="preserve"> </v>
      </c>
      <c r="G28" s="1196"/>
      <c r="H28" s="1198"/>
      <c r="I28" s="1203" t="str">
        <f>IF(ISBLANK(G28)," ",SUMIF($O$24:$O$29,"="&amp;G28,$P$24:$P$29)*H28)</f>
        <v xml:space="preserve"> </v>
      </c>
      <c r="J28" s="256"/>
      <c r="K28" s="1196"/>
      <c r="L28" s="1198"/>
      <c r="M28" s="1203" t="str">
        <f>IF(ISBLANK(K28)," ",SUMIF($O$24:$O$29,"="&amp;K28,$P$24:$P$29)*L28)</f>
        <v xml:space="preserve"> </v>
      </c>
      <c r="O28" s="376" t="s">
        <v>282</v>
      </c>
      <c r="P28" s="318">
        <v>60</v>
      </c>
    </row>
    <row r="29" spans="2:16" s="54" customFormat="1" ht="20.100000000000001" customHeight="1" x14ac:dyDescent="0.3">
      <c r="B29" s="2916"/>
      <c r="C29" s="2917"/>
      <c r="D29" s="1199"/>
      <c r="E29" s="1204" t="str">
        <f>IF(ISBLANK(B29)," ",B29*D29)</f>
        <v xml:space="preserve"> </v>
      </c>
      <c r="G29" s="1197"/>
      <c r="H29" s="1199"/>
      <c r="I29" s="1204" t="str">
        <f>IF(ISBLANK(G29)," ",G29*H29)</f>
        <v xml:space="preserve"> </v>
      </c>
      <c r="K29" s="1197"/>
      <c r="L29" s="1199"/>
      <c r="M29" s="1204" t="str">
        <f>IF(ISBLANK(K29)," ",K29*L29)</f>
        <v xml:space="preserve"> </v>
      </c>
      <c r="O29" s="376" t="s">
        <v>283</v>
      </c>
      <c r="P29" s="318">
        <v>75</v>
      </c>
    </row>
    <row r="30" spans="2:16" s="21" customFormat="1" ht="30" customHeight="1" x14ac:dyDescent="0.25">
      <c r="B30" s="2863" t="s">
        <v>502</v>
      </c>
      <c r="C30" s="2864"/>
      <c r="D30" s="1201">
        <f>SUM(D26:D29)</f>
        <v>0</v>
      </c>
      <c r="E30" s="1202">
        <f>SUM(E24:E29)</f>
        <v>0</v>
      </c>
      <c r="F30" s="54"/>
      <c r="G30" s="1200" t="s">
        <v>502</v>
      </c>
      <c r="H30" s="1201">
        <f>SUM(H26:H29)</f>
        <v>0</v>
      </c>
      <c r="I30" s="1202">
        <f>SUM(I24:I29)</f>
        <v>0</v>
      </c>
      <c r="J30" s="54"/>
      <c r="K30" s="1200" t="s">
        <v>502</v>
      </c>
      <c r="L30" s="1201">
        <f>SUM(L26:L29)</f>
        <v>0</v>
      </c>
      <c r="M30" s="1202">
        <f>SUM(M24:M29)</f>
        <v>0</v>
      </c>
      <c r="O30" s="367"/>
    </row>
    <row r="31" spans="2:16" ht="3" customHeight="1" x14ac:dyDescent="0.3"/>
    <row r="32" spans="2:16" s="21" customFormat="1" ht="20.100000000000001" customHeight="1" x14ac:dyDescent="0.25">
      <c r="B32" s="2859" t="str">
        <f>IF(D30=0," ",IF(D30&lt;100%," Attention : % clients inférieur à 100%",IF(D30&gt;100%,"Attention : % clients supérieur à 100%"," ")))</f>
        <v xml:space="preserve"> </v>
      </c>
      <c r="C32" s="2859"/>
      <c r="D32" s="2859"/>
      <c r="E32" s="2859"/>
      <c r="G32" s="2859" t="str">
        <f>IF(H30=0," ",IF(H30&lt;100%," Attention : % clients inférieur à 100%",IF(H30&gt;100%,"Attention : % clients supérieur à 100%"," ")))</f>
        <v xml:space="preserve"> </v>
      </c>
      <c r="H32" s="2859"/>
      <c r="I32" s="2859"/>
      <c r="K32" s="2859" t="str">
        <f>IF(L30=0," ",IF(L30&lt;100%," Attention : % clients inférieur à 100%",IF(L30&gt;100%,"Attention : % clients supérieur à 100%"," ")))</f>
        <v xml:space="preserve"> </v>
      </c>
      <c r="L32" s="2859"/>
      <c r="M32" s="2859"/>
      <c r="O32" s="367"/>
    </row>
    <row r="33" spans="2:16" ht="3" customHeight="1" x14ac:dyDescent="0.3"/>
    <row r="34" spans="2:16" s="259" customFormat="1" ht="20.100000000000001" customHeight="1" x14ac:dyDescent="0.3">
      <c r="B34" s="2853" t="s">
        <v>303</v>
      </c>
      <c r="C34" s="2853"/>
      <c r="D34" s="2901"/>
      <c r="E34" s="195"/>
      <c r="F34" s="258"/>
      <c r="G34" s="2853" t="s">
        <v>303</v>
      </c>
      <c r="H34" s="2901"/>
      <c r="I34" s="719" t="str">
        <f>IF(ISBLANK(E34)," ",E34)</f>
        <v xml:space="preserve"> </v>
      </c>
      <c r="J34" s="258"/>
      <c r="K34" s="2853" t="s">
        <v>303</v>
      </c>
      <c r="L34" s="2901"/>
      <c r="M34" s="719" t="str">
        <f>IF(ISBLANK(E34)," ",E34)</f>
        <v xml:space="preserve"> </v>
      </c>
      <c r="O34" s="368"/>
      <c r="P34" s="255"/>
    </row>
    <row r="35" spans="2:16" s="264" customFormat="1" ht="3" customHeight="1" x14ac:dyDescent="0.3">
      <c r="B35" s="260"/>
      <c r="C35" s="260"/>
      <c r="D35" s="261"/>
      <c r="E35" s="262"/>
      <c r="F35" s="263"/>
      <c r="G35" s="261"/>
      <c r="H35" s="261"/>
      <c r="I35" s="262"/>
      <c r="J35" s="263"/>
      <c r="K35" s="260"/>
      <c r="L35" s="261"/>
      <c r="M35" s="262"/>
      <c r="O35" s="369"/>
      <c r="P35" s="15"/>
    </row>
    <row r="36" spans="2:16" s="264" customFormat="1" ht="20.100000000000001" customHeight="1" x14ac:dyDescent="0.3">
      <c r="B36" s="2876" t="str">
        <f>IF(OR(ISBLANK(E34),E30=0)," ",IF(E30&lt;E34," Délai de paiement meilleur que celui du secteur. Justifié ?",IF(E30&gt;E34,"Délai de paiement supérieur à celui du secteur. Justifié ?"," ")))</f>
        <v xml:space="preserve"> </v>
      </c>
      <c r="C36" s="2877"/>
      <c r="D36" s="2877"/>
      <c r="E36" s="2877"/>
      <c r="F36" s="263"/>
      <c r="G36" s="2860" t="str">
        <f>IF(OR(ISBLANK(E34),I30=0)," ",IF(I30&lt;I34," Délai de paiement meilleur que celui du secteur. Justifié ?",IF(I30&gt;I34,"Délai de paiement supérieur à celui du secteur. Justifié ?"," ")))</f>
        <v xml:space="preserve"> </v>
      </c>
      <c r="H36" s="2860"/>
      <c r="I36" s="2860"/>
      <c r="J36" s="499"/>
      <c r="K36" s="2860" t="str">
        <f>IF(OR(ISBLANK(E34),M30=0)," ",IF(M30&lt;M34," Délai de paiement meilleur que celui du secteur. Justifié ?",IF(M30&gt;M34,"Délai de paiement supérieur à celui du secteur. Justifié ?"," ")))</f>
        <v xml:space="preserve"> </v>
      </c>
      <c r="L36" s="2860"/>
      <c r="M36" s="2860"/>
      <c r="N36" s="499"/>
      <c r="O36" s="369"/>
      <c r="P36" s="15"/>
    </row>
    <row r="37" spans="2:16" s="264" customFormat="1" ht="3" customHeight="1" x14ac:dyDescent="0.3">
      <c r="B37" s="260"/>
      <c r="C37" s="260"/>
      <c r="D37" s="261"/>
      <c r="E37" s="262"/>
      <c r="F37" s="263"/>
      <c r="G37" s="261"/>
      <c r="H37" s="261"/>
      <c r="I37" s="262"/>
      <c r="J37" s="263"/>
      <c r="K37" s="260"/>
      <c r="L37" s="261"/>
      <c r="M37" s="262"/>
      <c r="O37" s="369"/>
      <c r="P37" s="15"/>
    </row>
    <row r="38" spans="2:16" s="202" customFormat="1" ht="21.9" customHeight="1" x14ac:dyDescent="0.25">
      <c r="B38" s="2169" t="s">
        <v>876</v>
      </c>
      <c r="C38" s="2169"/>
      <c r="D38" s="2169"/>
      <c r="E38" s="2169"/>
      <c r="F38" s="855"/>
      <c r="G38" s="864"/>
      <c r="H38" s="789" t="s">
        <v>215</v>
      </c>
      <c r="I38" s="29"/>
      <c r="J38" s="29"/>
      <c r="K38" s="29"/>
      <c r="L38" s="29"/>
      <c r="M38" s="29"/>
      <c r="O38" s="370"/>
      <c r="P38" s="21"/>
    </row>
    <row r="39" spans="2:16" s="377" customFormat="1" ht="3" customHeight="1" x14ac:dyDescent="0.25">
      <c r="B39" s="378"/>
      <c r="C39" s="378"/>
      <c r="D39" s="76"/>
      <c r="E39" s="379"/>
      <c r="F39" s="76"/>
      <c r="G39" s="380"/>
      <c r="H39" s="76"/>
      <c r="I39" s="76"/>
      <c r="J39" s="76"/>
      <c r="K39" s="76"/>
      <c r="L39" s="76"/>
      <c r="M39" s="76"/>
      <c r="O39" s="381"/>
      <c r="P39" s="35"/>
    </row>
    <row r="40" spans="2:16" ht="30" customHeight="1" x14ac:dyDescent="0.3">
      <c r="B40" s="2895" t="s">
        <v>6</v>
      </c>
      <c r="C40" s="2896"/>
      <c r="D40" s="1251" t="s">
        <v>815</v>
      </c>
      <c r="E40" s="1252" t="s">
        <v>505</v>
      </c>
      <c r="F40" s="15"/>
      <c r="G40" s="1253" t="s">
        <v>6</v>
      </c>
      <c r="H40" s="1251" t="s">
        <v>815</v>
      </c>
      <c r="I40" s="1252" t="s">
        <v>505</v>
      </c>
      <c r="J40" s="15"/>
      <c r="K40" s="1253" t="s">
        <v>6</v>
      </c>
      <c r="L40" s="1251" t="s">
        <v>815</v>
      </c>
      <c r="M40" s="1252" t="s">
        <v>505</v>
      </c>
      <c r="P40" s="14"/>
    </row>
    <row r="41" spans="2:16" s="202" customFormat="1" ht="24.9" customHeight="1" x14ac:dyDescent="0.25">
      <c r="B41" s="2899" t="s">
        <v>548</v>
      </c>
      <c r="C41" s="2258"/>
      <c r="D41" s="1257"/>
      <c r="E41" s="1249">
        <f>IF(ISERROR(IF(D41=0,0,D41*(durée_1*30)/('Compte de résulat prévisionnel'!G18+'Compte de résulat prévisionnel'!G19))),0,IF(D41=0,0,D41*(durée_1*30)/('Compte de résulat prévisionnel'!G18+'Compte de résulat prévisionnel'!G19)))</f>
        <v>0</v>
      </c>
      <c r="G41" s="1250" t="s">
        <v>548</v>
      </c>
      <c r="H41" s="1257"/>
      <c r="I41" s="1249">
        <f>IF(ISERROR(IF(H41=0,0,H41*(durée_2*30)/('Compte de résulat prévisionnel'!J18+'Compte de résulat prévisionnel'!J19))),0,IF(H41=0,0,H41*(durée_2*30)/('Compte de résulat prévisionnel'!J18+'Compte de résulat prévisionnel'!J19)))</f>
        <v>0</v>
      </c>
      <c r="J41" s="429"/>
      <c r="K41" s="1250" t="s">
        <v>548</v>
      </c>
      <c r="L41" s="1257"/>
      <c r="M41" s="1249">
        <f>IF(ISERROR(IF(L41=0,0,L41*(durée_3*30)/('Compte de résulat prévisionnel'!M18+'Compte de résulat prévisionnel'!M19))),0,IF(L41=0,0,L41*(durée_3*30)/('Compte de résulat prévisionnel'!M18+'Compte de résulat prévisionnel'!M19)))</f>
        <v>0</v>
      </c>
      <c r="O41" s="370"/>
      <c r="P41" s="21"/>
    </row>
    <row r="42" spans="2:16" s="265" customFormat="1" ht="27" customHeight="1" x14ac:dyDescent="0.3">
      <c r="B42" s="2942" t="s">
        <v>702</v>
      </c>
      <c r="C42" s="2943"/>
      <c r="D42" s="1258">
        <f>vs_mse1*-1</f>
        <v>0</v>
      </c>
      <c r="E42" s="1256" t="str">
        <f>IF(AND(D41=0,D42&gt;0),"Anomalie !",IF(AND(D42=0,D41&gt;0),"Anomalie !",""))</f>
        <v/>
      </c>
      <c r="G42" s="1245" t="s">
        <v>702</v>
      </c>
      <c r="H42" s="1258">
        <f>((vs_mse1+vs_mse2)*-1)</f>
        <v>0</v>
      </c>
      <c r="I42" s="1256" t="str">
        <f>IF(AND(H41=0,H42&gt;0),"Anomalie !",IF(AND(H42=0,H41&gt;0),"Anomalie !",""))</f>
        <v/>
      </c>
      <c r="J42" s="266"/>
      <c r="K42" s="1245" t="s">
        <v>702</v>
      </c>
      <c r="L42" s="1258">
        <f>((vs_mse1+vs_mse2+vs_mse3)*-1)</f>
        <v>0</v>
      </c>
      <c r="M42" s="1256" t="str">
        <f>IF(AND(L41=0,L42&gt;0),"Anomalie !",IF(AND(L42=0,L41&gt;0),"Anomalie !",""))</f>
        <v/>
      </c>
      <c r="N42" s="267"/>
      <c r="O42" s="366"/>
      <c r="P42" s="268"/>
    </row>
    <row r="43" spans="2:16" s="202" customFormat="1" ht="24.9" customHeight="1" x14ac:dyDescent="0.25">
      <c r="B43" s="2932" t="s">
        <v>549</v>
      </c>
      <c r="C43" s="2933"/>
      <c r="D43" s="1259"/>
      <c r="E43" s="1242" t="str">
        <f>IF(ISERROR(IF(D43=0," ",D43*(durée_1*30)/('Compte de résulat prévisionnel'!G20+'Compte de résulat prévisionnel'!G21)))," ",IF(D43=0," ",D43*(durée_1*30)/('Compte de résulat prévisionnel'!G20+'Compte de résulat prévisionnel'!G21)))</f>
        <v xml:space="preserve"> </v>
      </c>
      <c r="F43" s="429"/>
      <c r="G43" s="1246" t="s">
        <v>549</v>
      </c>
      <c r="H43" s="1259"/>
      <c r="I43" s="1242" t="str">
        <f>IF(ISERROR(IF(H43=0," ",H43*(durée_2*30)/('Compte de résulat prévisionnel'!J20+'Compte de résulat prévisionnel'!J21)))," ",IF(H43=0," ",H43*(durée_2*30)/('Compte de résulat prévisionnel'!J20+'Compte de résulat prévisionnel'!J21)))</f>
        <v xml:space="preserve"> </v>
      </c>
      <c r="J43" s="429"/>
      <c r="K43" s="1246" t="s">
        <v>549</v>
      </c>
      <c r="L43" s="1259"/>
      <c r="M43" s="1242" t="str">
        <f>IF(ISERROR(IF(L43=0," ",L43*(durée_3*30)/('Compte de résulat prévisionnel'!M20+'Compte de résulat prévisionnel'!M21)))," ",IF(L43=0," ",L43*(durée_3*30)/('Compte de résulat prévisionnel'!M20+'Compte de résulat prévisionnel'!M21)))</f>
        <v xml:space="preserve"> </v>
      </c>
      <c r="O43" s="370"/>
      <c r="P43" s="21"/>
    </row>
    <row r="44" spans="2:16" s="265" customFormat="1" ht="27" customHeight="1" x14ac:dyDescent="0.3">
      <c r="B44" s="2934" t="s">
        <v>702</v>
      </c>
      <c r="C44" s="2935"/>
      <c r="D44" s="1260">
        <f>vs_mat1*-1</f>
        <v>0</v>
      </c>
      <c r="E44" s="1256" t="str">
        <f>IF(AND(D43=0,D44&gt;0),"Anomalie !",IF(AND(D44=0,D43&gt;0),"Anomalie !",""))</f>
        <v/>
      </c>
      <c r="G44" s="1247" t="s">
        <v>702</v>
      </c>
      <c r="H44" s="1260">
        <f>(vs_mat1+vs_mat2)*-1</f>
        <v>0</v>
      </c>
      <c r="I44" s="1256" t="str">
        <f>IF(AND(H43=0,H44&gt;0),"Anomalie !",IF(AND(H44=0,H43&gt;0),"Anomalie !",""))</f>
        <v/>
      </c>
      <c r="J44" s="266"/>
      <c r="K44" s="1247" t="s">
        <v>702</v>
      </c>
      <c r="L44" s="1260">
        <f>((vs_mat1+vs_mat2+vs_mat3)*-1)</f>
        <v>0</v>
      </c>
      <c r="M44" s="1256" t="str">
        <f>IF(AND(L43=0,L44&gt;0),"Anomalie !",IF(AND(L44=0,L43&gt;0),"Anomalie !",""))</f>
        <v/>
      </c>
      <c r="N44" s="267"/>
      <c r="O44" s="366"/>
      <c r="P44" s="268"/>
    </row>
    <row r="45" spans="2:16" ht="24.9" customHeight="1" x14ac:dyDescent="0.3">
      <c r="B45" s="2936" t="s">
        <v>547</v>
      </c>
      <c r="C45" s="2937"/>
      <c r="D45" s="1261"/>
      <c r="E45" s="1243" t="str">
        <f>IF(ISERROR(IF(D45=0," ",D45*(durée_1*30)/(ca_1+ps_1+pi_1-re_1)))," ",IF(D45=0," ",D45*(durée_1*30)/(ca_1+ps_1+pi_1-re_1)))</f>
        <v xml:space="preserve"> </v>
      </c>
      <c r="F45" s="262"/>
      <c r="G45" s="1248" t="s">
        <v>547</v>
      </c>
      <c r="H45" s="1261"/>
      <c r="I45" s="1243" t="str">
        <f>IF(ISERROR(IF(H45=0," ",H45*(durée_2*30)/(ca_2+ps_2+pi_2-re_2)))," ",IF(H45=0," ",H45*(durée_2*30)/(ca_2+ps_2+pi_2-re_2)))</f>
        <v xml:space="preserve"> </v>
      </c>
      <c r="J45" s="262"/>
      <c r="K45" s="1248" t="s">
        <v>547</v>
      </c>
      <c r="L45" s="1261"/>
      <c r="M45" s="1243" t="str">
        <f>IF(ISERROR(IF(L45=0," ",L45*(durée_3*30)/(ca_3+ps_3+pi_3-re_3)))," ",IF(L45=0," ",L45*(durée_3*30)/(ca_3+ps_3+pi_3-re_3)))</f>
        <v xml:space="preserve"> </v>
      </c>
      <c r="P45" s="14"/>
    </row>
    <row r="46" spans="2:16" ht="24.9" customHeight="1" x14ac:dyDescent="0.3">
      <c r="B46" s="2938" t="s">
        <v>550</v>
      </c>
      <c r="C46" s="2939"/>
      <c r="D46" s="1259"/>
      <c r="E46" s="1244" t="str">
        <f>IF(ISERROR(IF(D46=0," ",D46*(durée_1*30)/(ca_1-re_1)))," ",IF(D46=0," ",D46*(durée_1*30)/(ca_1-re_1)))</f>
        <v xml:space="preserve"> </v>
      </c>
      <c r="F46" s="262"/>
      <c r="G46" s="1246" t="s">
        <v>550</v>
      </c>
      <c r="H46" s="1259"/>
      <c r="I46" s="1244" t="str">
        <f>IF(ISERROR(IF(H46=0," ",H46*(durée_2*30)/(ca_2-re_2)))," ",IF(H46=0," ",H46*(durée_2*30)/(ca_2-re_2)))</f>
        <v xml:space="preserve"> </v>
      </c>
      <c r="J46" s="262"/>
      <c r="K46" s="1246" t="s">
        <v>550</v>
      </c>
      <c r="L46" s="1259"/>
      <c r="M46" s="1242" t="str">
        <f>IF(ISERROR(IF(L46=0," ",L46*(durée_3*30)/(ca_3-re_3)))," ",IF(L46=0," ",L46*(durée_3*30)/(ca_3-re_3)))</f>
        <v xml:space="preserve"> </v>
      </c>
      <c r="P46" s="14"/>
    </row>
    <row r="47" spans="2:16" s="259" customFormat="1" ht="30" customHeight="1" x14ac:dyDescent="0.3">
      <c r="B47" s="2940" t="s">
        <v>1030</v>
      </c>
      <c r="C47" s="2941"/>
      <c r="D47" s="1263">
        <f>SUM(D45:D46)</f>
        <v>0</v>
      </c>
      <c r="E47" s="1264"/>
      <c r="F47" s="262"/>
      <c r="G47" s="1265" t="s">
        <v>1030</v>
      </c>
      <c r="H47" s="1263">
        <f>IF((H45+H46)=0,0,H45+H46)</f>
        <v>0</v>
      </c>
      <c r="I47" s="1264"/>
      <c r="J47" s="262"/>
      <c r="K47" s="1265" t="s">
        <v>1030</v>
      </c>
      <c r="L47" s="1263">
        <f>IF((L45+L46)=0,0,L45+L46)</f>
        <v>0</v>
      </c>
      <c r="M47" s="1264"/>
      <c r="O47" s="368"/>
      <c r="P47" s="255"/>
    </row>
    <row r="48" spans="2:16" s="271" customFormat="1" ht="27" customHeight="1" x14ac:dyDescent="0.3">
      <c r="B48" s="2903" t="s">
        <v>703</v>
      </c>
      <c r="C48" s="2904"/>
      <c r="D48" s="1262">
        <f>ps_1</f>
        <v>0</v>
      </c>
      <c r="E48" s="1254" t="str">
        <f>IF(AND(D47=0,D48&gt;0),"Anomalie !",IF(AND(D48=0,D47&gt;0),"Anomalie !",""))</f>
        <v/>
      </c>
      <c r="F48" s="269"/>
      <c r="G48" s="1255" t="s">
        <v>703</v>
      </c>
      <c r="H48" s="1262">
        <f>(ps_1+ps_2)</f>
        <v>0</v>
      </c>
      <c r="I48" s="1254" t="str">
        <f>IF(AND(H47=0,H48&gt;0),"Anomalie !",IF(AND(H48=0,H47&gt;0),"Anomalie !",""))</f>
        <v/>
      </c>
      <c r="J48" s="270"/>
      <c r="K48" s="1255" t="s">
        <v>702</v>
      </c>
      <c r="L48" s="1262">
        <f>(ps_1+ps_2+ps_3)</f>
        <v>0</v>
      </c>
      <c r="M48" s="1254" t="str">
        <f>IF(AND(L47=0,L48&gt;0),"Anomalie !",IF(AND(L48=0,L47&gt;0),"Anomalie !",""))</f>
        <v/>
      </c>
      <c r="O48" s="368"/>
      <c r="P48" s="270"/>
    </row>
    <row r="49" spans="2:16" ht="21.75" customHeight="1" x14ac:dyDescent="0.3">
      <c r="E49" s="282"/>
    </row>
    <row r="50" spans="2:16" s="29" customFormat="1" ht="21.9" customHeight="1" x14ac:dyDescent="0.25">
      <c r="B50" s="2169" t="s">
        <v>875</v>
      </c>
      <c r="C50" s="2169"/>
      <c r="D50" s="2169"/>
      <c r="E50" s="2169"/>
      <c r="F50" s="2169"/>
      <c r="G50" s="2169"/>
      <c r="H50" s="2169"/>
      <c r="I50" s="2169"/>
      <c r="J50" s="2169"/>
      <c r="K50" s="2169"/>
      <c r="O50" s="371"/>
      <c r="P50" s="21"/>
    </row>
    <row r="51" spans="2:16" s="14" customFormat="1" ht="15" customHeight="1" x14ac:dyDescent="0.3">
      <c r="B51" s="2897" t="s">
        <v>503</v>
      </c>
      <c r="C51" s="1205"/>
      <c r="D51" s="1206" t="s">
        <v>380</v>
      </c>
      <c r="E51" s="2622" t="s">
        <v>504</v>
      </c>
      <c r="G51" s="2857" t="s">
        <v>503</v>
      </c>
      <c r="H51" s="1194" t="s">
        <v>380</v>
      </c>
      <c r="I51" s="2855" t="s">
        <v>504</v>
      </c>
      <c r="K51" s="2857" t="s">
        <v>503</v>
      </c>
      <c r="L51" s="1194" t="s">
        <v>380</v>
      </c>
      <c r="M51" s="2855" t="s">
        <v>504</v>
      </c>
      <c r="O51" s="363"/>
    </row>
    <row r="52" spans="2:16" s="14" customFormat="1" ht="15" customHeight="1" x14ac:dyDescent="0.3">
      <c r="B52" s="2898"/>
      <c r="C52" s="1211"/>
      <c r="D52" s="1212" t="s">
        <v>389</v>
      </c>
      <c r="E52" s="2894"/>
      <c r="G52" s="2858"/>
      <c r="H52" s="1213" t="s">
        <v>389</v>
      </c>
      <c r="I52" s="2856"/>
      <c r="K52" s="2858"/>
      <c r="L52" s="1213" t="s">
        <v>389</v>
      </c>
      <c r="M52" s="2856"/>
      <c r="O52" s="363"/>
    </row>
    <row r="53" spans="2:16" s="54" customFormat="1" ht="20.100000000000001" customHeight="1" x14ac:dyDescent="0.25">
      <c r="B53" s="2862"/>
      <c r="C53" s="2797"/>
      <c r="D53" s="1210"/>
      <c r="E53" s="1214" t="str">
        <f>IF(ISBLANK(B53)," ",SUMIF($O$24:$O$29,"="&amp;B53,$P$24:$P$29)*D53)</f>
        <v xml:space="preserve"> </v>
      </c>
      <c r="G53" s="1195"/>
      <c r="H53" s="1210"/>
      <c r="I53" s="1214" t="str">
        <f>IF(ISBLANK(G53)," ",SUMIF($O$24:$O$29,"="&amp;G53,$P$24:$P$29)*H53)</f>
        <v xml:space="preserve"> </v>
      </c>
      <c r="K53" s="1195"/>
      <c r="L53" s="1210"/>
      <c r="M53" s="1214" t="str">
        <f>IF(ISBLANK(K53)," ",SUMIF($O$24:$O$29,"="&amp;K53,$P$24:$P$29)*L53)</f>
        <v xml:space="preserve"> </v>
      </c>
      <c r="O53" s="372"/>
    </row>
    <row r="54" spans="2:16" s="54" customFormat="1" ht="20.100000000000001" customHeight="1" x14ac:dyDescent="0.25">
      <c r="B54" s="2865"/>
      <c r="C54" s="2866"/>
      <c r="D54" s="1208"/>
      <c r="E54" s="1215" t="str">
        <f>IF(ISBLANK(B54)," ",SUMIF($O$24:$O$29,"="&amp;B54,$P$24:$P$29)*D54)</f>
        <v xml:space="preserve"> </v>
      </c>
      <c r="G54" s="1196"/>
      <c r="H54" s="1208"/>
      <c r="I54" s="1215" t="str">
        <f>IF(ISBLANK(G54)," ",SUMIF($O$24:$O$29,"="&amp;G54,$P$24:$P$29)*H54)</f>
        <v xml:space="preserve"> </v>
      </c>
      <c r="K54" s="1196"/>
      <c r="L54" s="1208"/>
      <c r="M54" s="1215" t="str">
        <f>IF(ISBLANK(K54)," ",SUMIF($O$24:$O$29,"="&amp;K54,$P$24:$P$29)*L54)</f>
        <v xml:space="preserve"> </v>
      </c>
      <c r="O54" s="372"/>
    </row>
    <row r="55" spans="2:16" s="54" customFormat="1" ht="20.100000000000001" customHeight="1" x14ac:dyDescent="0.25">
      <c r="B55" s="2865"/>
      <c r="C55" s="2866"/>
      <c r="D55" s="1208"/>
      <c r="E55" s="1215" t="str">
        <f>IF(ISBLANK(B55)," ",SUMIF($O$24:$O$29,"="&amp;B55,$P$24:$P$29)*D55)</f>
        <v xml:space="preserve"> </v>
      </c>
      <c r="G55" s="1196"/>
      <c r="H55" s="1208"/>
      <c r="I55" s="1215" t="str">
        <f>IF(ISBLANK(G55)," ",SUMIF($O$24:$O$29,"="&amp;G55,$P$24:$P$29)*H55)</f>
        <v xml:space="preserve"> </v>
      </c>
      <c r="K55" s="1196"/>
      <c r="L55" s="1208"/>
      <c r="M55" s="1215" t="str">
        <f>IF(ISBLANK(K55)," ",SUMIF($O$24:$O$29,"="&amp;K55,$P$24:$P$29)*L55)</f>
        <v xml:space="preserve"> </v>
      </c>
      <c r="O55" s="372"/>
    </row>
    <row r="56" spans="2:16" s="54" customFormat="1" ht="20.100000000000001" customHeight="1" x14ac:dyDescent="0.25">
      <c r="B56" s="2867"/>
      <c r="C56" s="2814"/>
      <c r="D56" s="1209"/>
      <c r="E56" s="1216" t="str">
        <f>IF(ISBLANK(B56)," ",B56*D56)</f>
        <v xml:space="preserve"> </v>
      </c>
      <c r="G56" s="1207"/>
      <c r="H56" s="1210"/>
      <c r="I56" s="1216" t="str">
        <f>IF(ISBLANK(G56)," ",G56*H56)</f>
        <v xml:space="preserve"> </v>
      </c>
      <c r="K56" s="1207"/>
      <c r="L56" s="1210"/>
      <c r="M56" s="1216" t="str">
        <f>IF(ISBLANK(K56)," ",K56*L56)</f>
        <v xml:space="preserve"> </v>
      </c>
      <c r="O56" s="372"/>
    </row>
    <row r="57" spans="2:16" s="21" customFormat="1" ht="30" customHeight="1" x14ac:dyDescent="0.25">
      <c r="B57" s="2863" t="s">
        <v>506</v>
      </c>
      <c r="C57" s="2864"/>
      <c r="D57" s="1201">
        <f>SUM(D53:D56)</f>
        <v>0</v>
      </c>
      <c r="E57" s="1202">
        <f>SUM(E51:E56)</f>
        <v>0</v>
      </c>
      <c r="G57" s="1200" t="s">
        <v>506</v>
      </c>
      <c r="H57" s="1201">
        <f>SUM(H53:H56)</f>
        <v>0</v>
      </c>
      <c r="I57" s="1202">
        <f>SUM(I51:I56)</f>
        <v>0</v>
      </c>
      <c r="J57" s="54"/>
      <c r="K57" s="1200" t="s">
        <v>506</v>
      </c>
      <c r="L57" s="1201">
        <f>SUM(L53:L56)</f>
        <v>0</v>
      </c>
      <c r="M57" s="1202">
        <f>SUM(M51:M56)</f>
        <v>0</v>
      </c>
      <c r="O57" s="367"/>
    </row>
    <row r="58" spans="2:16" ht="3" customHeight="1" x14ac:dyDescent="0.3"/>
    <row r="59" spans="2:16" s="21" customFormat="1" ht="20.100000000000001" customHeight="1" x14ac:dyDescent="0.25">
      <c r="B59" s="2859" t="str">
        <f>IF(D57=0," ",IF(D57&lt;100%," Attention : % fournisseurs inférieur à 100%",IF(D57&gt;100%,"Attention : % fournisseurs supérieur à 100%"," ")))</f>
        <v xml:space="preserve"> </v>
      </c>
      <c r="C59" s="2859"/>
      <c r="D59" s="2859"/>
      <c r="E59" s="2859"/>
      <c r="G59" s="2859" t="str">
        <f>IF(H57=0," ",IF(H57&lt;100%," Attention : % fournisseurs inférieur à 100%",IF(H57&gt;100%,"Attention : % fournisseurs supérieur à 100%"," ")))</f>
        <v xml:space="preserve"> </v>
      </c>
      <c r="H59" s="2859"/>
      <c r="I59" s="2859"/>
      <c r="K59" s="2859" t="str">
        <f>IF(L57=0," ",IF(L57&lt;100%," Attention : % fournisseurs inférieur à 100%",IF(L57&gt;100%,"Attention : % fournisseurs supérieur à 100%"," ")))</f>
        <v xml:space="preserve"> </v>
      </c>
      <c r="L59" s="2859"/>
      <c r="M59" s="2859"/>
      <c r="O59" s="367"/>
    </row>
    <row r="60" spans="2:16" ht="3" customHeight="1" x14ac:dyDescent="0.3"/>
    <row r="61" spans="2:16" s="259" customFormat="1" ht="20.100000000000001" customHeight="1" x14ac:dyDescent="0.3">
      <c r="B61" s="2853" t="s">
        <v>303</v>
      </c>
      <c r="C61" s="2853"/>
      <c r="D61" s="2854"/>
      <c r="E61" s="195"/>
      <c r="F61" s="258"/>
      <c r="G61" s="2853" t="s">
        <v>303</v>
      </c>
      <c r="H61" s="2854"/>
      <c r="I61" s="719" t="str">
        <f>IF(ISBLANK(E61)," ",E61)</f>
        <v xml:space="preserve"> </v>
      </c>
      <c r="J61" s="258"/>
      <c r="K61" s="2853" t="s">
        <v>303</v>
      </c>
      <c r="L61" s="2854"/>
      <c r="M61" s="719" t="str">
        <f>IF(ISBLANK(E61)," ",E61)</f>
        <v xml:space="preserve"> </v>
      </c>
      <c r="O61" s="368"/>
      <c r="P61" s="255"/>
    </row>
    <row r="62" spans="2:16" s="264" customFormat="1" ht="3" customHeight="1" x14ac:dyDescent="0.3">
      <c r="B62" s="260"/>
      <c r="C62" s="260"/>
      <c r="D62" s="261"/>
      <c r="E62" s="262"/>
      <c r="F62" s="263"/>
      <c r="G62" s="261"/>
      <c r="H62" s="261"/>
      <c r="I62" s="262"/>
      <c r="J62" s="263"/>
      <c r="K62" s="260"/>
      <c r="L62" s="261"/>
      <c r="M62" s="262"/>
      <c r="O62" s="369"/>
      <c r="P62" s="15"/>
    </row>
    <row r="63" spans="2:16" s="264" customFormat="1" ht="20.100000000000001" customHeight="1" x14ac:dyDescent="0.3">
      <c r="B63" s="2876" t="str">
        <f>IF(OR(ISBLANK(E61),E57=0)," ",IF(E57&gt;E61," Délai de paiement meilleur que celui du secteur. Justifié ?",IF(E57&lt;E61,"Délai de paiement plus court que celui du secteur. Justifié ?"," ")))</f>
        <v xml:space="preserve"> </v>
      </c>
      <c r="C63" s="2877"/>
      <c r="D63" s="2877"/>
      <c r="E63" s="2877"/>
      <c r="F63" s="263"/>
      <c r="G63" s="2860" t="str">
        <f>IF(OR(ISBLANK(E61),I57=0)," ",IF(I57&gt;I61," Délai de paiement meilleur que celui du secteur. Justifié ?",IF(I57&lt;I61,"Délai de paiement plus court que celui du secteur. Justifié ?"," ")))</f>
        <v xml:space="preserve"> </v>
      </c>
      <c r="H63" s="2860"/>
      <c r="I63" s="2860"/>
      <c r="J63" s="263"/>
      <c r="K63" s="2860" t="str">
        <f>IF(OR(ISBLANK(E61),M57=0)," ",IF(M57&gt;M61," Délai de paiement meilleur que celui du secteur. Justifié ?",IF(M57&lt;M61,"Délai de paiement plus court que celui du secteur. Justifié ?"," ")))</f>
        <v xml:space="preserve"> </v>
      </c>
      <c r="L63" s="2860"/>
      <c r="M63" s="2860"/>
      <c r="O63" s="369"/>
      <c r="P63" s="15"/>
    </row>
    <row r="64" spans="2:16" ht="20.100000000000001" customHeight="1" x14ac:dyDescent="0.3">
      <c r="B64" s="272"/>
      <c r="C64" s="272"/>
      <c r="D64" s="273"/>
      <c r="E64" s="257"/>
      <c r="G64" s="272"/>
      <c r="H64" s="273"/>
      <c r="I64" s="257"/>
      <c r="K64" s="272"/>
      <c r="L64" s="273"/>
      <c r="M64" s="257"/>
      <c r="P64" s="14"/>
    </row>
    <row r="65" spans="1:17" s="14" customFormat="1" ht="24.9" customHeight="1" x14ac:dyDescent="0.3">
      <c r="B65" s="2148" t="s">
        <v>878</v>
      </c>
      <c r="C65" s="2149"/>
      <c r="D65" s="2149"/>
      <c r="E65" s="2149"/>
      <c r="F65" s="2149"/>
      <c r="G65" s="2149"/>
      <c r="H65" s="2149"/>
      <c r="I65" s="2149"/>
      <c r="J65" s="2149"/>
      <c r="K65" s="2149"/>
      <c r="L65" s="2149"/>
      <c r="M65" s="2150"/>
      <c r="O65" s="363"/>
    </row>
    <row r="66" spans="1:17" s="14" customFormat="1" ht="24.9" customHeight="1" x14ac:dyDescent="0.3">
      <c r="B66" s="2861" t="s">
        <v>107</v>
      </c>
      <c r="C66" s="2861"/>
      <c r="D66" s="2861"/>
      <c r="E66" s="2861"/>
      <c r="F66" s="2861"/>
      <c r="G66" s="2861"/>
      <c r="H66" s="2861"/>
      <c r="I66" s="2861"/>
      <c r="J66" s="2861"/>
      <c r="K66" s="2861"/>
      <c r="L66" s="2861"/>
      <c r="M66" s="2861"/>
      <c r="O66" s="363"/>
    </row>
    <row r="67" spans="1:17" s="14" customFormat="1" ht="21.9" customHeight="1" x14ac:dyDescent="0.3">
      <c r="B67" s="2832" t="s">
        <v>879</v>
      </c>
      <c r="C67" s="2833"/>
      <c r="D67" s="2833"/>
      <c r="E67" s="2834"/>
      <c r="G67" s="2832" t="s">
        <v>880</v>
      </c>
      <c r="H67" s="2833"/>
      <c r="I67" s="2834"/>
      <c r="K67" s="2832" t="s">
        <v>881</v>
      </c>
      <c r="L67" s="2833"/>
      <c r="M67" s="2834"/>
      <c r="O67" s="363"/>
    </row>
    <row r="68" spans="1:17" s="396" customFormat="1" ht="30" customHeight="1" x14ac:dyDescent="0.3">
      <c r="B68" s="2874" t="s">
        <v>7</v>
      </c>
      <c r="C68" s="2875"/>
      <c r="D68" s="1217" t="s">
        <v>617</v>
      </c>
      <c r="E68" s="1218" t="s">
        <v>85</v>
      </c>
      <c r="G68" s="1225" t="s">
        <v>7</v>
      </c>
      <c r="H68" s="1226" t="s">
        <v>617</v>
      </c>
      <c r="I68" s="1227" t="s">
        <v>85</v>
      </c>
      <c r="K68" s="1225" t="s">
        <v>7</v>
      </c>
      <c r="L68" s="1226" t="s">
        <v>617</v>
      </c>
      <c r="M68" s="1227" t="s">
        <v>85</v>
      </c>
      <c r="O68" s="803"/>
    </row>
    <row r="69" spans="1:17" s="14" customFormat="1" ht="24.9" customHeight="1" x14ac:dyDescent="0.3">
      <c r="B69" s="2843" t="s">
        <v>8</v>
      </c>
      <c r="C69" s="2844"/>
      <c r="D69" s="1233">
        <f>IF(E30=0,0,(E30*(1+tv)*quotité_tv)+E30*(100%-quotité_tv))</f>
        <v>0</v>
      </c>
      <c r="E69" s="1219" t="str">
        <f t="shared" ref="E69:E73" si="0">IF(ISERROR(ca_1*D69/(durée_1*30))," ",ca_1*D69/(durée_1*30))</f>
        <v xml:space="preserve"> </v>
      </c>
      <c r="F69" s="274"/>
      <c r="G69" s="1228" t="s">
        <v>8</v>
      </c>
      <c r="H69" s="1233">
        <f>IF(I30=0,0,(I30*(1+tv)*E10)+I30*(100%-E10))</f>
        <v>0</v>
      </c>
      <c r="I69" s="1219" t="str">
        <f t="shared" ref="I69:I73" si="1">IF(ISERROR(ca_2*H69/(durée_2*30))," ",ca_2*H69/(durée_2*30))</f>
        <v xml:space="preserve"> </v>
      </c>
      <c r="J69" s="274"/>
      <c r="K69" s="1228" t="s">
        <v>8</v>
      </c>
      <c r="L69" s="1233">
        <f>IF(M30=0,0,(M30*(1+tv)*E10)+M30*(100%-E10))</f>
        <v>0</v>
      </c>
      <c r="M69" s="1219" t="str">
        <f t="shared" ref="M69:M74" si="2">IF(ISERROR(ca_3*L69/(durée_3*30))," ",ca_3*L69/(durée_3*30))</f>
        <v xml:space="preserve"> </v>
      </c>
      <c r="O69" s="363"/>
    </row>
    <row r="70" spans="1:17" s="14" customFormat="1" ht="24.9" customHeight="1" x14ac:dyDescent="0.3">
      <c r="B70" s="2845" t="s">
        <v>697</v>
      </c>
      <c r="C70" s="2846"/>
      <c r="D70" s="1234">
        <f>IF(D41=0,0,IF(ca_1=0,0,D41*(durée_1*30)/ca_1))</f>
        <v>0</v>
      </c>
      <c r="E70" s="1220" t="str">
        <f t="shared" si="0"/>
        <v xml:space="preserve"> </v>
      </c>
      <c r="F70" s="274"/>
      <c r="G70" s="1229" t="s">
        <v>697</v>
      </c>
      <c r="H70" s="1234">
        <f>IF(H41=0,0,IF(ca_2=0,0,H41*(durée_2*30)/ca_2))</f>
        <v>0</v>
      </c>
      <c r="I70" s="1220" t="str">
        <f t="shared" si="1"/>
        <v xml:space="preserve"> </v>
      </c>
      <c r="J70" s="274"/>
      <c r="K70" s="1229" t="s">
        <v>697</v>
      </c>
      <c r="L70" s="1234">
        <f>IF(L41=0,0,IF(ca_3=0,0,L41*(durée_3*30)/ca_3))</f>
        <v>0</v>
      </c>
      <c r="M70" s="1220" t="str">
        <f t="shared" si="2"/>
        <v xml:space="preserve"> </v>
      </c>
      <c r="N70" s="148"/>
      <c r="O70" s="363"/>
    </row>
    <row r="71" spans="1:17" s="14" customFormat="1" ht="24.9" customHeight="1" x14ac:dyDescent="0.3">
      <c r="B71" s="2845" t="s">
        <v>698</v>
      </c>
      <c r="C71" s="2846"/>
      <c r="D71" s="1234">
        <f>IF(D43=0,0,IF(ca_1=0,0,D43*(durée_1*30)/ca_1))</f>
        <v>0</v>
      </c>
      <c r="E71" s="1220" t="str">
        <f t="shared" si="0"/>
        <v xml:space="preserve"> </v>
      </c>
      <c r="F71" s="274"/>
      <c r="G71" s="1229" t="s">
        <v>698</v>
      </c>
      <c r="H71" s="1234">
        <f>IF(H43=0,0,IF(ca_2=0,0,H43*(durée_2*30)/ca_2))</f>
        <v>0</v>
      </c>
      <c r="I71" s="1220" t="str">
        <f t="shared" si="1"/>
        <v xml:space="preserve"> </v>
      </c>
      <c r="J71" s="274"/>
      <c r="K71" s="1229" t="s">
        <v>698</v>
      </c>
      <c r="L71" s="1234">
        <f>IF(L43=0,0,IF(ca_3=0,0,L43*(durée_3*30)/ca_3))</f>
        <v>0</v>
      </c>
      <c r="M71" s="1220" t="str">
        <f t="shared" si="2"/>
        <v xml:space="preserve"> </v>
      </c>
      <c r="O71" s="363"/>
    </row>
    <row r="72" spans="1:17" s="14" customFormat="1" ht="24.9" customHeight="1" x14ac:dyDescent="0.3">
      <c r="B72" s="2845" t="s">
        <v>699</v>
      </c>
      <c r="C72" s="2846"/>
      <c r="D72" s="1234">
        <f>IF(D45=0,0,IF(ca_1=0,0,D45*(durée_1*30)/ca_1))</f>
        <v>0</v>
      </c>
      <c r="E72" s="1220" t="str">
        <f t="shared" si="0"/>
        <v xml:space="preserve"> </v>
      </c>
      <c r="F72" s="274"/>
      <c r="G72" s="1229" t="s">
        <v>699</v>
      </c>
      <c r="H72" s="1234">
        <f>IF(H45=0,0,IF(ca_2=0,0,H45*(durée_2*30)/ca_2))</f>
        <v>0</v>
      </c>
      <c r="I72" s="1220" t="str">
        <f t="shared" si="1"/>
        <v xml:space="preserve"> </v>
      </c>
      <c r="J72" s="274"/>
      <c r="K72" s="1229" t="s">
        <v>699</v>
      </c>
      <c r="L72" s="1234">
        <f>IF(L45=0,0,IF(ca_3=0,0,L45*(durée_3*30)/ca_3))</f>
        <v>0</v>
      </c>
      <c r="M72" s="1220" t="str">
        <f t="shared" si="2"/>
        <v xml:space="preserve"> </v>
      </c>
      <c r="O72" s="363"/>
    </row>
    <row r="73" spans="1:17" s="14" customFormat="1" ht="24.9" customHeight="1" x14ac:dyDescent="0.3">
      <c r="B73" s="2845" t="s">
        <v>700</v>
      </c>
      <c r="C73" s="2846"/>
      <c r="D73" s="1234">
        <f>IF(D46=0,0,IF(ca_1=0,0,D46*(durée_1*30)/ca_1))</f>
        <v>0</v>
      </c>
      <c r="E73" s="1220" t="str">
        <f t="shared" si="0"/>
        <v xml:space="preserve"> </v>
      </c>
      <c r="F73" s="274"/>
      <c r="G73" s="1229" t="s">
        <v>700</v>
      </c>
      <c r="H73" s="1234">
        <f>IF(H46=0,0,IF(ca_2=0,0,H46*(durée_2*30)/ca_2))</f>
        <v>0</v>
      </c>
      <c r="I73" s="1220" t="str">
        <f t="shared" si="1"/>
        <v xml:space="preserve"> </v>
      </c>
      <c r="J73" s="274"/>
      <c r="K73" s="1229" t="s">
        <v>700</v>
      </c>
      <c r="L73" s="1234">
        <f>IF(L46=0,0,IF(ca_3=0,0,L46*(durée_3*30)/ca_3))</f>
        <v>0</v>
      </c>
      <c r="M73" s="1220" t="str">
        <f t="shared" si="2"/>
        <v xml:space="preserve"> </v>
      </c>
      <c r="O73" s="363"/>
    </row>
    <row r="74" spans="1:17" s="14" customFormat="1" ht="24.9" customHeight="1" x14ac:dyDescent="0.3">
      <c r="B74" s="2847" t="s">
        <v>701</v>
      </c>
      <c r="C74" s="2848"/>
      <c r="D74" s="1235" t="str">
        <f>IF(ISERROR(((E57*(tx_achats_1*(1+ta)*quotité_ta))+(E57*(tx_achats_1*(100%-quotité_ta))))*-1)," ",((E57*(tx_achats_1*(1+ta)*quotité_ta))+(E57*(tx_achats_1*(100%-quotité_ta))))*-1)</f>
        <v xml:space="preserve"> </v>
      </c>
      <c r="E74" s="1236">
        <f>IF(ISERROR(ca_1*D74/(durée_1*30)),0,ca_1*D74/(durée_1*30))</f>
        <v>0</v>
      </c>
      <c r="F74" s="801"/>
      <c r="G74" s="1237" t="s">
        <v>701</v>
      </c>
      <c r="H74" s="1235" t="str">
        <f>IF(ISERROR(((I57*(tx_achats_2*(1+ta)*quotité_ta))+(I57*(tx_achats_2*(100%-quotité_ta))))*-1)," ",((I57*(tx_achats_2*(1+ta)*quotité_ta))+(I57*(tx_achats_2*(100%-quotité_ta))))*-1)</f>
        <v xml:space="preserve"> </v>
      </c>
      <c r="I74" s="1236">
        <f>IF(ISERROR(ca_2*H74/(durée_2*30)),0,ca_2*H74/(durée_2*30))</f>
        <v>0</v>
      </c>
      <c r="J74" s="603"/>
      <c r="K74" s="1237" t="s">
        <v>701</v>
      </c>
      <c r="L74" s="1235">
        <f>IF(ISERROR(((M57*(tx_achats_3*(1+ta)*quotité_ta))+(M57*(tx_achats_3*(100%-quotité_ta))))*-1),0,((M57*(tx_achats_3*(1+ta)*quotité_ta))+(M57*(tx_achats_3*(100%-quotité_ta))))*-1)</f>
        <v>0</v>
      </c>
      <c r="M74" s="1236" t="str">
        <f t="shared" si="2"/>
        <v xml:space="preserve"> </v>
      </c>
      <c r="O74" s="363"/>
    </row>
    <row r="75" spans="1:17" s="202" customFormat="1" ht="21.9" customHeight="1" x14ac:dyDescent="0.3">
      <c r="A75" s="21"/>
      <c r="B75" s="2868" t="str">
        <f>IF(D75=0," ",IF(D75&gt;0,"Besoin en Fonds 
de Roulement (BFR)"," "))</f>
        <v xml:space="preserve"> </v>
      </c>
      <c r="C75" s="2869"/>
      <c r="D75" s="1238">
        <f>IF(SUM(D69:D74)&lt;=0,0,SUM(D69:D74))</f>
        <v>0</v>
      </c>
      <c r="E75" s="1239">
        <f>IF(SUM(E69:E74)&lt;=0,0,SUM(E69:E74))</f>
        <v>0</v>
      </c>
      <c r="F75" s="275"/>
      <c r="G75" s="2850" t="str">
        <f>IF(H75=0," ",IF(H75&gt;0,"Besoin en Fonds 
de Roulement (BFR)"," "))</f>
        <v xml:space="preserve"> </v>
      </c>
      <c r="H75" s="1238">
        <f>IF(SUM(H69:H74)&lt;=0,0,SUM(H69:H74))</f>
        <v>0</v>
      </c>
      <c r="I75" s="1239">
        <f>IF(SUM(I69:I74)&lt;=0,0,SUM(I69:I74))</f>
        <v>0</v>
      </c>
      <c r="J75" s="275"/>
      <c r="K75" s="2850" t="str">
        <f>IF(L75=0," ",IF(L75&gt;0,"Besoin en Fonds 
de Roulement (BFR)"," "))</f>
        <v xml:space="preserve"> </v>
      </c>
      <c r="L75" s="1238">
        <f>IF(SUM(L69:L74)&lt;=0,0,SUM(L69:L74))</f>
        <v>0</v>
      </c>
      <c r="M75" s="1239">
        <f>IF(SUM(M69:M74)&lt;=0,0,SUM(M69:M74))</f>
        <v>0</v>
      </c>
      <c r="N75" s="14"/>
      <c r="O75" s="363"/>
      <c r="P75" s="14"/>
    </row>
    <row r="76" spans="1:17" s="202" customFormat="1" ht="20.100000000000001" customHeight="1" x14ac:dyDescent="0.3">
      <c r="A76" s="21"/>
      <c r="B76" s="2870"/>
      <c r="C76" s="2871"/>
      <c r="D76" s="2837" t="str">
        <f>IF(durée_1=0," ",IF(E75=" "," ",IF(E75=0," ",E75/ca_1)))</f>
        <v xml:space="preserve"> </v>
      </c>
      <c r="E76" s="2838"/>
      <c r="F76" s="275"/>
      <c r="G76" s="2851"/>
      <c r="H76" s="2837" t="str">
        <f>IF(durée_2=0," ",IF(I75=" "," ",IF(I75=0," ",I75/ca_2)))</f>
        <v xml:space="preserve"> </v>
      </c>
      <c r="I76" s="2838"/>
      <c r="J76" s="275"/>
      <c r="K76" s="2851"/>
      <c r="L76" s="2837" t="str">
        <f>IF(durée_3=0," ",IF(M75=" "," ",IF(M75=0," ",M75/ca_3)))</f>
        <v xml:space="preserve"> </v>
      </c>
      <c r="M76" s="2838"/>
      <c r="O76" s="370"/>
      <c r="P76" s="14"/>
    </row>
    <row r="77" spans="1:17" s="202" customFormat="1" ht="20.100000000000001" customHeight="1" x14ac:dyDescent="0.3">
      <c r="A77" s="21"/>
      <c r="B77" s="2872"/>
      <c r="C77" s="2873"/>
      <c r="D77" s="1240"/>
      <c r="E77" s="1221"/>
      <c r="F77" s="275"/>
      <c r="G77" s="2852"/>
      <c r="H77" s="1241" t="s">
        <v>350</v>
      </c>
      <c r="I77" s="1230" t="str">
        <f>IF(ISERROR((BFR_2/BFR_1)-1)," ",(BFR_2/BFR_1)-1)</f>
        <v xml:space="preserve"> </v>
      </c>
      <c r="J77" s="275"/>
      <c r="K77" s="2852"/>
      <c r="L77" s="1241" t="s">
        <v>350</v>
      </c>
      <c r="M77" s="1230" t="str">
        <f>IF(ISERROR((BFR_3/BFR_2)-1)," ",(BFR_3/BFR_2)-1)</f>
        <v xml:space="preserve"> </v>
      </c>
      <c r="O77" s="370"/>
      <c r="P77" s="14"/>
      <c r="Q77" s="277"/>
    </row>
    <row r="78" spans="1:17" s="278" customFormat="1" ht="21.9" customHeight="1" x14ac:dyDescent="0.3">
      <c r="B78" s="2835" t="s">
        <v>106</v>
      </c>
      <c r="C78" s="2849"/>
      <c r="D78" s="2836"/>
      <c r="E78" s="1222" t="str">
        <f>IF(ISERROR(MAX(ca_1*JBFR_1/(durée_1*30),JBFR_1/30*MAX('Chiffre d''affaires'!C24:P24,'Chiffre d''affaires'!C32:O32)))," ",MAX(ca_1*JBFR_1/(durée_1*30),JBFR_1/30*MAX('Chiffre d''affaires'!C24:P24,'Chiffre d''affaires'!C32:O32)))</f>
        <v xml:space="preserve"> </v>
      </c>
      <c r="F78" s="279"/>
      <c r="G78" s="2835" t="s">
        <v>106</v>
      </c>
      <c r="H78" s="2836"/>
      <c r="I78" s="1222" t="str">
        <f>IF(ISERROR(MAX(ca_2*JBFR_2/(durée_2*30),JBFR_2/30*MAX('Chiffre d''affaires'!C41:P41)))," ",MAX(ca_2*JBFR_2/(durée_2*30),JBFR_2/30*MAX('Chiffre d''affaires'!C41:P41)))</f>
        <v xml:space="preserve"> </v>
      </c>
      <c r="J78" s="279"/>
      <c r="K78" s="2835" t="s">
        <v>106</v>
      </c>
      <c r="L78" s="2836"/>
      <c r="M78" s="1222" t="str">
        <f>IF(ISERROR(MAX(ca_3*JBFR_3/(durée_3*30),JBFR_3/30*MAX('Chiffre d''affaires'!C50:P50)))," ",MAX(ca_3*JBFR_3/(durée_3*30),JBFR_3/30*MAX('Chiffre d''affaires'!C50:P50)))</f>
        <v xml:space="preserve"> </v>
      </c>
      <c r="O78" s="373"/>
      <c r="P78" s="14"/>
      <c r="Q78" s="280"/>
    </row>
    <row r="79" spans="1:17" s="202" customFormat="1" ht="21.9" customHeight="1" x14ac:dyDescent="0.25">
      <c r="A79" s="21"/>
      <c r="B79" s="2839" t="str">
        <f>IF(D79=0," ",IF(D79&lt;0,"Dégagement de fonds 
de roulement (DFR)"," "))</f>
        <v xml:space="preserve"> </v>
      </c>
      <c r="C79" s="2840"/>
      <c r="D79" s="1223">
        <f>IF(SUM(D69:D74)&gt;=0,0,SUM(D69:D74))</f>
        <v>0</v>
      </c>
      <c r="E79" s="1224">
        <f>IF(SUM(E69:E74)&gt;=0,0,SUM(E69:E74))</f>
        <v>0</v>
      </c>
      <c r="F79" s="275"/>
      <c r="G79" s="2830" t="str">
        <f>IF(H79=0," ",IF(H79&lt;0,"Dégagement de fonds 
de roulement (DFR)"," "))</f>
        <v xml:space="preserve"> </v>
      </c>
      <c r="H79" s="1231">
        <f>IF(SUM(H69:H74)&gt;=0,0,SUM(H69:H74))</f>
        <v>0</v>
      </c>
      <c r="I79" s="1232">
        <f>IF(SUM(I69:I74)&gt;=0,0,SUM(I69:I74))</f>
        <v>0</v>
      </c>
      <c r="J79" s="275"/>
      <c r="K79" s="2830" t="str">
        <f>IF(L79=0," ",IF(L79&lt;0,"Dégagement de fonds 
de roulement (DFR)"," "))</f>
        <v xml:space="preserve"> </v>
      </c>
      <c r="L79" s="1231">
        <f>IF(SUM(L69:L74)&gt;=0,0,SUM(L69:L74))</f>
        <v>0</v>
      </c>
      <c r="M79" s="1232">
        <f>IF(SUM(M69:M74)&gt;=0,0,SUM(M69:M74))</f>
        <v>0</v>
      </c>
      <c r="O79" s="370"/>
      <c r="P79" s="276"/>
    </row>
    <row r="80" spans="1:17" s="202" customFormat="1" ht="20.100000000000001" customHeight="1" x14ac:dyDescent="0.25">
      <c r="A80" s="21"/>
      <c r="B80" s="2841"/>
      <c r="C80" s="2842"/>
      <c r="D80" s="2828" t="str">
        <f>IF(durée_1=0," ",IF(E79=" "," ",IF(E79=0," ",E79/ca_1)))</f>
        <v xml:space="preserve"> </v>
      </c>
      <c r="E80" s="2829"/>
      <c r="F80" s="275"/>
      <c r="G80" s="2831"/>
      <c r="H80" s="2828" t="str">
        <f>IF(durée_2=0," ",IF(I79=" "," ",IF(I79=0," ",I79/ca_2)))</f>
        <v xml:space="preserve"> </v>
      </c>
      <c r="I80" s="2829"/>
      <c r="J80" s="275"/>
      <c r="K80" s="2831"/>
      <c r="L80" s="2828" t="str">
        <f>IF(durée_3=0," ",IF(M79=" "," ",IF(M79=0," ",M79/ca_3)))</f>
        <v xml:space="preserve"> </v>
      </c>
      <c r="M80" s="2829"/>
      <c r="O80" s="370"/>
      <c r="P80" s="276"/>
    </row>
    <row r="81" spans="1:13" ht="9.9" customHeight="1" x14ac:dyDescent="0.3">
      <c r="A81" s="14"/>
      <c r="B81" s="14"/>
      <c r="C81" s="14"/>
      <c r="D81" s="14"/>
      <c r="E81" s="14"/>
      <c r="F81" s="14"/>
      <c r="G81" s="14"/>
      <c r="H81" s="14"/>
      <c r="I81" s="14"/>
      <c r="J81" s="14"/>
      <c r="K81" s="14"/>
      <c r="L81" s="14"/>
      <c r="M81" s="14"/>
    </row>
    <row r="82" spans="1:13" x14ac:dyDescent="0.3">
      <c r="E82" s="282"/>
    </row>
  </sheetData>
  <sheetProtection algorithmName="SHA-512" hashValue="Uf75veRWEQel5teDWGOSlBW+Vs7+Vab11dNtP947HNtswPl9j+mTMgiF+x3G+WqW+GPziTV0goqv6Xf4BgneLQ==" saltValue="uYvNQI8YiVtSgfm4qVw/ow==" spinCount="100000" sheet="1" objects="1" scenarios="1" formatCells="0" formatColumns="0" formatRows="0" insertColumns="0" insertRows="0" insertHyperlinks="0" deleteColumns="0" deleteRows="0" sort="0" autoFilter="0" pivotTables="0"/>
  <mergeCells count="102">
    <mergeCell ref="B43:C43"/>
    <mergeCell ref="B44:C44"/>
    <mergeCell ref="B45:C45"/>
    <mergeCell ref="B46:C46"/>
    <mergeCell ref="B47:C47"/>
    <mergeCell ref="B30:C30"/>
    <mergeCell ref="B42:C42"/>
    <mergeCell ref="B50:K50"/>
    <mergeCell ref="K34:L34"/>
    <mergeCell ref="B2:D2"/>
    <mergeCell ref="B32:E32"/>
    <mergeCell ref="G32:I32"/>
    <mergeCell ref="I3:L3"/>
    <mergeCell ref="G15:H15"/>
    <mergeCell ref="B4:I4"/>
    <mergeCell ref="B19:E19"/>
    <mergeCell ref="B29:C29"/>
    <mergeCell ref="B26:C26"/>
    <mergeCell ref="B27:C27"/>
    <mergeCell ref="B28:C28"/>
    <mergeCell ref="E2:M2"/>
    <mergeCell ref="G8:I8"/>
    <mergeCell ref="G19:I19"/>
    <mergeCell ref="B13:C13"/>
    <mergeCell ref="B14:C14"/>
    <mergeCell ref="K4:L4"/>
    <mergeCell ref="B24:C25"/>
    <mergeCell ref="K24:K25"/>
    <mergeCell ref="K19:M19"/>
    <mergeCell ref="I24:I25"/>
    <mergeCell ref="G24:G25"/>
    <mergeCell ref="E24:E25"/>
    <mergeCell ref="M24:M25"/>
    <mergeCell ref="B6:I6"/>
    <mergeCell ref="G9:H9"/>
    <mergeCell ref="B15:D15"/>
    <mergeCell ref="B17:E17"/>
    <mergeCell ref="B8:E8"/>
    <mergeCell ref="B9:D9"/>
    <mergeCell ref="B10:C10"/>
    <mergeCell ref="B11:C11"/>
    <mergeCell ref="E51:E52"/>
    <mergeCell ref="G17:I17"/>
    <mergeCell ref="B40:C40"/>
    <mergeCell ref="B51:B52"/>
    <mergeCell ref="B41:C41"/>
    <mergeCell ref="G36:I36"/>
    <mergeCell ref="B23:I23"/>
    <mergeCell ref="G34:H34"/>
    <mergeCell ref="B34:D34"/>
    <mergeCell ref="B38:E38"/>
    <mergeCell ref="B21:K21"/>
    <mergeCell ref="B36:E36"/>
    <mergeCell ref="K32:M32"/>
    <mergeCell ref="K36:M36"/>
    <mergeCell ref="B12:C12"/>
    <mergeCell ref="B48:C48"/>
    <mergeCell ref="K61:L61"/>
    <mergeCell ref="I51:I52"/>
    <mergeCell ref="G51:G52"/>
    <mergeCell ref="K51:K52"/>
    <mergeCell ref="G59:I59"/>
    <mergeCell ref="K59:M59"/>
    <mergeCell ref="M51:M52"/>
    <mergeCell ref="K67:M67"/>
    <mergeCell ref="L76:M76"/>
    <mergeCell ref="K75:K77"/>
    <mergeCell ref="K63:M63"/>
    <mergeCell ref="G63:I63"/>
    <mergeCell ref="G61:H61"/>
    <mergeCell ref="B66:M66"/>
    <mergeCell ref="B59:E59"/>
    <mergeCell ref="B53:C53"/>
    <mergeCell ref="B57:C57"/>
    <mergeCell ref="B54:C54"/>
    <mergeCell ref="B55:C55"/>
    <mergeCell ref="B56:C56"/>
    <mergeCell ref="B61:D61"/>
    <mergeCell ref="B75:C77"/>
    <mergeCell ref="B68:C68"/>
    <mergeCell ref="B63:E63"/>
    <mergeCell ref="D80:E80"/>
    <mergeCell ref="G79:G80"/>
    <mergeCell ref="B67:E67"/>
    <mergeCell ref="G67:I67"/>
    <mergeCell ref="B65:M65"/>
    <mergeCell ref="K79:K80"/>
    <mergeCell ref="H80:I80"/>
    <mergeCell ref="G78:H78"/>
    <mergeCell ref="K78:L78"/>
    <mergeCell ref="L80:M80"/>
    <mergeCell ref="D76:E76"/>
    <mergeCell ref="H76:I76"/>
    <mergeCell ref="B79:C80"/>
    <mergeCell ref="B69:C69"/>
    <mergeCell ref="B70:C70"/>
    <mergeCell ref="B71:C71"/>
    <mergeCell ref="B72:C72"/>
    <mergeCell ref="B73:C73"/>
    <mergeCell ref="B74:C74"/>
    <mergeCell ref="B78:D78"/>
    <mergeCell ref="G75:G77"/>
  </mergeCells>
  <phoneticPr fontId="0" type="noConversion"/>
  <conditionalFormatting sqref="D75:E75 L75:M75 H75:I75">
    <cfRule type="cellIs" dxfId="664" priority="75" stopIfTrue="1" operator="equal">
      <formula>0</formula>
    </cfRule>
  </conditionalFormatting>
  <conditionalFormatting sqref="K75 G75 B75">
    <cfRule type="expression" dxfId="663" priority="70" stopIfTrue="1">
      <formula>$D$75&lt;0</formula>
    </cfRule>
  </conditionalFormatting>
  <conditionalFormatting sqref="L79:M79 H79:I79 D79:E79">
    <cfRule type="cellIs" dxfId="662" priority="76" stopIfTrue="1" operator="equal">
      <formula>0</formula>
    </cfRule>
  </conditionalFormatting>
  <conditionalFormatting sqref="D42 L44 H42 L42 H44 D44 D48 H48 L48">
    <cfRule type="cellIs" dxfId="661" priority="82" stopIfTrue="1" operator="lessThan">
      <formula>0</formula>
    </cfRule>
  </conditionalFormatting>
  <conditionalFormatting sqref="D47 H47 L47">
    <cfRule type="cellIs" dxfId="660" priority="83" stopIfTrue="1" operator="equal">
      <formula>0</formula>
    </cfRule>
  </conditionalFormatting>
  <conditionalFormatting sqref="E78 I78 M78">
    <cfRule type="cellIs" dxfId="659" priority="84" stopIfTrue="1" operator="equal">
      <formula>0</formula>
    </cfRule>
  </conditionalFormatting>
  <conditionalFormatting sqref="L30:M30 D30:E30 H30:I30">
    <cfRule type="cellIs" dxfId="658" priority="64" stopIfTrue="1" operator="equal">
      <formula>0</formula>
    </cfRule>
  </conditionalFormatting>
  <conditionalFormatting sqref="D74 H74 L74">
    <cfRule type="cellIs" dxfId="657" priority="56" stopIfTrue="1" operator="equal">
      <formula>0</formula>
    </cfRule>
  </conditionalFormatting>
  <conditionalFormatting sqref="H69:H73 L69:L73 D70:D73">
    <cfRule type="cellIs" dxfId="656" priority="52" stopIfTrue="1" operator="equal">
      <formula>0</formula>
    </cfRule>
  </conditionalFormatting>
  <conditionalFormatting sqref="J11:J14 J17 B6">
    <cfRule type="cellIs" dxfId="655" priority="47" operator="equal">
      <formula>0</formula>
    </cfRule>
  </conditionalFormatting>
  <conditionalFormatting sqref="J18">
    <cfRule type="cellIs" dxfId="654" priority="46" operator="equal">
      <formula>0</formula>
    </cfRule>
  </conditionalFormatting>
  <conditionalFormatting sqref="E48">
    <cfRule type="cellIs" dxfId="653" priority="45" operator="equal">
      <formula>"Anomalie !"</formula>
    </cfRule>
  </conditionalFormatting>
  <conditionalFormatting sqref="I48">
    <cfRule type="cellIs" dxfId="652" priority="44" operator="equal">
      <formula>"Anomalie !"</formula>
    </cfRule>
  </conditionalFormatting>
  <conditionalFormatting sqref="M48">
    <cfRule type="cellIs" dxfId="651" priority="43" operator="equal">
      <formula>"Anomalie !"</formula>
    </cfRule>
  </conditionalFormatting>
  <conditionalFormatting sqref="E42">
    <cfRule type="cellIs" dxfId="650" priority="41" operator="equal">
      <formula>"Anomalie !"</formula>
    </cfRule>
  </conditionalFormatting>
  <conditionalFormatting sqref="I42">
    <cfRule type="cellIs" dxfId="649" priority="40" operator="equal">
      <formula>"Anomalie !"</formula>
    </cfRule>
  </conditionalFormatting>
  <conditionalFormatting sqref="M42">
    <cfRule type="cellIs" dxfId="648" priority="39" operator="equal">
      <formula>"Anomalie !"</formula>
    </cfRule>
  </conditionalFormatting>
  <conditionalFormatting sqref="E44">
    <cfRule type="cellIs" dxfId="647" priority="38" operator="equal">
      <formula>"Anomalie !"</formula>
    </cfRule>
  </conditionalFormatting>
  <conditionalFormatting sqref="I44">
    <cfRule type="cellIs" dxfId="646" priority="37" operator="equal">
      <formula>"Anomalie !"</formula>
    </cfRule>
  </conditionalFormatting>
  <conditionalFormatting sqref="M44">
    <cfRule type="cellIs" dxfId="645" priority="36" operator="equal">
      <formula>"Anomalie !"</formula>
    </cfRule>
  </conditionalFormatting>
  <conditionalFormatting sqref="D69">
    <cfRule type="cellIs" dxfId="644" priority="34" stopIfTrue="1" operator="equal">
      <formula>0</formula>
    </cfRule>
  </conditionalFormatting>
  <conditionalFormatting sqref="E41 I41 M41">
    <cfRule type="cellIs" dxfId="643" priority="33" operator="equal">
      <formula>0</formula>
    </cfRule>
  </conditionalFormatting>
  <conditionalFormatting sqref="G17:H17">
    <cfRule type="expression" dxfId="642" priority="30">
      <formula>I15&lt;100%</formula>
    </cfRule>
  </conditionalFormatting>
  <conditionalFormatting sqref="K32">
    <cfRule type="expression" dxfId="641" priority="25">
      <formula>L30&lt;&gt;100%</formula>
    </cfRule>
  </conditionalFormatting>
  <conditionalFormatting sqref="K32:M32">
    <cfRule type="expression" dxfId="640" priority="22">
      <formula>L30=0</formula>
    </cfRule>
  </conditionalFormatting>
  <conditionalFormatting sqref="G32">
    <cfRule type="expression" dxfId="639" priority="21">
      <formula>H30&lt;&gt;100%</formula>
    </cfRule>
  </conditionalFormatting>
  <conditionalFormatting sqref="G32:I32">
    <cfRule type="expression" dxfId="638" priority="20">
      <formula>H30=0</formula>
    </cfRule>
  </conditionalFormatting>
  <conditionalFormatting sqref="B32">
    <cfRule type="expression" dxfId="637" priority="17">
      <formula>D30&lt;&gt;100%</formula>
    </cfRule>
  </conditionalFormatting>
  <conditionalFormatting sqref="B32">
    <cfRule type="expression" dxfId="636" priority="16">
      <formula>D30=0</formula>
    </cfRule>
  </conditionalFormatting>
  <conditionalFormatting sqref="B59">
    <cfRule type="expression" dxfId="635" priority="15">
      <formula>D57&lt;&gt;100%</formula>
    </cfRule>
  </conditionalFormatting>
  <conditionalFormatting sqref="B59">
    <cfRule type="expression" dxfId="634" priority="14">
      <formula>D57=0</formula>
    </cfRule>
  </conditionalFormatting>
  <conditionalFormatting sqref="G59">
    <cfRule type="expression" dxfId="633" priority="13">
      <formula>H57&lt;&gt;100%</formula>
    </cfRule>
  </conditionalFormatting>
  <conditionalFormatting sqref="G59:I59">
    <cfRule type="expression" dxfId="632" priority="12">
      <formula>H57=0</formula>
    </cfRule>
  </conditionalFormatting>
  <conditionalFormatting sqref="K59">
    <cfRule type="expression" dxfId="631" priority="11">
      <formula>L57&lt;&gt;100%</formula>
    </cfRule>
  </conditionalFormatting>
  <conditionalFormatting sqref="K59:M59">
    <cfRule type="expression" dxfId="630" priority="10">
      <formula>L57=0</formula>
    </cfRule>
  </conditionalFormatting>
  <conditionalFormatting sqref="D57:E57">
    <cfRule type="cellIs" dxfId="629" priority="9" stopIfTrue="1" operator="equal">
      <formula>0</formula>
    </cfRule>
  </conditionalFormatting>
  <conditionalFormatting sqref="H57:I57">
    <cfRule type="cellIs" dxfId="628" priority="6" stopIfTrue="1" operator="equal">
      <formula>0</formula>
    </cfRule>
  </conditionalFormatting>
  <conditionalFormatting sqref="L57:M57">
    <cfRule type="cellIs" dxfId="627" priority="5" stopIfTrue="1" operator="equal">
      <formula>0</formula>
    </cfRule>
  </conditionalFormatting>
  <conditionalFormatting sqref="J10">
    <cfRule type="cellIs" dxfId="626" priority="4" operator="equal">
      <formula>0</formula>
    </cfRule>
  </conditionalFormatting>
  <conditionalFormatting sqref="J9">
    <cfRule type="cellIs" dxfId="625" priority="3" operator="equal">
      <formula>0</formula>
    </cfRule>
  </conditionalFormatting>
  <conditionalFormatting sqref="I17">
    <cfRule type="expression" dxfId="624" priority="1008">
      <formula>M15&lt;100%</formula>
    </cfRule>
  </conditionalFormatting>
  <conditionalFormatting sqref="B17">
    <cfRule type="expression" dxfId="623" priority="1011">
      <formula>E15&lt;100%</formula>
    </cfRule>
  </conditionalFormatting>
  <dataValidations xWindow="567" yWindow="543" count="8">
    <dataValidation type="list" allowBlank="1" showInputMessage="1" showErrorMessage="1" sqref="G26:G28 B26:B28 G53:G55 K53:K55 K26:K28 B53:B55" xr:uid="{00000000-0002-0000-0700-000000000000}">
      <formula1>$O$24:$O$29</formula1>
    </dataValidation>
    <dataValidation allowBlank="1" showInputMessage="1" showErrorMessage="1" prompt="les produits finis sont valorisés au coût de production HT" sqref="H46 D46 L46" xr:uid="{00000000-0002-0000-0700-000001000000}"/>
    <dataValidation allowBlank="1" showInputMessage="1" showErrorMessage="1" prompt="les en-cours de production sont valorisés au coût de production HT" sqref="L45 H45 D45" xr:uid="{00000000-0002-0000-0700-000002000000}"/>
    <dataValidation allowBlank="1" showInputMessage="1" showErrorMessage="1" prompt="les marchandises sont valorisées au coût d'acquisition HT" sqref="D41 L41 H41" xr:uid="{00000000-0002-0000-0700-000003000000}"/>
    <dataValidation allowBlank="1" showInputMessage="1" showErrorMessage="1" prompt="les matières sont valorisées au coût d'acquisition HT" sqref="D43 L43 H43" xr:uid="{00000000-0002-0000-0700-000004000000}"/>
    <dataValidation allowBlank="1" showInputMessage="1" showErrorMessage="1" prompt="Délai moyen de stockage des marchandises exprimé en jours de consommation de marchandises_x000a__x000a_" sqref="E41 M41 I41" xr:uid="{00000000-0002-0000-0700-000005000000}"/>
    <dataValidation allowBlank="1" showInputMessage="1" showErrorMessage="1" prompt="Délai moyen de stockage des matières exprimé en jours de consommation de matières_x000a__x000a_" sqref="E43 M43 I43" xr:uid="{00000000-0002-0000-0700-000006000000}"/>
    <dataValidation allowBlank="1" showInputMessage="1" showErrorMessage="1" prompt="S'il s'agit d'une ressource, le chiffre s'inscrit en négatif" sqref="D74:E74 H74:I74 L74:M74" xr:uid="{00000000-0002-0000-0700-000007000000}"/>
  </dataValidations>
  <hyperlinks>
    <hyperlink ref="K4" location="Comprendre!B89" display="pour en savoir plus sur le B F R" xr:uid="{00000000-0004-0000-0700-000000000000}"/>
    <hyperlink ref="K4:L4" location="Comprendre!B92" display="Pour en savoir plus sur le B F R" xr:uid="{00000000-0004-0000-0700-000001000000}"/>
  </hyperlinks>
  <printOptions horizontalCentered="1"/>
  <pageMargins left="0" right="0" top="0" bottom="0" header="0" footer="0"/>
  <pageSetup paperSize="9" scale="50" orientation="portrait" r:id="rId1"/>
  <headerFooter alignWithMargins="0"/>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1">
    <tabColor indexed="16"/>
    <pageSetUpPr fitToPage="1"/>
  </sheetPr>
  <dimension ref="B1:AC172"/>
  <sheetViews>
    <sheetView showGridLines="0" zoomScaleNormal="100" workbookViewId="0">
      <pane ySplit="6" topLeftCell="A7" activePane="bottomLeft" state="frozenSplit"/>
      <selection pane="bottomLeft" activeCell="K24" sqref="K24"/>
    </sheetView>
  </sheetViews>
  <sheetFormatPr baseColWidth="10" defaultColWidth="10.77734375" defaultRowHeight="12" x14ac:dyDescent="0.25"/>
  <cols>
    <col min="1" max="1" width="1.77734375" style="37" customWidth="1"/>
    <col min="2" max="2" width="30.77734375" style="37" customWidth="1"/>
    <col min="3" max="3" width="13.77734375" style="37" customWidth="1"/>
    <col min="4" max="4" width="2.33203125" style="37" customWidth="1"/>
    <col min="5" max="8" width="13.77734375" style="37" customWidth="1"/>
    <col min="9" max="9" width="1" style="303" customWidth="1"/>
    <col min="10" max="10" width="12.77734375" style="301" customWidth="1"/>
    <col min="11" max="11" width="12.77734375" style="302" customWidth="1"/>
    <col min="12" max="12" width="1" style="37" customWidth="1"/>
    <col min="13" max="13" width="13.33203125" style="306" customWidth="1"/>
    <col min="14" max="14" width="13.33203125" style="313" customWidth="1"/>
    <col min="15" max="15" width="13.33203125" style="37" customWidth="1"/>
    <col min="16" max="16" width="1" style="1870" customWidth="1"/>
    <col min="17" max="17" width="11.77734375" style="1870" customWidth="1"/>
    <col min="18" max="18" width="8.77734375" style="1870" customWidth="1"/>
    <col min="19" max="26" width="10.77734375" style="1870"/>
    <col min="27" max="16384" width="10.77734375" style="37"/>
  </cols>
  <sheetData>
    <row r="1" spans="2:26" ht="6" customHeight="1" x14ac:dyDescent="0.25"/>
    <row r="2" spans="2:26" s="205" customFormat="1" ht="21.9" customHeight="1" x14ac:dyDescent="0.3">
      <c r="B2" s="2692" t="str">
        <f>IF(ISBLANK(dossier)," ",dossier)</f>
        <v xml:space="preserve"> </v>
      </c>
      <c r="C2" s="3082"/>
      <c r="D2" s="2273" t="s">
        <v>801</v>
      </c>
      <c r="E2" s="2149"/>
      <c r="F2" s="2149"/>
      <c r="G2" s="2149"/>
      <c r="H2" s="2149"/>
      <c r="I2" s="2149"/>
      <c r="J2" s="2149"/>
      <c r="K2" s="2149"/>
      <c r="L2" s="2149"/>
      <c r="M2" s="2149"/>
      <c r="N2" s="2149"/>
      <c r="O2" s="2150"/>
      <c r="P2" s="1871"/>
      <c r="Q2" s="1871"/>
      <c r="R2" s="1871"/>
      <c r="S2" s="1871"/>
      <c r="T2" s="1871"/>
      <c r="U2" s="1871"/>
      <c r="V2" s="1871"/>
      <c r="W2" s="1871"/>
      <c r="X2" s="1871"/>
      <c r="Y2" s="1871"/>
      <c r="Z2" s="1871"/>
    </row>
    <row r="3" spans="2:26" s="818" customFormat="1" ht="20.100000000000001" customHeight="1" x14ac:dyDescent="0.3">
      <c r="H3" s="819"/>
      <c r="I3" s="819"/>
      <c r="J3" s="2539" t="s">
        <v>802</v>
      </c>
      <c r="K3" s="3060"/>
      <c r="L3" s="3060"/>
      <c r="M3" s="3060"/>
      <c r="N3" s="3081" t="s">
        <v>803</v>
      </c>
      <c r="O3" s="2539"/>
      <c r="P3" s="1872"/>
      <c r="Q3" s="1873"/>
      <c r="R3" s="1873"/>
      <c r="S3" s="1873"/>
      <c r="T3" s="1873"/>
      <c r="U3" s="1873"/>
      <c r="V3" s="1873"/>
      <c r="W3" s="1873"/>
      <c r="X3" s="1873"/>
      <c r="Y3" s="1873"/>
      <c r="Z3" s="1873"/>
    </row>
    <row r="4" spans="2:26" ht="3" customHeight="1" x14ac:dyDescent="0.25"/>
    <row r="5" spans="2:26" s="677" customFormat="1" ht="20.100000000000001" customHeight="1" x14ac:dyDescent="0.25">
      <c r="B5" s="3039" t="s">
        <v>1070</v>
      </c>
      <c r="C5" s="3040"/>
      <c r="D5" s="3040"/>
      <c r="E5" s="3040"/>
      <c r="F5" s="3040"/>
      <c r="G5" s="1728" t="s">
        <v>215</v>
      </c>
      <c r="I5" s="788"/>
      <c r="J5" s="3115" t="s">
        <v>772</v>
      </c>
      <c r="K5" s="3116"/>
      <c r="M5" s="3094" t="s">
        <v>332</v>
      </c>
      <c r="N5" s="3095"/>
      <c r="O5" s="3096"/>
      <c r="P5" s="1874"/>
      <c r="Q5" s="3077" t="s">
        <v>1071</v>
      </c>
      <c r="R5" s="3078"/>
      <c r="S5" s="1874"/>
      <c r="T5" s="1874"/>
      <c r="U5" s="1874"/>
      <c r="V5" s="1874"/>
      <c r="W5" s="1874"/>
      <c r="X5" s="1874"/>
      <c r="Y5" s="1874"/>
      <c r="Z5" s="1874"/>
    </row>
    <row r="6" spans="2:26" ht="20.100000000000001" customHeight="1" x14ac:dyDescent="0.3">
      <c r="B6" s="3041"/>
      <c r="C6" s="3041"/>
      <c r="D6" s="3041"/>
      <c r="E6" s="3041"/>
      <c r="F6" s="3041"/>
      <c r="H6" s="677"/>
      <c r="I6" s="324"/>
      <c r="J6" s="3108" t="s">
        <v>410</v>
      </c>
      <c r="K6" s="3109"/>
      <c r="M6" s="1681" t="s">
        <v>1039</v>
      </c>
      <c r="N6" s="1682" t="s">
        <v>1037</v>
      </c>
      <c r="O6" s="1683" t="s">
        <v>1038</v>
      </c>
      <c r="Q6" s="3079"/>
      <c r="R6" s="3080"/>
    </row>
    <row r="7" spans="2:26" ht="6" customHeight="1" x14ac:dyDescent="0.25">
      <c r="B7" s="315"/>
      <c r="C7" s="315"/>
      <c r="D7" s="315"/>
      <c r="E7" s="315"/>
      <c r="F7" s="315"/>
      <c r="G7" s="315"/>
      <c r="H7" s="315"/>
      <c r="I7" s="286"/>
      <c r="J7" s="285"/>
      <c r="K7" s="286"/>
      <c r="M7" s="213"/>
      <c r="N7" s="316"/>
      <c r="O7" s="316"/>
    </row>
    <row r="8" spans="2:26" s="205" customFormat="1" ht="21.9" customHeight="1" x14ac:dyDescent="0.3">
      <c r="B8" s="3112" t="s">
        <v>776</v>
      </c>
      <c r="C8" s="3113"/>
      <c r="D8" s="3113"/>
      <c r="E8" s="3113"/>
      <c r="F8" s="3113"/>
      <c r="G8" s="3113"/>
      <c r="H8" s="3114"/>
      <c r="I8" s="295"/>
      <c r="J8" s="1592" t="s">
        <v>85</v>
      </c>
      <c r="K8" s="1593" t="s">
        <v>380</v>
      </c>
      <c r="M8" s="1592" t="s">
        <v>85</v>
      </c>
      <c r="N8" s="1594" t="s">
        <v>85</v>
      </c>
      <c r="O8" s="1595" t="s">
        <v>85</v>
      </c>
      <c r="P8" s="1871"/>
      <c r="Q8" s="1935" t="s">
        <v>85</v>
      </c>
      <c r="R8" s="1593" t="s">
        <v>380</v>
      </c>
      <c r="S8" s="1875"/>
      <c r="T8" s="1871"/>
      <c r="U8" s="1871"/>
      <c r="V8" s="1871"/>
      <c r="W8" s="1871"/>
      <c r="X8" s="1871"/>
      <c r="Y8" s="1871"/>
      <c r="Z8" s="1871"/>
    </row>
    <row r="9" spans="2:26" s="249" customFormat="1" ht="6" customHeight="1" x14ac:dyDescent="0.3">
      <c r="B9" s="1591"/>
      <c r="C9" s="1591"/>
      <c r="D9" s="1591"/>
      <c r="E9" s="1591"/>
      <c r="F9" s="1591"/>
      <c r="G9" s="1591"/>
      <c r="H9" s="1591"/>
      <c r="I9" s="13"/>
      <c r="J9" s="212"/>
      <c r="K9" s="13"/>
      <c r="M9" s="212"/>
      <c r="N9" s="212"/>
      <c r="O9" s="212"/>
      <c r="P9" s="1875"/>
      <c r="Q9" s="212"/>
      <c r="R9" s="1875"/>
      <c r="S9" s="1875"/>
      <c r="T9" s="1875"/>
      <c r="U9" s="1875"/>
      <c r="V9" s="1875"/>
      <c r="W9" s="1875"/>
      <c r="X9" s="1875"/>
      <c r="Y9" s="1875"/>
      <c r="Z9" s="1875"/>
    </row>
    <row r="10" spans="2:26" s="428" customFormat="1" ht="21.9" customHeight="1" x14ac:dyDescent="0.25">
      <c r="B10" s="3042" t="s">
        <v>1081</v>
      </c>
      <c r="C10" s="3043"/>
      <c r="D10" s="3043"/>
      <c r="E10" s="3044"/>
      <c r="F10" s="3055" t="s">
        <v>1082</v>
      </c>
      <c r="G10" s="3056"/>
      <c r="H10" s="1922" t="s">
        <v>436</v>
      </c>
      <c r="I10" s="433"/>
      <c r="J10" s="1797">
        <f>inv_cb0</f>
        <v>0</v>
      </c>
      <c r="K10" s="1798" t="str">
        <f>IF(ISERROR(IF(J10=0," ",J10/Besoin_Initial))," ",IF(J10=0," ",J10/Besoin_Initial))</f>
        <v xml:space="preserve"> </v>
      </c>
      <c r="M10" s="1891">
        <f>inv_cb0+inv_cb1</f>
        <v>0</v>
      </c>
      <c r="N10" s="1893">
        <f>inv_cb2</f>
        <v>0</v>
      </c>
      <c r="O10" s="1892">
        <f>inv_cb3</f>
        <v>0</v>
      </c>
      <c r="P10" s="1876"/>
      <c r="Q10" s="1891">
        <f>M10+N10+O10</f>
        <v>0</v>
      </c>
      <c r="R10" s="1798" t="str">
        <f>IF(ISERROR(IF(Q10=0," ",Q10/$Q$19))," ",IF(Q10=0," ",Q10/$Q$19))</f>
        <v xml:space="preserve"> </v>
      </c>
      <c r="S10" s="1876"/>
      <c r="T10" s="1876"/>
      <c r="U10" s="1876"/>
      <c r="V10" s="1876"/>
      <c r="W10" s="1876"/>
      <c r="X10" s="1876"/>
      <c r="Y10" s="1876"/>
      <c r="Z10" s="1876"/>
    </row>
    <row r="11" spans="2:26" s="428" customFormat="1" ht="21.9" customHeight="1" x14ac:dyDescent="0.25">
      <c r="B11" s="3045"/>
      <c r="C11" s="2952"/>
      <c r="D11" s="2952"/>
      <c r="E11" s="3046"/>
      <c r="F11" s="3057" t="s">
        <v>1083</v>
      </c>
      <c r="G11" s="3058"/>
      <c r="H11" s="1923" t="s">
        <v>436</v>
      </c>
      <c r="I11" s="433"/>
      <c r="J11" s="1894">
        <f>invest_0</f>
        <v>0</v>
      </c>
      <c r="K11" s="1895" t="str">
        <f>IF(ISERROR(IF(J11=0," ",J11/Besoin_Initial))," ",IF(J11=0," ",J11/Besoin_Initial))</f>
        <v xml:space="preserve"> </v>
      </c>
      <c r="M11" s="1896">
        <f>invest_0+invest_1</f>
        <v>0</v>
      </c>
      <c r="N11" s="1897">
        <f>invest_2</f>
        <v>0</v>
      </c>
      <c r="O11" s="1898">
        <f>invest_3</f>
        <v>0</v>
      </c>
      <c r="P11" s="1876"/>
      <c r="Q11" s="1938">
        <f>M11+N11+O11</f>
        <v>0</v>
      </c>
      <c r="R11" s="1895" t="str">
        <f>IF(ISERROR(IF(Q11=0," ",Q11/$Q$19))," ",IF(Q11=0," ",Q11/$Q$19))</f>
        <v xml:space="preserve"> </v>
      </c>
      <c r="S11" s="1876"/>
      <c r="T11" s="1876"/>
      <c r="U11" s="1876"/>
      <c r="V11" s="1876"/>
      <c r="W11" s="1876"/>
      <c r="X11" s="1876"/>
      <c r="Y11" s="1876"/>
      <c r="Z11" s="1876"/>
    </row>
    <row r="12" spans="2:26" s="428" customFormat="1" ht="15" customHeight="1" x14ac:dyDescent="0.3">
      <c r="B12" s="3097" t="s">
        <v>773</v>
      </c>
      <c r="C12" s="3098"/>
      <c r="D12" s="3098"/>
      <c r="E12" s="3098"/>
      <c r="F12" s="3101" t="s">
        <v>774</v>
      </c>
      <c r="G12" s="3102"/>
      <c r="H12" s="3103"/>
      <c r="I12" s="1899"/>
      <c r="J12" s="3104">
        <f>ROUND(IF(ISERROR(ca_1*12/durée_1*10%),0,ca_1*12/durée_1*10%),0)</f>
        <v>0</v>
      </c>
      <c r="K12" s="3106" t="str">
        <f>IF(ISERROR(IF(J12=0," ",J12/Besoin_Initial))," ",IF(J12=0," ",J12/Besoin_Initial))</f>
        <v xml:space="preserve"> </v>
      </c>
      <c r="L12" s="1900"/>
      <c r="M12" s="1901"/>
      <c r="N12" s="1902"/>
      <c r="O12" s="1903"/>
      <c r="P12" s="1876"/>
      <c r="Q12" s="3131"/>
      <c r="R12" s="3132"/>
      <c r="S12" s="1876"/>
      <c r="T12" s="1876"/>
      <c r="U12" s="1876"/>
      <c r="V12" s="1876"/>
      <c r="W12" s="1876"/>
      <c r="X12" s="1876"/>
      <c r="Y12" s="1876"/>
      <c r="Z12" s="1876"/>
    </row>
    <row r="13" spans="2:26" s="29" customFormat="1" ht="15" customHeight="1" x14ac:dyDescent="0.3">
      <c r="B13" s="3099"/>
      <c r="C13" s="3100"/>
      <c r="D13" s="3100"/>
      <c r="E13" s="3100"/>
      <c r="F13" s="1921"/>
      <c r="G13" s="3110" t="s">
        <v>495</v>
      </c>
      <c r="H13" s="3111"/>
      <c r="I13" s="1904"/>
      <c r="J13" s="3105"/>
      <c r="K13" s="3107"/>
      <c r="L13" s="1905"/>
      <c r="M13" s="1906"/>
      <c r="N13" s="1907"/>
      <c r="O13" s="1908"/>
      <c r="P13" s="1876"/>
      <c r="Q13" s="3133"/>
      <c r="R13" s="3134"/>
      <c r="S13" s="1876"/>
      <c r="T13" s="1876"/>
      <c r="U13" s="1876"/>
      <c r="V13" s="1877"/>
      <c r="W13" s="1876"/>
      <c r="X13" s="1876"/>
      <c r="Y13" s="1876"/>
      <c r="Z13" s="1876"/>
    </row>
    <row r="14" spans="2:26" s="428" customFormat="1" ht="30" customHeight="1" x14ac:dyDescent="0.25">
      <c r="B14" s="2944" t="s">
        <v>692</v>
      </c>
      <c r="C14" s="2287"/>
      <c r="D14" s="2287"/>
      <c r="E14" s="2287"/>
      <c r="F14" s="2951" t="s">
        <v>1084</v>
      </c>
      <c r="G14" s="2952"/>
      <c r="H14" s="2953"/>
      <c r="I14" s="433"/>
      <c r="J14" s="3117"/>
      <c r="K14" s="3118"/>
      <c r="M14" s="1909">
        <f>BFR_1</f>
        <v>0</v>
      </c>
      <c r="N14" s="1910">
        <f>BFR_2-BFR_1</f>
        <v>0</v>
      </c>
      <c r="O14" s="1911">
        <f>BFR_3-BFR_2</f>
        <v>0</v>
      </c>
      <c r="P14" s="1876"/>
      <c r="Q14" s="1939">
        <f>M14+N14+O14</f>
        <v>0</v>
      </c>
      <c r="R14" s="1945" t="str">
        <f>IF(ISERROR(IF(Q14=0," ",Q14/$Q$19))," ",IF(Q14=0," ",Q14/$Q$19))</f>
        <v xml:space="preserve"> </v>
      </c>
      <c r="S14" s="1876"/>
      <c r="T14" s="1876"/>
      <c r="U14" s="1876"/>
      <c r="V14" s="1876"/>
      <c r="W14" s="1876"/>
      <c r="X14" s="1876"/>
      <c r="Y14" s="1876"/>
      <c r="Z14" s="1876"/>
    </row>
    <row r="15" spans="2:26" s="29" customFormat="1" ht="30" customHeight="1" x14ac:dyDescent="0.25">
      <c r="B15" s="3127" t="s">
        <v>693</v>
      </c>
      <c r="C15" s="3128"/>
      <c r="D15" s="3128"/>
      <c r="E15" s="3128"/>
      <c r="F15" s="3129"/>
      <c r="G15" s="3129"/>
      <c r="H15" s="3130"/>
      <c r="I15" s="435"/>
      <c r="J15" s="3119"/>
      <c r="K15" s="3118"/>
      <c r="M15" s="1915">
        <f>IF(caf_1&gt;0,0,caf_1/-1)</f>
        <v>0</v>
      </c>
      <c r="N15" s="1916">
        <f>IF(caf_2&gt;0,0,caf_2/-1)</f>
        <v>0</v>
      </c>
      <c r="O15" s="1917">
        <f>IF(caf_3&gt;0,0,caf_3/-1)</f>
        <v>0</v>
      </c>
      <c r="P15" s="1876"/>
      <c r="Q15" s="1942">
        <f>M15+N15+O15</f>
        <v>0</v>
      </c>
      <c r="R15" s="1937" t="str">
        <f>IF(ISERROR(IF(Q15=0," ",Q15/$Q$19))," ",IF(Q15=0," ",Q15/$Q$19))</f>
        <v xml:space="preserve"> </v>
      </c>
      <c r="S15" s="1876"/>
      <c r="T15" s="1876"/>
      <c r="U15" s="1876"/>
      <c r="V15" s="1876"/>
      <c r="W15" s="1876"/>
      <c r="X15" s="1876"/>
      <c r="Y15" s="1876"/>
      <c r="Z15" s="1876"/>
    </row>
    <row r="16" spans="2:26" s="29" customFormat="1" ht="30" customHeight="1" x14ac:dyDescent="0.25">
      <c r="B16" s="3074" t="s">
        <v>694</v>
      </c>
      <c r="C16" s="3075"/>
      <c r="D16" s="3075"/>
      <c r="E16" s="3075"/>
      <c r="F16" s="3075"/>
      <c r="G16" s="3075"/>
      <c r="H16" s="3076"/>
      <c r="I16" s="435"/>
      <c r="J16" s="3119"/>
      <c r="K16" s="3118"/>
      <c r="M16" s="1918"/>
      <c r="N16" s="1919"/>
      <c r="O16" s="1920"/>
      <c r="P16" s="1876"/>
      <c r="Q16" s="2108">
        <f>M16+N16+O16</f>
        <v>0</v>
      </c>
      <c r="R16" s="1943" t="str">
        <f>IF(ISERROR(IF(Q16=0," ",Q16/$Q$19))," ",IF(Q16=0," ",Q16/$Q$19))</f>
        <v xml:space="preserve"> </v>
      </c>
      <c r="S16" s="1876"/>
      <c r="T16" s="1876"/>
      <c r="U16" s="1876"/>
      <c r="V16" s="1876"/>
      <c r="W16" s="1876"/>
      <c r="X16" s="1876"/>
      <c r="Y16" s="1876"/>
      <c r="Z16" s="1876"/>
    </row>
    <row r="17" spans="2:29" s="428" customFormat="1" ht="30" customHeight="1" x14ac:dyDescent="0.25">
      <c r="B17" s="2945" t="s">
        <v>695</v>
      </c>
      <c r="C17" s="2946"/>
      <c r="D17" s="2946"/>
      <c r="E17" s="2946"/>
      <c r="F17" s="2946"/>
      <c r="G17" s="2946"/>
      <c r="H17" s="2947"/>
      <c r="I17" s="434"/>
      <c r="J17" s="3120"/>
      <c r="K17" s="3121"/>
      <c r="M17" s="1912"/>
      <c r="N17" s="1913"/>
      <c r="O17" s="1914"/>
      <c r="P17" s="1876"/>
      <c r="Q17" s="2109">
        <f>M17+N17+O17</f>
        <v>0</v>
      </c>
      <c r="R17" s="1941" t="str">
        <f>IF(ISERROR(IF(Q17=0," ",Q17/$Q$19))," ",IF(Q17=0," ",Q17/$Q$19))</f>
        <v xml:space="preserve"> </v>
      </c>
      <c r="S17" s="1876"/>
      <c r="T17" s="1876"/>
      <c r="U17" s="1876"/>
      <c r="V17" s="1876"/>
      <c r="W17" s="1876"/>
      <c r="X17" s="1876"/>
      <c r="Y17" s="1876"/>
      <c r="Z17" s="1876"/>
    </row>
    <row r="18" spans="2:29" s="249" customFormat="1" ht="3" customHeight="1" x14ac:dyDescent="0.3">
      <c r="B18" s="250"/>
      <c r="C18" s="250"/>
      <c r="D18" s="250"/>
      <c r="E18" s="250"/>
      <c r="F18" s="250"/>
      <c r="G18" s="250"/>
      <c r="H18" s="250"/>
      <c r="I18" s="15"/>
      <c r="J18" s="49"/>
      <c r="K18" s="15"/>
      <c r="M18" s="49"/>
      <c r="N18" s="49"/>
      <c r="O18" s="49"/>
      <c r="P18" s="1875"/>
      <c r="Q18" s="49"/>
      <c r="R18" s="1875"/>
      <c r="S18" s="1875"/>
      <c r="T18" s="1875"/>
      <c r="U18" s="1875"/>
      <c r="V18" s="1875"/>
      <c r="W18" s="1875"/>
      <c r="X18" s="1875"/>
      <c r="Y18" s="1875"/>
      <c r="Z18" s="1875"/>
    </row>
    <row r="19" spans="2:29" s="396" customFormat="1" ht="21.9" customHeight="1" x14ac:dyDescent="0.3">
      <c r="F19" s="3139" t="s">
        <v>1079</v>
      </c>
      <c r="G19" s="3140"/>
      <c r="H19" s="3141"/>
      <c r="I19" s="62"/>
      <c r="J19" s="1596">
        <f>SUM(J10:J17)</f>
        <v>0</v>
      </c>
      <c r="K19" s="1597" t="str">
        <f>IF(Besoin_Initial=0," ",100%)</f>
        <v xml:space="preserve"> </v>
      </c>
      <c r="M19" s="1598">
        <f>(SUM(M10:M17))</f>
        <v>0</v>
      </c>
      <c r="N19" s="1599">
        <f>(SUM(N10:N17))</f>
        <v>0</v>
      </c>
      <c r="O19" s="1600">
        <f>(SUM(O10:O17))</f>
        <v>0</v>
      </c>
      <c r="P19" s="1878"/>
      <c r="Q19" s="1936">
        <f>(SUM(Q10:Q17))</f>
        <v>0</v>
      </c>
      <c r="R19" s="1597" t="str">
        <f>IF(Q19=0," ",100%)</f>
        <v xml:space="preserve"> </v>
      </c>
      <c r="S19" s="1878"/>
      <c r="T19" s="1878"/>
      <c r="U19" s="1878"/>
      <c r="V19" s="1878"/>
      <c r="W19" s="1878"/>
      <c r="X19" s="1878"/>
      <c r="Y19" s="1878"/>
      <c r="Z19" s="1878"/>
    </row>
    <row r="20" spans="2:29" ht="20.100000000000001" customHeight="1" x14ac:dyDescent="0.25"/>
    <row r="21" spans="2:29" s="264" customFormat="1" ht="20.100000000000001" customHeight="1" x14ac:dyDescent="0.25">
      <c r="B21" s="228"/>
      <c r="C21" s="228"/>
      <c r="D21" s="228"/>
      <c r="E21" s="228"/>
      <c r="F21" s="228"/>
      <c r="G21" s="228"/>
      <c r="H21" s="228"/>
      <c r="I21" s="289"/>
      <c r="J21" s="3071" t="s">
        <v>410</v>
      </c>
      <c r="K21" s="3072"/>
      <c r="M21" s="1684" t="s">
        <v>1039</v>
      </c>
      <c r="N21" s="1685" t="s">
        <v>1037</v>
      </c>
      <c r="O21" s="1686" t="s">
        <v>1038</v>
      </c>
      <c r="P21" s="1879"/>
      <c r="Q21" s="3135" t="s">
        <v>1072</v>
      </c>
      <c r="R21" s="3136"/>
      <c r="S21" s="1879"/>
      <c r="T21" s="1879"/>
      <c r="U21" s="1879"/>
      <c r="V21" s="1879"/>
      <c r="W21" s="1879"/>
      <c r="X21" s="1879"/>
      <c r="Y21" s="1879"/>
      <c r="Z21" s="1879"/>
    </row>
    <row r="22" spans="2:29" ht="3" customHeight="1" x14ac:dyDescent="0.25"/>
    <row r="23" spans="2:29" s="3" customFormat="1" ht="21.9" customHeight="1" x14ac:dyDescent="0.3">
      <c r="B23" s="2948" t="s">
        <v>777</v>
      </c>
      <c r="C23" s="2949"/>
      <c r="D23" s="2949"/>
      <c r="E23" s="2949"/>
      <c r="F23" s="2949"/>
      <c r="G23" s="2949"/>
      <c r="H23" s="2950"/>
      <c r="I23" s="295"/>
      <c r="J23" s="1688" t="s">
        <v>85</v>
      </c>
      <c r="K23" s="1729" t="s">
        <v>380</v>
      </c>
      <c r="M23" s="1688" t="s">
        <v>85</v>
      </c>
      <c r="N23" s="1689" t="s">
        <v>85</v>
      </c>
      <c r="O23" s="1690" t="s">
        <v>85</v>
      </c>
      <c r="P23" s="1880"/>
      <c r="Q23" s="1688" t="s">
        <v>85</v>
      </c>
      <c r="R23" s="1729" t="s">
        <v>380</v>
      </c>
      <c r="S23" s="1879"/>
      <c r="T23" s="1879"/>
      <c r="U23" s="1879"/>
      <c r="V23" s="1879"/>
      <c r="W23" s="1879"/>
      <c r="X23" s="1879"/>
      <c r="Y23" s="1879"/>
      <c r="Z23" s="1879"/>
      <c r="AA23" s="264"/>
      <c r="AB23" s="264"/>
      <c r="AC23" s="264"/>
    </row>
    <row r="24" spans="2:29" s="264" customFormat="1" ht="6" customHeight="1" x14ac:dyDescent="0.25">
      <c r="B24" s="228"/>
      <c r="C24" s="228"/>
      <c r="D24" s="228"/>
      <c r="E24" s="228"/>
      <c r="F24" s="228"/>
      <c r="G24" s="228"/>
      <c r="H24" s="228"/>
      <c r="I24" s="289"/>
      <c r="J24" s="288"/>
      <c r="K24" s="289"/>
      <c r="M24" s="229"/>
      <c r="N24" s="317"/>
      <c r="O24" s="317"/>
      <c r="P24" s="1879"/>
      <c r="Q24" s="1879"/>
      <c r="R24" s="1879"/>
      <c r="S24" s="1879"/>
      <c r="T24" s="1879"/>
      <c r="U24" s="1879"/>
      <c r="V24" s="1879"/>
      <c r="W24" s="1879"/>
      <c r="X24" s="1879"/>
      <c r="Y24" s="1879"/>
      <c r="Z24" s="1879"/>
    </row>
    <row r="25" spans="2:29" s="405" customFormat="1" ht="24.9" customHeight="1" x14ac:dyDescent="0.3">
      <c r="B25" s="2967" t="s">
        <v>1086</v>
      </c>
      <c r="C25" s="2968"/>
      <c r="D25" s="2969" t="s">
        <v>1085</v>
      </c>
      <c r="E25" s="2970"/>
      <c r="F25" s="2970"/>
      <c r="G25" s="2970"/>
      <c r="H25" s="2971"/>
      <c r="I25" s="404"/>
      <c r="J25" s="3122"/>
      <c r="K25" s="3123"/>
      <c r="M25" s="1799">
        <f>DFR_1/-1</f>
        <v>0</v>
      </c>
      <c r="N25" s="1925">
        <f>(DFR_2-DFR_1)/-1</f>
        <v>0</v>
      </c>
      <c r="O25" s="1800">
        <f>(DFR_3-DFR_2)/-1</f>
        <v>0</v>
      </c>
      <c r="P25" s="1881"/>
      <c r="Q25" s="1944">
        <f>M25+N25+O25</f>
        <v>0</v>
      </c>
      <c r="R25" s="2107" t="str">
        <f t="shared" ref="R25:R26" si="0">IF(ISERROR(IF(Q25=0," ",Q25/$Q$63))," ",IF(Q25=0," ",Q25/$Q$63))</f>
        <v xml:space="preserve"> </v>
      </c>
      <c r="S25" s="1881"/>
      <c r="T25" s="1881"/>
      <c r="U25" s="1881"/>
      <c r="V25" s="1881"/>
      <c r="W25" s="1881"/>
      <c r="X25" s="1881"/>
      <c r="Y25" s="1881"/>
      <c r="Z25" s="1881"/>
    </row>
    <row r="26" spans="2:29" s="405" customFormat="1" ht="24.9" customHeight="1" x14ac:dyDescent="0.3">
      <c r="B26" s="2972" t="s">
        <v>1056</v>
      </c>
      <c r="C26" s="2973"/>
      <c r="D26" s="2973"/>
      <c r="E26" s="2973"/>
      <c r="F26" s="2973"/>
      <c r="G26" s="2973"/>
      <c r="H26" s="2974"/>
      <c r="I26" s="404"/>
      <c r="J26" s="3124"/>
      <c r="K26" s="3125"/>
      <c r="M26" s="1801">
        <f>IF(caf_1&gt;0,caf_1,0)</f>
        <v>0</v>
      </c>
      <c r="N26" s="1926">
        <f>IF(caf_2&gt;0,caf_2,0)</f>
        <v>0</v>
      </c>
      <c r="O26" s="1802">
        <f>IF(caf_3&gt;0,caf_3,0)</f>
        <v>0</v>
      </c>
      <c r="P26" s="1881"/>
      <c r="Q26" s="1801">
        <f>M26+N26+O26</f>
        <v>0</v>
      </c>
      <c r="R26" s="1166" t="str">
        <f t="shared" si="0"/>
        <v xml:space="preserve"> </v>
      </c>
      <c r="S26" s="1881"/>
      <c r="T26" s="1881"/>
      <c r="U26" s="1881"/>
      <c r="V26" s="1881"/>
      <c r="W26" s="1881"/>
      <c r="X26" s="1881"/>
      <c r="Y26" s="1881"/>
      <c r="Z26" s="1881"/>
    </row>
    <row r="27" spans="2:29" s="293" customFormat="1" ht="15" customHeight="1" x14ac:dyDescent="0.3">
      <c r="B27" s="3061" t="s">
        <v>696</v>
      </c>
      <c r="C27" s="3062"/>
      <c r="D27" s="3062"/>
      <c r="E27" s="3062"/>
      <c r="F27" s="3062"/>
      <c r="G27" s="3062"/>
      <c r="H27" s="3065" t="s">
        <v>495</v>
      </c>
      <c r="I27" s="794"/>
      <c r="J27" s="3067" t="s">
        <v>621</v>
      </c>
      <c r="K27" s="3069">
        <v>0.5</v>
      </c>
      <c r="L27" s="366"/>
      <c r="M27" s="1691">
        <f>IF(ISERROR(IF(caf_1&lt;0,"CAF nulle",M16/M26)),0,IF(caf_1&lt;0,"CAF nulle",M16/M26))</f>
        <v>0</v>
      </c>
      <c r="N27" s="1974">
        <f>IF(ISERROR(IF(caf_2&lt;0,"CAF nulle",N16/N26)),0,IF(caf_2&lt;0,"CAF nulle",N16/N26))</f>
        <v>0</v>
      </c>
      <c r="O27" s="1693">
        <f>IF(ISERROR(IF(caf_3&lt;0,"CAF nulle",O16/O26)),0,IF(caf_3&lt;0,"CAF nulle",O16/O26))</f>
        <v>0</v>
      </c>
      <c r="P27" s="1882"/>
      <c r="Q27" s="3148"/>
      <c r="R27" s="3149"/>
      <c r="S27" s="1879"/>
      <c r="T27" s="1879"/>
      <c r="U27" s="1879"/>
      <c r="V27" s="1879"/>
      <c r="W27" s="1879"/>
      <c r="X27" s="1879"/>
      <c r="Y27" s="1879"/>
      <c r="Z27" s="1879"/>
    </row>
    <row r="28" spans="2:29" s="264" customFormat="1" ht="15" customHeight="1" x14ac:dyDescent="0.25">
      <c r="B28" s="3063"/>
      <c r="C28" s="3064"/>
      <c r="D28" s="3064"/>
      <c r="E28" s="3064"/>
      <c r="F28" s="3064"/>
      <c r="G28" s="3064"/>
      <c r="H28" s="3066"/>
      <c r="I28" s="289"/>
      <c r="J28" s="3068"/>
      <c r="K28" s="3070"/>
      <c r="M28" s="1692" t="str">
        <f>IF(ca_1=0," ",IF(caf_1&lt;0,"Danger ! ",IF(M27&lt;=$K$27,"ok","Excessif")))</f>
        <v xml:space="preserve"> </v>
      </c>
      <c r="N28" s="1975" t="str">
        <f>IF(ca_2=0," ",IF(caf_2&lt;0,"Danger ! ",IF(N27&lt;=$K$27,"ok","Excessif")))</f>
        <v xml:space="preserve"> </v>
      </c>
      <c r="O28" s="1694" t="str">
        <f>IF(ca_3=0," ",IF(caf_3&lt;0,"Danger ! ",IF(O27&lt;=$K$27,"ok","Excessif")))</f>
        <v xml:space="preserve"> </v>
      </c>
      <c r="P28" s="1879"/>
      <c r="Q28" s="3150"/>
      <c r="R28" s="3151"/>
      <c r="S28" s="1879"/>
      <c r="T28" s="1879"/>
      <c r="U28" s="1879"/>
      <c r="V28" s="1879"/>
      <c r="W28" s="1879"/>
      <c r="X28" s="1879"/>
      <c r="Y28" s="1879"/>
      <c r="Z28" s="1879"/>
    </row>
    <row r="29" spans="2:29" s="366" customFormat="1" ht="3" customHeight="1" x14ac:dyDescent="0.3">
      <c r="B29" s="37"/>
      <c r="C29" s="37"/>
      <c r="D29" s="37"/>
      <c r="E29" s="37"/>
      <c r="F29" s="37"/>
      <c r="G29" s="37"/>
      <c r="H29" s="310"/>
      <c r="I29" s="312"/>
      <c r="J29" s="301"/>
      <c r="K29" s="311"/>
      <c r="M29" s="557"/>
      <c r="N29" s="314"/>
      <c r="O29" s="32"/>
      <c r="P29" s="1870"/>
      <c r="Q29" s="1882"/>
      <c r="R29" s="1882"/>
      <c r="S29" s="1882"/>
      <c r="T29" s="1882"/>
      <c r="U29" s="1882"/>
      <c r="V29" s="1882"/>
      <c r="W29" s="1882"/>
      <c r="X29" s="1882"/>
      <c r="Y29" s="1882"/>
      <c r="Z29" s="1882"/>
    </row>
    <row r="30" spans="2:29" s="264" customFormat="1" ht="20.100000000000001" customHeight="1" x14ac:dyDescent="0.25">
      <c r="B30" s="290"/>
      <c r="C30" s="290"/>
      <c r="D30" s="290"/>
      <c r="E30" s="290"/>
      <c r="F30" s="290"/>
      <c r="I30" s="289"/>
      <c r="J30" s="662"/>
      <c r="K30" s="663"/>
      <c r="M30" s="572" t="str">
        <f>IF(ca_1=0," ",IF(caf_1&lt;0,"L",IF(M27&lt;$K$27,"J",IF(M27&gt;$K$27,"L","K"))))</f>
        <v xml:space="preserve"> </v>
      </c>
      <c r="N30" s="572" t="str">
        <f>IF(ca_2=0," ",IF(caf_2&lt;0,"L",IF(N27&lt;$K$27,"J",IF(N27&gt;$K$27,"L","K"))))</f>
        <v xml:space="preserve"> </v>
      </c>
      <c r="O30" s="572" t="str">
        <f>IF(ca_3=0," ",IF(caf_3&lt;0,"L",IF(O27&lt;$K$27,"J",IF(O27&gt;$K$27,"L","K"))))</f>
        <v xml:space="preserve"> </v>
      </c>
      <c r="P30" s="1879"/>
      <c r="Q30" s="1879"/>
      <c r="R30" s="1879"/>
      <c r="S30" s="1879"/>
      <c r="T30" s="1879"/>
      <c r="U30" s="1879"/>
      <c r="V30" s="1879"/>
      <c r="W30" s="1879"/>
      <c r="X30" s="1879"/>
      <c r="Y30" s="1879"/>
      <c r="Z30" s="1879"/>
    </row>
    <row r="31" spans="2:29" s="366" customFormat="1" ht="3" customHeight="1" x14ac:dyDescent="0.3">
      <c r="B31" s="37"/>
      <c r="C31" s="37"/>
      <c r="D31" s="37"/>
      <c r="E31" s="37"/>
      <c r="F31" s="37"/>
      <c r="G31" s="37"/>
      <c r="H31" s="310"/>
      <c r="I31" s="312"/>
      <c r="J31" s="301"/>
      <c r="K31" s="311"/>
      <c r="M31" s="557"/>
      <c r="N31" s="314"/>
      <c r="O31" s="32"/>
      <c r="P31" s="1870"/>
      <c r="Q31" s="1882"/>
      <c r="R31" s="1882"/>
      <c r="S31" s="1882"/>
      <c r="T31" s="1882"/>
      <c r="U31" s="1882"/>
      <c r="V31" s="1882"/>
      <c r="W31" s="1882"/>
      <c r="X31" s="1882"/>
      <c r="Y31" s="1882"/>
      <c r="Z31" s="1882"/>
    </row>
    <row r="32" spans="2:29" s="401" customFormat="1" ht="21.9" customHeight="1" x14ac:dyDescent="0.3">
      <c r="F32" s="2975" t="s">
        <v>1074</v>
      </c>
      <c r="G32" s="2976"/>
      <c r="H32" s="2977"/>
      <c r="I32" s="393"/>
      <c r="J32" s="542">
        <f>Besoin_Initial-J26</f>
        <v>0</v>
      </c>
      <c r="K32" s="543" t="str">
        <f>IF(ISERROR(IF(J32&lt;=0," ",J32/Besoin_Initial))," ",IF(J32&lt;=0," ",J32/Besoin_Initial))</f>
        <v xml:space="preserve"> </v>
      </c>
      <c r="M32" s="542">
        <f>Besoin_N1-M25-M26</f>
        <v>0</v>
      </c>
      <c r="N32" s="1927">
        <f>Besoin_N2-N25-N26</f>
        <v>0</v>
      </c>
      <c r="O32" s="1924">
        <f>Besoin_N3-O25-O26</f>
        <v>0</v>
      </c>
      <c r="P32" s="1883"/>
      <c r="Q32" s="1883"/>
      <c r="R32" s="1883"/>
      <c r="S32" s="1883"/>
      <c r="T32" s="1883"/>
      <c r="U32" s="1883"/>
      <c r="V32" s="1883"/>
      <c r="W32" s="1883"/>
      <c r="X32" s="1883"/>
      <c r="Y32" s="1883"/>
      <c r="Z32" s="1883"/>
    </row>
    <row r="33" spans="2:26" s="439" customFormat="1" ht="20.100000000000001" customHeight="1" x14ac:dyDescent="0.25">
      <c r="G33" s="71"/>
      <c r="H33" s="440"/>
      <c r="I33" s="441"/>
      <c r="J33" s="3126" t="str">
        <f>IF(J32&gt;0,"Besoin de financement",IF(J32&lt;0,"Excédent de financement"," "))</f>
        <v xml:space="preserve"> </v>
      </c>
      <c r="K33" s="3126"/>
      <c r="M33" s="655" t="str">
        <f>IF(M32&gt;0,"Besoin",IF(M32&lt;0,"Excédent"," "))</f>
        <v xml:space="preserve"> </v>
      </c>
      <c r="N33" s="655" t="str">
        <f>IF(N32&gt;0,"Besoin",IF(N32&lt;0,"Excédent"," "))</f>
        <v xml:space="preserve"> </v>
      </c>
      <c r="O33" s="655" t="str">
        <f>IF(O32&gt;0,"Besoin",IF(O32&lt;0,"Excédent"," "))</f>
        <v xml:space="preserve"> </v>
      </c>
      <c r="P33" s="1879"/>
      <c r="Q33" s="1879"/>
      <c r="R33" s="1879"/>
      <c r="S33" s="1879"/>
      <c r="T33" s="1879"/>
      <c r="U33" s="1879"/>
      <c r="V33" s="1879"/>
      <c r="W33" s="1879"/>
      <c r="X33" s="1879"/>
      <c r="Y33" s="1879"/>
      <c r="Z33" s="1879"/>
    </row>
    <row r="34" spans="2:26" s="264" customFormat="1" ht="20.100000000000001" customHeight="1" x14ac:dyDescent="0.3">
      <c r="B34" s="3059" t="s">
        <v>778</v>
      </c>
      <c r="C34" s="2245"/>
      <c r="D34" s="2245"/>
      <c r="E34" s="2245"/>
      <c r="F34" s="2245"/>
      <c r="G34" s="1728" t="s">
        <v>215</v>
      </c>
      <c r="H34" s="3060" t="s">
        <v>779</v>
      </c>
      <c r="I34" s="3060"/>
      <c r="J34" s="3060"/>
      <c r="K34" s="3060"/>
      <c r="L34" s="1860"/>
      <c r="M34" s="3081" t="s">
        <v>1047</v>
      </c>
      <c r="N34" s="3081"/>
      <c r="O34" s="3081"/>
      <c r="P34" s="1879"/>
      <c r="Q34" s="1879"/>
      <c r="R34" s="1879"/>
      <c r="S34" s="1879"/>
      <c r="T34" s="1879"/>
      <c r="U34" s="1879"/>
      <c r="V34" s="1879"/>
      <c r="W34" s="1879"/>
      <c r="X34" s="1879"/>
      <c r="Y34" s="1879"/>
      <c r="Z34" s="1879"/>
    </row>
    <row r="35" spans="2:26" s="264" customFormat="1" ht="3" customHeight="1" x14ac:dyDescent="0.25">
      <c r="B35" s="228"/>
      <c r="C35" s="228"/>
      <c r="D35" s="228"/>
      <c r="E35" s="228"/>
      <c r="F35" s="228"/>
      <c r="G35" s="228"/>
      <c r="H35" s="228"/>
      <c r="I35" s="289"/>
      <c r="J35" s="288"/>
      <c r="K35" s="289"/>
      <c r="M35" s="229"/>
      <c r="N35" s="436"/>
      <c r="O35" s="292"/>
      <c r="P35" s="1879"/>
      <c r="Q35" s="1879"/>
      <c r="R35" s="1879"/>
      <c r="S35" s="1879"/>
      <c r="T35" s="1879"/>
      <c r="U35" s="1879"/>
      <c r="V35" s="1879"/>
      <c r="W35" s="1879"/>
      <c r="X35" s="1879"/>
      <c r="Y35" s="1879"/>
      <c r="Z35" s="1879"/>
    </row>
    <row r="36" spans="2:26" s="15" customFormat="1" ht="20.100000000000001" customHeight="1" x14ac:dyDescent="0.3">
      <c r="B36" s="3047" t="s">
        <v>517</v>
      </c>
      <c r="C36" s="3048"/>
      <c r="D36" s="3048"/>
      <c r="E36" s="3048"/>
      <c r="F36" s="3049"/>
      <c r="G36" s="3053" t="s">
        <v>665</v>
      </c>
      <c r="H36" s="3054"/>
      <c r="I36" s="397"/>
      <c r="J36" s="3009" t="s">
        <v>410</v>
      </c>
      <c r="K36" s="3010"/>
      <c r="M36" s="1695" t="s">
        <v>1039</v>
      </c>
      <c r="N36" s="1696" t="s">
        <v>1037</v>
      </c>
      <c r="O36" s="1697" t="s">
        <v>1038</v>
      </c>
      <c r="P36" s="1881"/>
      <c r="Q36" s="3137" t="s">
        <v>1072</v>
      </c>
      <c r="R36" s="3138"/>
      <c r="S36" s="1881"/>
      <c r="T36" s="1881"/>
      <c r="U36" s="1881"/>
      <c r="V36" s="1881"/>
      <c r="W36" s="1881"/>
      <c r="X36" s="1881"/>
      <c r="Y36" s="1881"/>
      <c r="Z36" s="1881"/>
    </row>
    <row r="37" spans="2:26" s="15" customFormat="1" ht="30" customHeight="1" x14ac:dyDescent="0.3">
      <c r="B37" s="3050"/>
      <c r="C37" s="3051"/>
      <c r="D37" s="3051"/>
      <c r="E37" s="3051"/>
      <c r="F37" s="3052"/>
      <c r="G37" s="1734" t="s">
        <v>691</v>
      </c>
      <c r="H37" s="1735" t="s">
        <v>666</v>
      </c>
      <c r="I37" s="397"/>
      <c r="J37" s="1703" t="s">
        <v>85</v>
      </c>
      <c r="K37" s="1704" t="s">
        <v>1049</v>
      </c>
      <c r="M37" s="1705" t="s">
        <v>85</v>
      </c>
      <c r="N37" s="1706" t="s">
        <v>85</v>
      </c>
      <c r="O37" s="1707" t="s">
        <v>85</v>
      </c>
      <c r="P37" s="1881"/>
      <c r="Q37" s="2074" t="s">
        <v>85</v>
      </c>
      <c r="R37" s="2075" t="s">
        <v>380</v>
      </c>
      <c r="S37" s="1881"/>
      <c r="T37" s="1881"/>
      <c r="U37" s="1881"/>
      <c r="V37" s="1881"/>
      <c r="W37" s="1881"/>
      <c r="X37" s="1881"/>
      <c r="Y37" s="1881"/>
      <c r="Z37" s="1881"/>
    </row>
    <row r="38" spans="2:26" s="15" customFormat="1" ht="20.100000000000001" customHeight="1" x14ac:dyDescent="0.3">
      <c r="B38" s="1803" t="s">
        <v>288</v>
      </c>
      <c r="C38" s="3089"/>
      <c r="D38" s="3090"/>
      <c r="E38" s="3090"/>
      <c r="F38" s="3091"/>
      <c r="G38" s="1804"/>
      <c r="H38" s="1805">
        <f>apport_nature</f>
        <v>0</v>
      </c>
      <c r="I38" s="398"/>
      <c r="J38" s="1810">
        <f>SUM(G38:H38)</f>
        <v>0</v>
      </c>
      <c r="K38" s="1946" t="str">
        <f>IF(J38=0," ",J38/$J$44)</f>
        <v xml:space="preserve"> </v>
      </c>
      <c r="M38" s="1810">
        <f t="shared" ref="M38:M42" si="1">J38</f>
        <v>0</v>
      </c>
      <c r="N38" s="2004"/>
      <c r="O38" s="2005"/>
      <c r="P38" s="1881"/>
      <c r="Q38" s="2110">
        <f t="shared" ref="Q38:Q42" si="2">M38+N38+O38</f>
        <v>0</v>
      </c>
      <c r="R38" s="1700" t="str">
        <f>IF(ISERROR(IF(Q38=0," ",Q38/$Q$44))," ",IF(Q38=0," ",Q38/$Q$44))</f>
        <v xml:space="preserve"> </v>
      </c>
      <c r="S38" s="1881"/>
      <c r="T38" s="1881"/>
      <c r="U38" s="1881"/>
      <c r="V38" s="1881"/>
      <c r="W38" s="1881"/>
      <c r="X38" s="1881"/>
      <c r="Y38" s="1881"/>
      <c r="Z38" s="1881"/>
    </row>
    <row r="39" spans="2:26" s="15" customFormat="1" ht="20.100000000000001" customHeight="1" x14ac:dyDescent="0.3">
      <c r="B39" s="1806" t="s">
        <v>948</v>
      </c>
      <c r="C39" s="2957"/>
      <c r="D39" s="2958"/>
      <c r="E39" s="2958"/>
      <c r="F39" s="2958"/>
      <c r="G39" s="1807"/>
      <c r="H39" s="1808"/>
      <c r="I39" s="1698"/>
      <c r="J39" s="1811">
        <f>SUM(G39:H39)</f>
        <v>0</v>
      </c>
      <c r="K39" s="1701" t="str">
        <f>IF(J39=0," ",J39/$J$44)</f>
        <v xml:space="preserve"> </v>
      </c>
      <c r="M39" s="1811">
        <f t="shared" si="1"/>
        <v>0</v>
      </c>
      <c r="N39" s="1928"/>
      <c r="O39" s="1813"/>
      <c r="P39" s="1881"/>
      <c r="Q39" s="2111">
        <f t="shared" si="2"/>
        <v>0</v>
      </c>
      <c r="R39" s="2073" t="str">
        <f t="shared" ref="R39:R42" si="3">IF(ISERROR(IF(Q39=0," ",Q39/$Q$44))," ",IF(Q39=0," ",Q39/$Q$44))</f>
        <v xml:space="preserve"> </v>
      </c>
      <c r="S39" s="1881"/>
      <c r="T39" s="1881"/>
      <c r="U39" s="1881"/>
      <c r="V39" s="1881"/>
      <c r="W39" s="1881"/>
      <c r="X39" s="1881"/>
      <c r="Y39" s="1881"/>
      <c r="Z39" s="1881"/>
    </row>
    <row r="40" spans="2:26" s="15" customFormat="1" ht="20.100000000000001" customHeight="1" x14ac:dyDescent="0.3">
      <c r="B40" s="2954"/>
      <c r="C40" s="2955"/>
      <c r="D40" s="2956"/>
      <c r="E40" s="2956"/>
      <c r="F40" s="2956"/>
      <c r="G40" s="1809"/>
      <c r="H40" s="1808"/>
      <c r="I40" s="1699"/>
      <c r="J40" s="1811">
        <f>SUM(G40:H40)</f>
        <v>0</v>
      </c>
      <c r="K40" s="1702" t="str">
        <f>IF(J40=0," ",J40/$J$44)</f>
        <v xml:space="preserve"> </v>
      </c>
      <c r="M40" s="1811">
        <f t="shared" si="1"/>
        <v>0</v>
      </c>
      <c r="N40" s="1929"/>
      <c r="O40" s="1814"/>
      <c r="P40" s="1881"/>
      <c r="Q40" s="2112">
        <f t="shared" si="2"/>
        <v>0</v>
      </c>
      <c r="R40" s="1702" t="str">
        <f t="shared" si="3"/>
        <v xml:space="preserve"> </v>
      </c>
      <c r="S40" s="1881"/>
      <c r="T40" s="1881"/>
      <c r="U40" s="1881"/>
      <c r="V40" s="1881"/>
      <c r="W40" s="1881"/>
      <c r="X40" s="1881"/>
      <c r="Y40" s="1881"/>
      <c r="Z40" s="1881"/>
    </row>
    <row r="41" spans="2:26" s="15" customFormat="1" ht="20.100000000000001" customHeight="1" x14ac:dyDescent="0.3">
      <c r="B41" s="2954"/>
      <c r="C41" s="3092"/>
      <c r="D41" s="3093"/>
      <c r="E41" s="3093"/>
      <c r="F41" s="3093"/>
      <c r="G41" s="1807"/>
      <c r="H41" s="1808"/>
      <c r="I41" s="1698"/>
      <c r="J41" s="1811">
        <f>SUM(G41:H41)</f>
        <v>0</v>
      </c>
      <c r="K41" s="1701" t="str">
        <f>IF(J41=0," ",J41/$J$44)</f>
        <v xml:space="preserve"> </v>
      </c>
      <c r="M41" s="1812">
        <f t="shared" si="1"/>
        <v>0</v>
      </c>
      <c r="N41" s="1807"/>
      <c r="O41" s="1815"/>
      <c r="P41" s="1881"/>
      <c r="Q41" s="2113">
        <f t="shared" si="2"/>
        <v>0</v>
      </c>
      <c r="R41" s="1701" t="str">
        <f t="shared" si="3"/>
        <v xml:space="preserve"> </v>
      </c>
      <c r="S41" s="1881"/>
      <c r="T41" s="1881"/>
      <c r="U41" s="1881"/>
      <c r="V41" s="1881"/>
      <c r="W41" s="1881"/>
      <c r="X41" s="1881"/>
      <c r="Y41" s="1881"/>
      <c r="Z41" s="1881"/>
    </row>
    <row r="42" spans="2:26" s="15" customFormat="1" ht="20.100000000000001" customHeight="1" x14ac:dyDescent="0.3">
      <c r="B42" s="1970" t="s">
        <v>162</v>
      </c>
      <c r="C42" s="3087" t="str">
        <f>IF(K42&lt;=40%," ","Apport de Herrikoa limité à : ")</f>
        <v xml:space="preserve"> </v>
      </c>
      <c r="D42" s="3087"/>
      <c r="E42" s="3088"/>
      <c r="F42" s="1948">
        <f>ROUNDDOWN(IF(G42&lt;=apport_capital0*40%,0,(apport_capital0-J42)*66.6667%),-1)</f>
        <v>0</v>
      </c>
      <c r="G42" s="1961"/>
      <c r="H42" s="1949"/>
      <c r="I42" s="294"/>
      <c r="J42" s="1962">
        <f>SUM(G42:H42)</f>
        <v>0</v>
      </c>
      <c r="K42" s="1950">
        <f>IF(J42=0,0,J42/apport_capital0)</f>
        <v>0</v>
      </c>
      <c r="M42" s="1963">
        <f t="shared" si="1"/>
        <v>0</v>
      </c>
      <c r="N42" s="3022"/>
      <c r="O42" s="3023"/>
      <c r="P42" s="1881"/>
      <c r="Q42" s="1962">
        <f t="shared" si="2"/>
        <v>0</v>
      </c>
      <c r="R42" s="2114" t="str">
        <f t="shared" si="3"/>
        <v xml:space="preserve"> </v>
      </c>
      <c r="S42" s="1881"/>
      <c r="T42" s="1881"/>
      <c r="U42" s="1881"/>
      <c r="V42" s="1881"/>
      <c r="W42" s="1881"/>
      <c r="X42" s="1881"/>
      <c r="Y42" s="1881"/>
      <c r="Z42" s="1881"/>
    </row>
    <row r="43" spans="2:26" s="73" customFormat="1" ht="3" customHeight="1" x14ac:dyDescent="0.3">
      <c r="B43" s="390"/>
      <c r="C43" s="390"/>
      <c r="D43" s="390"/>
      <c r="E43" s="390"/>
      <c r="F43" s="390"/>
      <c r="G43" s="71"/>
      <c r="H43" s="391"/>
      <c r="I43" s="72"/>
      <c r="J43" s="72"/>
      <c r="K43" s="72"/>
      <c r="N43" s="437"/>
      <c r="O43" s="438"/>
      <c r="P43" s="1881"/>
      <c r="Q43" s="1881"/>
      <c r="R43" s="1881"/>
      <c r="S43" s="1881"/>
      <c r="T43" s="1881"/>
      <c r="U43" s="1881"/>
      <c r="V43" s="1881"/>
      <c r="W43" s="1881"/>
      <c r="X43" s="1881"/>
      <c r="Y43" s="1881"/>
      <c r="Z43" s="1881"/>
    </row>
    <row r="44" spans="2:26" s="399" customFormat="1" ht="21.9" customHeight="1" x14ac:dyDescent="0.3">
      <c r="B44" s="400"/>
      <c r="C44" s="400"/>
      <c r="D44" s="400"/>
      <c r="F44" s="3142" t="s">
        <v>1078</v>
      </c>
      <c r="G44" s="3143"/>
      <c r="H44" s="3144"/>
      <c r="I44" s="530"/>
      <c r="J44" s="1951">
        <f>SUM(J38:J42)</f>
        <v>0</v>
      </c>
      <c r="K44" s="1952" t="str">
        <f>IF(J44=0," ",J44/J63)</f>
        <v xml:space="preserve"> </v>
      </c>
      <c r="L44" s="1953"/>
      <c r="M44" s="1971">
        <f>SUM(M38:M42)</f>
        <v>0</v>
      </c>
      <c r="N44" s="1972">
        <f>SUM(N38:N43)</f>
        <v>0</v>
      </c>
      <c r="O44" s="1973">
        <f>SUM(O38:O43)</f>
        <v>0</v>
      </c>
      <c r="P44" s="1956"/>
      <c r="Q44" s="1951">
        <f>SUM(Q38:Q42)</f>
        <v>0</v>
      </c>
      <c r="R44" s="1952" t="str">
        <f>IF(ISERROR(IF(Q44=0," ",Q44/$Q$63))," ",IF(Q44=0," ",Q44/$Q$63))</f>
        <v xml:space="preserve"> </v>
      </c>
      <c r="S44" s="1884"/>
      <c r="T44" s="1884"/>
      <c r="U44" s="1884"/>
      <c r="V44" s="1884"/>
      <c r="W44" s="1884"/>
      <c r="X44" s="1884"/>
      <c r="Y44" s="1884"/>
      <c r="Z44" s="1884"/>
    </row>
    <row r="45" spans="2:26" s="264" customFormat="1" ht="3" customHeight="1" x14ac:dyDescent="0.25">
      <c r="B45" s="228"/>
      <c r="C45" s="228"/>
      <c r="D45" s="228"/>
      <c r="E45" s="228"/>
      <c r="F45" s="228"/>
      <c r="G45" s="228"/>
      <c r="H45" s="228"/>
      <c r="I45" s="289"/>
      <c r="J45" s="288"/>
      <c r="K45" s="289"/>
      <c r="M45" s="229"/>
      <c r="N45" s="317"/>
      <c r="O45" s="317"/>
      <c r="P45" s="1879"/>
      <c r="Q45" s="1879"/>
      <c r="R45" s="1879"/>
      <c r="S45" s="1879"/>
      <c r="T45" s="1879"/>
      <c r="U45" s="1879"/>
      <c r="V45" s="1879"/>
      <c r="W45" s="1879"/>
      <c r="X45" s="1879"/>
      <c r="Y45" s="1879"/>
      <c r="Z45" s="1879"/>
    </row>
    <row r="46" spans="2:26" s="401" customFormat="1" ht="21.9" customHeight="1" x14ac:dyDescent="0.3">
      <c r="F46" s="2975" t="s">
        <v>1074</v>
      </c>
      <c r="G46" s="2976"/>
      <c r="H46" s="2977"/>
      <c r="I46" s="393"/>
      <c r="J46" s="544">
        <f>Besoin_Initial-J44</f>
        <v>0</v>
      </c>
      <c r="K46" s="543" t="str">
        <f>IF(ISERROR(IF(J46&lt;=0," ",J46/Besoin_Initial))," ",IF(J46&lt;=0," ",J46/Besoin_Initial))</f>
        <v xml:space="preserve"> </v>
      </c>
      <c r="M46" s="542">
        <f>Besoin_N1-M25-M26-apport_capital1</f>
        <v>0</v>
      </c>
      <c r="N46" s="1927">
        <f>N19-N25-N26-N44</f>
        <v>0</v>
      </c>
      <c r="O46" s="1924">
        <f>O19-O25-O26-O44</f>
        <v>0</v>
      </c>
      <c r="P46" s="1883"/>
      <c r="Q46" s="1883"/>
      <c r="R46" s="1883"/>
      <c r="S46" s="1883"/>
      <c r="T46" s="1883"/>
      <c r="U46" s="1883"/>
      <c r="V46" s="1883"/>
      <c r="W46" s="1883"/>
      <c r="X46" s="1883"/>
      <c r="Y46" s="1883"/>
      <c r="Z46" s="1883"/>
    </row>
    <row r="47" spans="2:26" s="73" customFormat="1" ht="20.100000000000001" customHeight="1" x14ac:dyDescent="0.3">
      <c r="G47" s="72"/>
      <c r="H47" s="605"/>
      <c r="I47" s="606"/>
      <c r="J47" s="3073" t="str">
        <f>IF(J46&gt;0,"Besoin de financement",IF(J46&lt;0,"Excédent de financement"," "))</f>
        <v xml:space="preserve"> </v>
      </c>
      <c r="K47" s="3073"/>
      <c r="M47" s="655" t="str">
        <f>IF(M46&gt;0,"Besoin",IF(M46&lt;0,"Excédent"," "))</f>
        <v xml:space="preserve"> </v>
      </c>
      <c r="N47" s="655" t="str">
        <f>IF(N46&gt;0,"Besoin",IF(N46&lt;0,"Excédent"," "))</f>
        <v xml:space="preserve"> </v>
      </c>
      <c r="O47" s="655" t="str">
        <f>IF(O46&gt;0,"Besoin",IF(O46&lt;0,"Excédent"," "))</f>
        <v xml:space="preserve"> </v>
      </c>
      <c r="P47" s="1881"/>
      <c r="Q47" s="1881"/>
      <c r="R47" s="1881"/>
      <c r="S47" s="1881"/>
      <c r="T47" s="1881"/>
      <c r="U47" s="1881"/>
      <c r="V47" s="1881"/>
      <c r="W47" s="1881"/>
      <c r="X47" s="1881"/>
      <c r="Y47" s="1881"/>
      <c r="Z47" s="1881"/>
    </row>
    <row r="48" spans="2:26" s="366" customFormat="1" ht="3" customHeight="1" x14ac:dyDescent="0.3">
      <c r="B48" s="37"/>
      <c r="C48" s="37"/>
      <c r="D48" s="37"/>
      <c r="E48" s="37"/>
      <c r="F48" s="37"/>
      <c r="G48" s="310"/>
      <c r="H48" s="312"/>
      <c r="I48" s="301"/>
      <c r="J48" s="311"/>
      <c r="K48" s="304"/>
      <c r="N48" s="32"/>
      <c r="O48" s="309"/>
      <c r="P48" s="1882"/>
      <c r="Q48" s="1882"/>
      <c r="R48" s="1882"/>
      <c r="S48" s="1882"/>
      <c r="T48" s="1882"/>
      <c r="U48" s="1882"/>
      <c r="V48" s="1882"/>
      <c r="W48" s="1882"/>
      <c r="X48" s="1882"/>
      <c r="Y48" s="1882"/>
      <c r="Z48" s="1882"/>
    </row>
    <row r="49" spans="2:26" s="680" customFormat="1" ht="20.100000000000001" customHeight="1" x14ac:dyDescent="0.3">
      <c r="B49" s="3085" t="s">
        <v>1066</v>
      </c>
      <c r="C49" s="3085"/>
      <c r="D49" s="3085"/>
      <c r="E49" s="3085"/>
      <c r="F49" s="3085"/>
      <c r="G49" s="3086" t="s">
        <v>668</v>
      </c>
      <c r="H49" s="3086"/>
      <c r="I49" s="3086"/>
      <c r="J49" s="3086"/>
      <c r="K49" s="3083" t="s">
        <v>1048</v>
      </c>
      <c r="L49" s="3084"/>
      <c r="M49" s="3084"/>
      <c r="N49" s="3084"/>
      <c r="O49" s="1687" t="s">
        <v>667</v>
      </c>
      <c r="P49" s="1885"/>
      <c r="Q49" s="1940" t="s">
        <v>500</v>
      </c>
      <c r="R49" s="1940"/>
      <c r="S49" s="1886"/>
      <c r="T49" s="1886"/>
      <c r="U49" s="1886"/>
      <c r="V49" s="1886"/>
      <c r="W49" s="1886"/>
      <c r="X49" s="1886"/>
      <c r="Y49" s="1886"/>
      <c r="Z49" s="1886"/>
    </row>
    <row r="50" spans="2:26" s="264" customFormat="1" ht="3" customHeight="1" x14ac:dyDescent="0.25">
      <c r="B50" s="228"/>
      <c r="C50" s="228"/>
      <c r="D50" s="228"/>
      <c r="E50" s="228"/>
      <c r="F50" s="228"/>
      <c r="G50" s="228"/>
      <c r="H50" s="228"/>
      <c r="I50" s="289"/>
      <c r="J50" s="288"/>
      <c r="K50" s="289"/>
      <c r="M50" s="229"/>
      <c r="N50" s="436"/>
      <c r="O50" s="292"/>
      <c r="P50" s="1879"/>
      <c r="Q50" s="1879"/>
      <c r="R50" s="1879"/>
      <c r="S50" s="1879"/>
      <c r="T50" s="1879"/>
      <c r="U50" s="1879"/>
      <c r="V50" s="1879"/>
      <c r="W50" s="1879"/>
      <c r="X50" s="1879"/>
      <c r="Y50" s="1879"/>
      <c r="Z50" s="1879"/>
    </row>
    <row r="51" spans="2:26" s="407" customFormat="1" ht="20.100000000000001" customHeight="1" x14ac:dyDescent="0.3">
      <c r="B51" s="2959" t="s">
        <v>397</v>
      </c>
      <c r="C51" s="3004" t="s">
        <v>396</v>
      </c>
      <c r="D51" s="3006"/>
      <c r="E51" s="3006"/>
      <c r="F51" s="3004" t="s">
        <v>289</v>
      </c>
      <c r="G51" s="3005"/>
      <c r="H51" s="1708" t="s">
        <v>484</v>
      </c>
      <c r="I51" s="406"/>
      <c r="J51" s="3009" t="s">
        <v>410</v>
      </c>
      <c r="K51" s="3010"/>
      <c r="M51" s="1695" t="s">
        <v>1039</v>
      </c>
      <c r="N51" s="1696" t="s">
        <v>1037</v>
      </c>
      <c r="O51" s="1697" t="s">
        <v>1038</v>
      </c>
      <c r="P51" s="1887"/>
      <c r="Q51" s="3137" t="s">
        <v>1072</v>
      </c>
      <c r="R51" s="3138"/>
      <c r="S51" s="1887"/>
      <c r="T51" s="1887"/>
      <c r="U51" s="1887"/>
      <c r="V51" s="1887"/>
      <c r="W51" s="1887"/>
      <c r="X51" s="1887"/>
      <c r="Y51" s="1887"/>
      <c r="Z51" s="1887"/>
    </row>
    <row r="52" spans="2:26" s="407" customFormat="1" ht="20.100000000000001" customHeight="1" x14ac:dyDescent="0.3">
      <c r="B52" s="2960"/>
      <c r="C52" s="3007"/>
      <c r="D52" s="3008"/>
      <c r="E52" s="3008"/>
      <c r="F52" s="1977" t="s">
        <v>535</v>
      </c>
      <c r="G52" s="1978" t="s">
        <v>30</v>
      </c>
      <c r="H52" s="1711" t="s">
        <v>483</v>
      </c>
      <c r="I52" s="406"/>
      <c r="J52" s="1703" t="s">
        <v>85</v>
      </c>
      <c r="K52" s="1716" t="s">
        <v>1046</v>
      </c>
      <c r="M52" s="1705" t="s">
        <v>85</v>
      </c>
      <c r="N52" s="1706" t="s">
        <v>85</v>
      </c>
      <c r="O52" s="1707" t="s">
        <v>85</v>
      </c>
      <c r="P52" s="1887"/>
      <c r="Q52" s="2074" t="s">
        <v>85</v>
      </c>
      <c r="R52" s="2075" t="s">
        <v>380</v>
      </c>
      <c r="S52" s="1887"/>
      <c r="T52" s="1887"/>
      <c r="U52" s="1887"/>
      <c r="V52" s="1887"/>
      <c r="W52" s="1887"/>
      <c r="X52" s="1887"/>
      <c r="Y52" s="1887"/>
      <c r="Z52" s="1887"/>
    </row>
    <row r="53" spans="2:26" s="15" customFormat="1" ht="20.100000000000001" customHeight="1" x14ac:dyDescent="0.3">
      <c r="B53" s="1803" t="s">
        <v>288</v>
      </c>
      <c r="C53" s="2961"/>
      <c r="D53" s="2962"/>
      <c r="E53" s="2963"/>
      <c r="F53" s="1709"/>
      <c r="G53" s="1710"/>
      <c r="H53" s="1827"/>
      <c r="I53" s="394"/>
      <c r="J53" s="1818"/>
      <c r="K53" s="1717"/>
      <c r="M53" s="1821">
        <f>J53</f>
        <v>0</v>
      </c>
      <c r="N53" s="1930"/>
      <c r="O53" s="1823"/>
      <c r="P53" s="1881"/>
      <c r="Q53" s="1821">
        <f t="shared" ref="Q53:Q59" si="4">M53+N53+O53</f>
        <v>0</v>
      </c>
      <c r="R53" s="1700" t="str">
        <f>IF(ISERROR(IF(Q53=0," ",Q53/$Q$61))," ",IF(Q53=0," ",Q53/$Q$61))</f>
        <v xml:space="preserve"> </v>
      </c>
      <c r="S53" s="1881"/>
      <c r="T53" s="1881"/>
      <c r="U53" s="1881"/>
      <c r="V53" s="1881"/>
      <c r="W53" s="1881"/>
      <c r="X53" s="1881"/>
      <c r="Y53" s="1881"/>
      <c r="Z53" s="1881"/>
    </row>
    <row r="54" spans="2:26" s="15" customFormat="1" ht="20.100000000000001" customHeight="1" x14ac:dyDescent="0.3">
      <c r="B54" s="1816" t="s">
        <v>949</v>
      </c>
      <c r="C54" s="3001"/>
      <c r="D54" s="3002"/>
      <c r="E54" s="3003"/>
      <c r="F54" s="1712"/>
      <c r="G54" s="1713"/>
      <c r="H54" s="1828"/>
      <c r="I54" s="394"/>
      <c r="J54" s="1819"/>
      <c r="K54" s="1976"/>
      <c r="M54" s="1820">
        <f t="shared" ref="M54:M59" si="5">J54</f>
        <v>0</v>
      </c>
      <c r="N54" s="1931"/>
      <c r="O54" s="1824"/>
      <c r="P54" s="1881"/>
      <c r="Q54" s="1820">
        <f t="shared" si="4"/>
        <v>0</v>
      </c>
      <c r="R54" s="2073" t="str">
        <f t="shared" ref="R54:R59" si="6">IF(ISERROR(IF(Q54=0," ",Q54/$Q$61))," ",IF(Q54=0," ",Q54/$Q$61))</f>
        <v xml:space="preserve"> </v>
      </c>
      <c r="S54" s="1881"/>
      <c r="T54" s="1881"/>
      <c r="U54" s="1881"/>
      <c r="V54" s="1881"/>
      <c r="W54" s="1881"/>
      <c r="X54" s="1881"/>
      <c r="Y54" s="1881"/>
      <c r="Z54" s="1881"/>
    </row>
    <row r="55" spans="2:26" s="15" customFormat="1" ht="20.100000000000001" customHeight="1" x14ac:dyDescent="0.3">
      <c r="B55" s="1816"/>
      <c r="C55" s="3001"/>
      <c r="D55" s="3002"/>
      <c r="E55" s="3003"/>
      <c r="F55" s="1712"/>
      <c r="G55" s="1713"/>
      <c r="H55" s="1828"/>
      <c r="I55" s="394"/>
      <c r="J55" s="1819"/>
      <c r="K55" s="1718"/>
      <c r="M55" s="1820">
        <f t="shared" ref="M55" si="7">J55</f>
        <v>0</v>
      </c>
      <c r="N55" s="1931"/>
      <c r="O55" s="1824"/>
      <c r="P55" s="1881"/>
      <c r="Q55" s="1820">
        <f t="shared" si="4"/>
        <v>0</v>
      </c>
      <c r="R55" s="1702" t="str">
        <f t="shared" si="6"/>
        <v xml:space="preserve"> </v>
      </c>
      <c r="S55" s="1881"/>
      <c r="T55" s="1881"/>
      <c r="U55" s="1881"/>
      <c r="V55" s="1881"/>
      <c r="W55" s="1881"/>
      <c r="X55" s="1881"/>
      <c r="Y55" s="1881"/>
      <c r="Z55" s="1881"/>
    </row>
    <row r="56" spans="2:26" s="15" customFormat="1" ht="20.100000000000001" customHeight="1" x14ac:dyDescent="0.3">
      <c r="B56" s="1816"/>
      <c r="C56" s="3001"/>
      <c r="D56" s="3002"/>
      <c r="E56" s="3003"/>
      <c r="F56" s="1712"/>
      <c r="G56" s="1713"/>
      <c r="H56" s="1828"/>
      <c r="I56" s="394"/>
      <c r="J56" s="1819"/>
      <c r="K56" s="1718"/>
      <c r="M56" s="1820">
        <f t="shared" ref="M56" si="8">J56</f>
        <v>0</v>
      </c>
      <c r="N56" s="1931"/>
      <c r="O56" s="1824"/>
      <c r="P56" s="1881"/>
      <c r="Q56" s="1820">
        <f t="shared" si="4"/>
        <v>0</v>
      </c>
      <c r="R56" s="1701" t="str">
        <f t="shared" si="6"/>
        <v xml:space="preserve"> </v>
      </c>
      <c r="S56" s="1881"/>
      <c r="T56" s="1881"/>
      <c r="U56" s="1881"/>
      <c r="V56" s="1881"/>
      <c r="W56" s="1881"/>
      <c r="X56" s="1881"/>
      <c r="Y56" s="1881"/>
      <c r="Z56" s="1881"/>
    </row>
    <row r="57" spans="2:26" s="15" customFormat="1" ht="20.100000000000001" customHeight="1" x14ac:dyDescent="0.3">
      <c r="B57" s="1817"/>
      <c r="C57" s="3001"/>
      <c r="D57" s="3002"/>
      <c r="E57" s="3003"/>
      <c r="F57" s="1714"/>
      <c r="G57" s="1715"/>
      <c r="H57" s="1828"/>
      <c r="I57" s="394"/>
      <c r="J57" s="1819"/>
      <c r="K57" s="1718"/>
      <c r="M57" s="1820">
        <f t="shared" si="5"/>
        <v>0</v>
      </c>
      <c r="N57" s="1932"/>
      <c r="O57" s="1825"/>
      <c r="P57" s="1881"/>
      <c r="Q57" s="1820">
        <f t="shared" si="4"/>
        <v>0</v>
      </c>
      <c r="R57" s="1701" t="str">
        <f t="shared" si="6"/>
        <v xml:space="preserve"> </v>
      </c>
      <c r="S57" s="1881"/>
      <c r="T57" s="1881"/>
      <c r="U57" s="1881"/>
      <c r="V57" s="1881"/>
      <c r="W57" s="1881"/>
      <c r="X57" s="1881"/>
      <c r="Y57" s="1881"/>
      <c r="Z57" s="1881"/>
    </row>
    <row r="58" spans="2:26" s="15" customFormat="1" ht="20.100000000000001" customHeight="1" x14ac:dyDescent="0.3">
      <c r="B58" s="1817"/>
      <c r="C58" s="2964" t="s">
        <v>528</v>
      </c>
      <c r="D58" s="2965"/>
      <c r="E58" s="2966"/>
      <c r="F58" s="1714"/>
      <c r="G58" s="1715"/>
      <c r="H58" s="1828"/>
      <c r="I58" s="394"/>
      <c r="J58" s="1820">
        <f>inv_cb0</f>
        <v>0</v>
      </c>
      <c r="K58" s="1718"/>
      <c r="M58" s="1822">
        <f>inv_cb0+inv_cb1</f>
        <v>0</v>
      </c>
      <c r="N58" s="1933">
        <f>inv_cb2</f>
        <v>0</v>
      </c>
      <c r="O58" s="1826">
        <f>inv_cb3</f>
        <v>0</v>
      </c>
      <c r="P58" s="1881"/>
      <c r="Q58" s="1820">
        <f t="shared" si="4"/>
        <v>0</v>
      </c>
      <c r="R58" s="1701" t="str">
        <f t="shared" si="6"/>
        <v xml:space="preserve"> </v>
      </c>
      <c r="S58" s="1881"/>
      <c r="T58" s="1881"/>
      <c r="U58" s="1881"/>
      <c r="V58" s="1881"/>
      <c r="W58" s="1881"/>
      <c r="X58" s="1881"/>
      <c r="Y58" s="1881"/>
      <c r="Z58" s="1881"/>
    </row>
    <row r="59" spans="2:26" s="15" customFormat="1" ht="20.100000000000001" customHeight="1" x14ac:dyDescent="0.3">
      <c r="B59" s="1970" t="s">
        <v>162</v>
      </c>
      <c r="C59" s="3024"/>
      <c r="D59" s="3025"/>
      <c r="E59" s="3026"/>
      <c r="F59" s="1964"/>
      <c r="G59" s="1965"/>
      <c r="H59" s="1947"/>
      <c r="I59" s="326"/>
      <c r="J59" s="1966"/>
      <c r="K59" s="1967"/>
      <c r="M59" s="1968">
        <f t="shared" si="5"/>
        <v>0</v>
      </c>
      <c r="N59" s="3022"/>
      <c r="O59" s="3023"/>
      <c r="P59" s="1881"/>
      <c r="Q59" s="1962">
        <f t="shared" si="4"/>
        <v>0</v>
      </c>
      <c r="R59" s="2114" t="str">
        <f t="shared" si="6"/>
        <v xml:space="preserve"> </v>
      </c>
      <c r="S59" s="1881"/>
      <c r="T59" s="1881"/>
      <c r="U59" s="1881"/>
      <c r="V59" s="1881"/>
      <c r="W59" s="1881"/>
      <c r="X59" s="1881"/>
      <c r="Y59" s="1881"/>
      <c r="Z59" s="1881"/>
    </row>
    <row r="60" spans="2:26" s="73" customFormat="1" ht="3" customHeight="1" x14ac:dyDescent="0.3">
      <c r="B60" s="390"/>
      <c r="C60" s="390"/>
      <c r="D60" s="390"/>
      <c r="E60" s="390"/>
      <c r="F60" s="390"/>
      <c r="G60" s="1957"/>
      <c r="H60" s="391"/>
      <c r="I60" s="1958"/>
      <c r="J60" s="1958"/>
      <c r="K60" s="1958"/>
      <c r="N60" s="1958"/>
      <c r="P60" s="1881"/>
      <c r="Q60" s="1881"/>
      <c r="R60" s="1881"/>
      <c r="S60" s="1881"/>
      <c r="T60" s="1881"/>
      <c r="U60" s="1881"/>
      <c r="V60" s="1881"/>
      <c r="W60" s="1881"/>
      <c r="X60" s="1881"/>
      <c r="Y60" s="1881"/>
      <c r="Z60" s="1881"/>
    </row>
    <row r="61" spans="2:26" s="408" customFormat="1" ht="21.9" customHeight="1" x14ac:dyDescent="0.3">
      <c r="B61" s="667" t="str">
        <f>IF(C61&gt;0,"Apport total des dirigeants :"," ")</f>
        <v xml:space="preserve"> </v>
      </c>
      <c r="C61" s="656">
        <f>IF((J59+J42)&gt;(J38+J53),J38+J53,0)</f>
        <v>0</v>
      </c>
      <c r="D61" s="656"/>
      <c r="F61" s="3027" t="s">
        <v>1077</v>
      </c>
      <c r="G61" s="3028"/>
      <c r="H61" s="3029"/>
      <c r="I61" s="1959"/>
      <c r="J61" s="1951">
        <f>SUM(J53:J59)</f>
        <v>0</v>
      </c>
      <c r="K61" s="1960" t="str">
        <f>IF(J61=0," ",J61/J63)</f>
        <v xml:space="preserve"> </v>
      </c>
      <c r="L61" s="407"/>
      <c r="M61" s="1951">
        <f>SUM(M53:M59)</f>
        <v>0</v>
      </c>
      <c r="N61" s="1954">
        <f>SUM(N53:N59)</f>
        <v>0</v>
      </c>
      <c r="O61" s="1955">
        <f>SUM(O53:O59)</f>
        <v>0</v>
      </c>
      <c r="P61" s="1887"/>
      <c r="Q61" s="1951">
        <f>SUM(Q53:Q59)</f>
        <v>0</v>
      </c>
      <c r="R61" s="1952" t="str">
        <f>IF(ISERROR(IF(Q61=0," ",Q61/$Q$63))," ",IF(Q61=0," ",Q61/$Q$63))</f>
        <v xml:space="preserve"> </v>
      </c>
      <c r="S61" s="1887"/>
      <c r="T61" s="1887"/>
      <c r="U61" s="1887"/>
      <c r="V61" s="1887"/>
      <c r="W61" s="1887"/>
      <c r="X61" s="1887"/>
      <c r="Y61" s="1887"/>
      <c r="Z61" s="1887"/>
    </row>
    <row r="62" spans="2:26" ht="6" customHeight="1" x14ac:dyDescent="0.3">
      <c r="C62" s="560"/>
      <c r="D62" s="560"/>
      <c r="E62" s="521"/>
      <c r="F62" s="320"/>
      <c r="G62" s="320"/>
      <c r="H62" s="320"/>
      <c r="I62" s="291"/>
      <c r="J62" s="74"/>
      <c r="K62" s="128"/>
      <c r="M62" s="75"/>
      <c r="N62" s="75"/>
      <c r="O62" s="75"/>
    </row>
    <row r="63" spans="2:26" s="396" customFormat="1" ht="21.9" customHeight="1" x14ac:dyDescent="0.3">
      <c r="B63" s="668" t="str">
        <f>IF(C63&gt;0,"Apport total de Herrikoa :"," ")</f>
        <v xml:space="preserve"> </v>
      </c>
      <c r="C63" s="657">
        <f>IF((J59+J42)&gt;(J38+J53),J59+J42,0)</f>
        <v>0</v>
      </c>
      <c r="D63" s="657"/>
      <c r="F63" s="3145" t="s">
        <v>1076</v>
      </c>
      <c r="G63" s="3146"/>
      <c r="H63" s="3147"/>
      <c r="I63" s="291"/>
      <c r="J63" s="1722">
        <f>J44+J61</f>
        <v>0</v>
      </c>
      <c r="K63" s="1723" t="str">
        <f>IF(J63=0," ",100%)</f>
        <v xml:space="preserve"> </v>
      </c>
      <c r="M63" s="1719">
        <f>M26+M25+M44+M61</f>
        <v>0</v>
      </c>
      <c r="N63" s="1720">
        <f>N25+N26+N44+N61</f>
        <v>0</v>
      </c>
      <c r="O63" s="1721">
        <f>O25+O26+O44+O61</f>
        <v>0</v>
      </c>
      <c r="P63" s="1878"/>
      <c r="Q63" s="1722">
        <f>Q44+Q61</f>
        <v>0</v>
      </c>
      <c r="R63" s="1723" t="str">
        <f>IF(Q63=0," ",100%)</f>
        <v xml:space="preserve"> </v>
      </c>
      <c r="S63" s="1878"/>
      <c r="T63" s="1878"/>
      <c r="U63" s="1878"/>
      <c r="V63" s="1878"/>
      <c r="W63" s="1878"/>
      <c r="X63" s="1878"/>
      <c r="Y63" s="1878"/>
      <c r="Z63" s="1878"/>
    </row>
    <row r="64" spans="2:26" s="32" customFormat="1" ht="6" customHeight="1" x14ac:dyDescent="0.3">
      <c r="B64" s="559"/>
      <c r="C64" s="561"/>
      <c r="D64" s="561"/>
      <c r="E64" s="518"/>
      <c r="G64" s="138"/>
      <c r="H64" s="296"/>
      <c r="I64" s="291"/>
      <c r="J64" s="225"/>
      <c r="K64" s="319"/>
      <c r="M64" s="225"/>
      <c r="N64" s="408"/>
      <c r="O64" s="396"/>
      <c r="P64" s="1888"/>
      <c r="Q64" s="1888"/>
      <c r="R64" s="1888"/>
      <c r="S64" s="1888"/>
      <c r="T64" s="1888"/>
      <c r="U64" s="1888"/>
      <c r="V64" s="1888"/>
      <c r="W64" s="1888"/>
      <c r="X64" s="1888"/>
      <c r="Y64" s="1888"/>
      <c r="Z64" s="1888"/>
    </row>
    <row r="65" spans="2:26" s="402" customFormat="1" ht="21.9" customHeight="1" x14ac:dyDescent="0.3">
      <c r="B65" s="664" t="str">
        <f>IF(C65&gt;0," Excédent d'apport de HK :"," ")</f>
        <v xml:space="preserve"> </v>
      </c>
      <c r="C65" s="666">
        <f>IF(AND(Q65="HK",R65="BA"),0,IF(C63&gt;C61,C63-C61,0))</f>
        <v>0</v>
      </c>
      <c r="D65" s="562"/>
      <c r="E65" s="1969"/>
      <c r="F65" s="2975" t="s">
        <v>1073</v>
      </c>
      <c r="G65" s="2976"/>
      <c r="H65" s="2977"/>
      <c r="I65" s="62"/>
      <c r="J65" s="545">
        <f>Besoin_Initial-J63</f>
        <v>0</v>
      </c>
      <c r="K65" s="543" t="str">
        <f>IF(ISERROR(IF(J65&lt;=0," ",J65/Besoin_Initial))," ",IF(J65&lt;=0," ",J65/Besoin_Initial))</f>
        <v xml:space="preserve"> </v>
      </c>
      <c r="M65" s="542">
        <f>Besoin_N1-M63</f>
        <v>0</v>
      </c>
      <c r="N65" s="1927">
        <f>Besoin_N2-N63</f>
        <v>0</v>
      </c>
      <c r="O65" s="1924">
        <f>Besoin_N3-O63</f>
        <v>0</v>
      </c>
      <c r="P65" s="1889"/>
      <c r="Q65" s="2072"/>
      <c r="R65" s="2072"/>
      <c r="T65" s="1889"/>
      <c r="U65" s="1889"/>
      <c r="V65" s="1889"/>
      <c r="W65" s="1889"/>
      <c r="X65" s="1889"/>
      <c r="Y65" s="1889"/>
      <c r="Z65" s="1889"/>
    </row>
    <row r="66" spans="2:26" s="32" customFormat="1" ht="3" customHeight="1" x14ac:dyDescent="0.3">
      <c r="B66" s="3015" t="str">
        <f>IF(C65&gt;0," Apport de HK limité à celui des dirigeants 
 Revoir la répartition des ressources"," ")</f>
        <v xml:space="preserve"> </v>
      </c>
      <c r="C66" s="3015"/>
      <c r="D66" s="665"/>
      <c r="E66" s="519"/>
      <c r="F66" s="299"/>
      <c r="G66" s="299"/>
      <c r="H66" s="171"/>
      <c r="P66" s="1888"/>
      <c r="Q66" s="1934"/>
      <c r="R66" s="1888"/>
      <c r="T66" s="1888"/>
      <c r="U66" s="1888"/>
      <c r="V66" s="1888"/>
      <c r="W66" s="1888"/>
      <c r="X66" s="1888"/>
      <c r="Y66" s="1888"/>
      <c r="Z66" s="1888"/>
    </row>
    <row r="67" spans="2:26" s="264" customFormat="1" ht="20.100000000000001" customHeight="1" x14ac:dyDescent="0.25">
      <c r="B67" s="3015"/>
      <c r="C67" s="3015"/>
      <c r="D67" s="665"/>
      <c r="E67" s="3018"/>
      <c r="F67" s="3019"/>
      <c r="G67" s="3019"/>
      <c r="H67" s="3019"/>
      <c r="I67" s="441"/>
      <c r="J67" s="2999" t="str">
        <f>IF(Besoin_Initial=0," ",IF(J65&gt;0,"Financements insuffisants !",IF(J65&lt;0,"Excédent de financement",IF(J65=0,"Plan initial équilibré"," "))))</f>
        <v xml:space="preserve"> </v>
      </c>
      <c r="K67" s="3000"/>
      <c r="M67" s="658" t="str">
        <f>IF(M65&gt;0,"Besoin",IF(M65&lt;0,"Excédent"," "))</f>
        <v xml:space="preserve"> </v>
      </c>
      <c r="N67" s="659" t="str">
        <f>IF(N65&gt;0,"Besoin",IF(N65&lt;0,"Excédent"," "))</f>
        <v xml:space="preserve"> </v>
      </c>
      <c r="O67" s="660" t="str">
        <f>IF(O65&gt;0,"Besoin",IF(O65&lt;0,"Excédent"," "))</f>
        <v xml:space="preserve"> </v>
      </c>
      <c r="P67" s="1879"/>
      <c r="R67" s="1879"/>
      <c r="T67" s="1879"/>
      <c r="U67" s="1879"/>
      <c r="V67" s="1879"/>
      <c r="W67" s="1879"/>
      <c r="X67" s="1879"/>
      <c r="Y67" s="1879"/>
      <c r="Z67" s="1879"/>
    </row>
    <row r="68" spans="2:26" s="264" customFormat="1" ht="6" customHeight="1" x14ac:dyDescent="0.3">
      <c r="B68" s="3015"/>
      <c r="C68" s="3015"/>
      <c r="D68" s="665"/>
      <c r="E68" s="520"/>
      <c r="G68" s="337"/>
      <c r="H68" s="359"/>
      <c r="I68" s="169"/>
      <c r="J68" s="300"/>
      <c r="K68" s="300"/>
      <c r="M68" s="300"/>
      <c r="N68" s="403"/>
      <c r="O68" s="402"/>
      <c r="P68" s="1879"/>
      <c r="Q68" s="1879"/>
      <c r="R68" s="1879"/>
      <c r="S68" s="1879"/>
      <c r="T68" s="1879"/>
      <c r="U68" s="1879"/>
      <c r="V68" s="1879"/>
      <c r="W68" s="1879"/>
      <c r="X68" s="1879"/>
      <c r="Y68" s="1879"/>
      <c r="Z68" s="1879"/>
    </row>
    <row r="69" spans="2:26" s="264" customFormat="1" ht="21.9" customHeight="1" x14ac:dyDescent="0.25">
      <c r="B69" s="221"/>
      <c r="C69" s="233"/>
      <c r="D69" s="233"/>
      <c r="F69" s="2987" t="s">
        <v>1075</v>
      </c>
      <c r="G69" s="2988"/>
      <c r="H69" s="2989"/>
      <c r="I69" s="298"/>
      <c r="J69" s="1266">
        <f>J63-(Besoin_Initial-FR_Initial)</f>
        <v>0</v>
      </c>
      <c r="K69" s="1267" t="str">
        <f>IF(ISERROR(TN_0*(durée_1*30)/(ca_1*(1+(tv*quotité_tv))))," ",TN_0*(durée_1*30)/(ca_1*(1+(tv*quotité_tv))))</f>
        <v xml:space="preserve"> </v>
      </c>
      <c r="M69" s="1268">
        <f>solde_financement_N1/-1</f>
        <v>0</v>
      </c>
      <c r="N69" s="1269">
        <f>TN_1+(solde_financement_N2/-1)</f>
        <v>0</v>
      </c>
      <c r="O69" s="1270">
        <f>TN_2+(solde_financement_N3/-1)</f>
        <v>0</v>
      </c>
      <c r="P69" s="1879"/>
      <c r="Q69" s="1879"/>
      <c r="R69" s="1879"/>
      <c r="S69" s="1879"/>
      <c r="T69" s="1879"/>
      <c r="U69" s="1879"/>
      <c r="V69" s="1879"/>
      <c r="W69" s="1879"/>
      <c r="X69" s="1879"/>
      <c r="Y69" s="1879"/>
      <c r="Z69" s="1879"/>
    </row>
    <row r="70" spans="2:26" s="264" customFormat="1" ht="3" customHeight="1" x14ac:dyDescent="0.3">
      <c r="B70" s="221"/>
      <c r="C70" s="233"/>
      <c r="D70" s="233"/>
      <c r="E70" s="233"/>
      <c r="F70" s="32"/>
      <c r="G70" s="138"/>
      <c r="H70" s="296"/>
      <c r="I70" s="291"/>
      <c r="J70" s="225"/>
      <c r="K70" s="319"/>
      <c r="L70" s="221"/>
      <c r="M70" s="225"/>
      <c r="N70" s="37"/>
      <c r="O70" s="37"/>
      <c r="P70" s="1878"/>
      <c r="Q70" s="1879"/>
      <c r="R70" s="1879"/>
      <c r="S70" s="1879"/>
      <c r="T70" s="1879"/>
      <c r="U70" s="1879"/>
      <c r="V70" s="1879"/>
      <c r="W70" s="1879"/>
      <c r="X70" s="1879"/>
      <c r="Y70" s="1879"/>
      <c r="Z70" s="1879"/>
    </row>
    <row r="71" spans="2:26" s="15" customFormat="1" ht="20.100000000000001" customHeight="1" x14ac:dyDescent="0.3">
      <c r="B71" s="297"/>
      <c r="C71" s="468"/>
      <c r="D71" s="468"/>
      <c r="E71" s="468"/>
      <c r="G71" s="320"/>
      <c r="H71" s="469"/>
      <c r="I71" s="470"/>
      <c r="J71" s="471"/>
      <c r="K71" s="472"/>
      <c r="L71" s="297"/>
      <c r="M71" s="679" t="str">
        <f>IF(ISERROR(M69*(durée_1*30)/(ca_1*(1+(tv*quotité_tv))))," ",M69*(durée_1*30)/(ca_1*(1+(tv*quotité_tv))))</f>
        <v xml:space="preserve"> </v>
      </c>
      <c r="N71" s="679" t="str">
        <f>IF(ISERROR(N69*(durée_2*30)/(ca_2*(1+(tv*quotité_tv))))," ",N69*(durée_2*30)/(ca_2*(1+(tv*quotité_tv))))</f>
        <v xml:space="preserve"> </v>
      </c>
      <c r="O71" s="679" t="str">
        <f>IF(ISERROR(O69*(durée_3*30)/(ca_3*(1+(tv*quotité_tv))))," ",O69*(durée_3*30)/(ca_3*(1+(tv*quotité_tv))))</f>
        <v xml:space="preserve"> </v>
      </c>
      <c r="P71" s="603"/>
      <c r="Q71" s="1879"/>
      <c r="R71" s="1879"/>
      <c r="S71" s="1881"/>
      <c r="T71" s="1881"/>
      <c r="U71" s="1881"/>
      <c r="V71" s="1881"/>
      <c r="W71" s="1881"/>
      <c r="X71" s="1881"/>
      <c r="Y71" s="1881"/>
      <c r="Z71" s="1881"/>
    </row>
    <row r="72" spans="2:26" s="15" customFormat="1" ht="24.9" customHeight="1" x14ac:dyDescent="0.3">
      <c r="B72" s="3016" t="s">
        <v>870</v>
      </c>
      <c r="C72" s="3016"/>
      <c r="D72" s="3016"/>
      <c r="E72" s="3016"/>
      <c r="F72" s="3016"/>
      <c r="G72" s="3017" t="s">
        <v>561</v>
      </c>
      <c r="H72" s="3017"/>
      <c r="I72" s="3017"/>
      <c r="J72" s="3017"/>
      <c r="K72" s="3014" t="s">
        <v>780</v>
      </c>
      <c r="L72" s="3014"/>
      <c r="M72" s="3014"/>
      <c r="N72" s="3014"/>
      <c r="O72" s="3014"/>
      <c r="P72" s="1890"/>
      <c r="Q72" s="1879"/>
      <c r="R72" s="1879"/>
      <c r="S72" s="1881"/>
      <c r="T72" s="1881"/>
      <c r="U72" s="1881"/>
      <c r="V72" s="1881"/>
      <c r="W72" s="1881"/>
      <c r="X72" s="1881"/>
      <c r="Y72" s="1881"/>
      <c r="Z72" s="1881"/>
    </row>
    <row r="73" spans="2:26" s="15" customFormat="1" ht="30" customHeight="1" x14ac:dyDescent="0.3">
      <c r="B73" s="3011" t="s">
        <v>70</v>
      </c>
      <c r="C73" s="3012"/>
      <c r="D73" s="3013"/>
      <c r="E73" s="2981" t="s">
        <v>3</v>
      </c>
      <c r="F73" s="2981"/>
      <c r="G73" s="2986" t="s">
        <v>551</v>
      </c>
      <c r="H73" s="2981"/>
      <c r="I73" s="3020" t="s">
        <v>290</v>
      </c>
      <c r="J73" s="3013"/>
      <c r="K73" s="1726" t="s">
        <v>529</v>
      </c>
      <c r="M73" s="1727" t="s">
        <v>85</v>
      </c>
      <c r="N73" s="3020" t="s">
        <v>71</v>
      </c>
      <c r="O73" s="3021"/>
      <c r="P73" s="1881"/>
      <c r="Q73" s="1879"/>
      <c r="R73" s="1879"/>
      <c r="S73" s="1881"/>
      <c r="T73" s="1881"/>
      <c r="U73" s="1881"/>
      <c r="V73" s="1881"/>
      <c r="W73" s="1881"/>
      <c r="X73" s="1881"/>
      <c r="Y73" s="1881"/>
      <c r="Z73" s="1881"/>
    </row>
    <row r="74" spans="2:26" s="15" customFormat="1" ht="24.9" customHeight="1" x14ac:dyDescent="0.3">
      <c r="B74" s="2992"/>
      <c r="C74" s="2993"/>
      <c r="D74" s="2993"/>
      <c r="E74" s="2982"/>
      <c r="F74" s="2983"/>
      <c r="G74" s="2982"/>
      <c r="H74" s="2983"/>
      <c r="I74" s="3036" t="s">
        <v>1057</v>
      </c>
      <c r="J74" s="3036"/>
      <c r="K74" s="1725"/>
      <c r="M74" s="1829"/>
      <c r="N74" s="3030"/>
      <c r="O74" s="3031"/>
      <c r="P74" s="1881"/>
      <c r="Q74" s="1881"/>
      <c r="R74" s="1881"/>
      <c r="S74" s="1881"/>
      <c r="T74" s="1881"/>
      <c r="U74" s="1881"/>
      <c r="V74" s="1881"/>
      <c r="W74" s="1881"/>
      <c r="X74" s="1881"/>
      <c r="Y74" s="1881"/>
      <c r="Z74" s="1881"/>
    </row>
    <row r="75" spans="2:26" ht="24.9" customHeight="1" x14ac:dyDescent="0.3">
      <c r="B75" s="2994"/>
      <c r="C75" s="2995"/>
      <c r="D75" s="2995"/>
      <c r="E75" s="2984"/>
      <c r="F75" s="2985"/>
      <c r="G75" s="2984"/>
      <c r="H75" s="2985"/>
      <c r="I75" s="3037"/>
      <c r="J75" s="3037"/>
      <c r="K75" s="1730"/>
      <c r="M75" s="1830"/>
      <c r="N75" s="3032"/>
      <c r="O75" s="3033"/>
      <c r="Q75" s="1881"/>
      <c r="R75" s="1881"/>
    </row>
    <row r="76" spans="2:26" s="309" customFormat="1" ht="24.9" customHeight="1" x14ac:dyDescent="0.3">
      <c r="B76" s="2996"/>
      <c r="C76" s="2997"/>
      <c r="D76" s="2997"/>
      <c r="E76" s="2979"/>
      <c r="F76" s="2980"/>
      <c r="G76" s="2979"/>
      <c r="H76" s="2980"/>
      <c r="I76" s="3038"/>
      <c r="J76" s="3038"/>
      <c r="K76" s="1724"/>
      <c r="M76" s="1831"/>
      <c r="N76" s="3034"/>
      <c r="O76" s="3035"/>
      <c r="P76" s="1870"/>
      <c r="Q76" s="1881"/>
      <c r="R76" s="1881"/>
      <c r="S76" s="1870"/>
      <c r="T76" s="1870"/>
      <c r="U76" s="1870"/>
      <c r="V76" s="1870"/>
      <c r="W76" s="1870"/>
      <c r="X76" s="1870"/>
      <c r="Y76" s="1870"/>
      <c r="Z76" s="1870"/>
    </row>
    <row r="77" spans="2:26" ht="3" customHeight="1" x14ac:dyDescent="0.3">
      <c r="H77" s="303"/>
      <c r="I77" s="301"/>
      <c r="J77" s="37"/>
      <c r="K77" s="4"/>
      <c r="M77" s="305"/>
      <c r="N77" s="15"/>
      <c r="O77" s="15"/>
      <c r="Q77" s="1881"/>
      <c r="R77" s="1881"/>
    </row>
    <row r="78" spans="2:26" ht="24.9" customHeight="1" x14ac:dyDescent="0.3">
      <c r="B78" s="307"/>
      <c r="C78" s="307"/>
      <c r="D78" s="307"/>
      <c r="E78" s="307"/>
      <c r="F78" s="307"/>
      <c r="G78" s="308"/>
      <c r="H78" s="77"/>
      <c r="I78" s="32"/>
      <c r="J78" s="32"/>
      <c r="K78" s="661" t="s">
        <v>205</v>
      </c>
      <c r="M78" s="1832">
        <f>SUM(M74:M76)</f>
        <v>0</v>
      </c>
      <c r="N78" s="2998" t="str">
        <f>IF(ISERROR(IF(M78&lt;(M69/-1),"Total des besoins non couvert, il manque :",""))," ",IF(M78&lt;(M69/-1),"Total des besoins non couvert, il manque :",""))</f>
        <v/>
      </c>
      <c r="O78" s="2998"/>
      <c r="P78" s="2990" t="str">
        <f>IF(ISERROR(IF(M78&lt;(M69/-1),(M69/-1)-M78,""))," ",IF(M78&lt;(M69/-1),(M69/-1)-M78,""))</f>
        <v/>
      </c>
      <c r="Q78" s="2991"/>
      <c r="R78" s="1881"/>
    </row>
    <row r="79" spans="2:26" ht="6" customHeight="1" x14ac:dyDescent="0.3">
      <c r="H79" s="303"/>
      <c r="I79" s="301"/>
      <c r="J79" s="37"/>
      <c r="K79" s="4"/>
      <c r="M79" s="305"/>
      <c r="N79" s="15"/>
      <c r="O79" s="32"/>
    </row>
    <row r="80" spans="2:26" s="366" customFormat="1" ht="30" customHeight="1" x14ac:dyDescent="0.3">
      <c r="B80" s="37"/>
      <c r="C80" s="37"/>
      <c r="D80" s="37"/>
      <c r="E80" s="37"/>
      <c r="F80" s="37"/>
      <c r="G80" s="738"/>
      <c r="H80" s="739"/>
      <c r="I80" s="301"/>
      <c r="J80" s="740"/>
      <c r="K80" s="304"/>
      <c r="P80" s="37"/>
    </row>
    <row r="81" spans="2:18" s="2078" customFormat="1" ht="20.100000000000001" customHeight="1" x14ac:dyDescent="0.3">
      <c r="B81" s="1003"/>
      <c r="C81" s="1003"/>
      <c r="D81" s="1003"/>
      <c r="E81" s="1003"/>
      <c r="F81" s="2978" t="s">
        <v>585</v>
      </c>
      <c r="G81" s="2978"/>
      <c r="H81" s="2978"/>
      <c r="I81" s="720"/>
      <c r="J81" s="2076"/>
      <c r="K81" s="597"/>
      <c r="L81" s="2077"/>
      <c r="M81" s="2076">
        <f>BFR_1</f>
        <v>0</v>
      </c>
      <c r="N81" s="2076">
        <f>BFR_2</f>
        <v>0</v>
      </c>
      <c r="O81" s="2076">
        <f>BFR_3</f>
        <v>0</v>
      </c>
      <c r="P81" s="2077"/>
    </row>
    <row r="82" spans="2:18" s="1004" customFormat="1" ht="20.100000000000001" customHeight="1" x14ac:dyDescent="0.3">
      <c r="B82" s="2077"/>
      <c r="C82" s="2079" t="s">
        <v>804</v>
      </c>
      <c r="D82" s="2077"/>
      <c r="E82" s="2077"/>
      <c r="F82" s="2978" t="s">
        <v>2</v>
      </c>
      <c r="G82" s="2978"/>
      <c r="H82" s="2978"/>
      <c r="I82" s="720"/>
      <c r="J82" s="2076"/>
      <c r="K82" s="597"/>
      <c r="L82" s="1003"/>
      <c r="M82" s="2076">
        <f>DFR_1</f>
        <v>0</v>
      </c>
      <c r="N82" s="2076">
        <f>DFR_2</f>
        <v>0</v>
      </c>
      <c r="O82" s="2076">
        <f>DFR_3</f>
        <v>0</v>
      </c>
      <c r="P82" s="2080"/>
    </row>
    <row r="83" spans="2:18" s="2086" customFormat="1" ht="20.100000000000001" customHeight="1" x14ac:dyDescent="0.3">
      <c r="B83" s="2081" t="s">
        <v>580</v>
      </c>
      <c r="C83" s="2081" t="s">
        <v>525</v>
      </c>
      <c r="D83" s="2081"/>
      <c r="E83" s="2081"/>
      <c r="F83" s="2082" t="s">
        <v>510</v>
      </c>
      <c r="G83" s="2082"/>
      <c r="H83" s="2082"/>
      <c r="I83" s="2083"/>
      <c r="J83" s="2084"/>
      <c r="K83" s="2085"/>
      <c r="L83" s="2080"/>
      <c r="M83" s="2084">
        <f>caf_1</f>
        <v>0</v>
      </c>
      <c r="N83" s="2084">
        <f>caf_2</f>
        <v>0</v>
      </c>
      <c r="O83" s="2084">
        <f>caf_3</f>
        <v>0</v>
      </c>
      <c r="P83" s="2080"/>
      <c r="R83" s="2087">
        <f>M83+N83+O83</f>
        <v>0</v>
      </c>
    </row>
    <row r="84" spans="2:18" s="2086" customFormat="1" ht="20.100000000000001" customHeight="1" x14ac:dyDescent="0.3">
      <c r="B84" s="2081" t="s">
        <v>581</v>
      </c>
      <c r="C84" s="2081" t="s">
        <v>325</v>
      </c>
      <c r="D84" s="2081"/>
      <c r="E84" s="2081"/>
      <c r="F84" s="2082" t="s">
        <v>509</v>
      </c>
      <c r="G84" s="2082"/>
      <c r="H84" s="2082"/>
      <c r="I84" s="2083"/>
      <c r="J84" s="2084"/>
      <c r="K84" s="2085"/>
      <c r="L84" s="2080"/>
      <c r="M84" s="2084">
        <f>rn_1</f>
        <v>0</v>
      </c>
      <c r="N84" s="2084">
        <f>rn_2</f>
        <v>0</v>
      </c>
      <c r="O84" s="2084">
        <f>rn_3</f>
        <v>0</v>
      </c>
      <c r="P84" s="2080"/>
      <c r="Q84" s="2087"/>
      <c r="R84" s="2080"/>
    </row>
    <row r="85" spans="2:18" s="2086" customFormat="1" ht="20.100000000000001" customHeight="1" x14ac:dyDescent="0.3">
      <c r="B85" s="2081" t="s">
        <v>582</v>
      </c>
      <c r="C85" s="2082" t="s">
        <v>526</v>
      </c>
      <c r="D85" s="2082"/>
      <c r="E85" s="2082"/>
      <c r="F85" s="2082" t="s">
        <v>530</v>
      </c>
      <c r="G85" s="2082"/>
      <c r="H85" s="2082"/>
      <c r="I85" s="2083"/>
      <c r="J85" s="2084">
        <f>apport_capital0</f>
        <v>0</v>
      </c>
      <c r="K85" s="2085" t="str">
        <f>IF(J85=0," ",J85/J63)</f>
        <v xml:space="preserve"> </v>
      </c>
      <c r="L85" s="2080"/>
      <c r="M85" s="2084">
        <f>J85</f>
        <v>0</v>
      </c>
      <c r="N85" s="2084">
        <f>apport_capital2</f>
        <v>0</v>
      </c>
      <c r="O85" s="2084">
        <f>apport_capital3</f>
        <v>0</v>
      </c>
      <c r="P85" s="2080"/>
      <c r="Q85" s="2080"/>
      <c r="R85" s="2080"/>
    </row>
    <row r="86" spans="2:18" s="2086" customFormat="1" ht="20.100000000000001" customHeight="1" x14ac:dyDescent="0.3">
      <c r="B86" s="2081" t="s">
        <v>583</v>
      </c>
      <c r="C86" s="2081" t="s">
        <v>527</v>
      </c>
      <c r="D86" s="2081"/>
      <c r="E86" s="2081"/>
      <c r="F86" s="2081" t="s">
        <v>664</v>
      </c>
      <c r="G86" s="2082"/>
      <c r="H86" s="2082"/>
      <c r="I86" s="2083"/>
      <c r="J86" s="2084">
        <f>SUMIF($C$53:$C$59,"="&amp;F86,$J$53:$J$59)</f>
        <v>0</v>
      </c>
      <c r="K86" s="2085" t="str">
        <f>IF(J86=0," ",J86/J63)</f>
        <v xml:space="preserve"> </v>
      </c>
      <c r="L86" s="2080"/>
      <c r="M86" s="2084">
        <f>J86</f>
        <v>0</v>
      </c>
      <c r="N86" s="2084">
        <f>SUMIF($C$53:$C$59,"="&amp;F86,$N$53:$N$59)</f>
        <v>0</v>
      </c>
      <c r="O86" s="2084">
        <f>SUMIF($C$53:$C$59,"="&amp;F86,$O$53:$O$59)</f>
        <v>0</v>
      </c>
      <c r="P86" s="2080"/>
      <c r="Q86" s="2080"/>
      <c r="R86" s="2080"/>
    </row>
    <row r="87" spans="2:18" s="2086" customFormat="1" ht="20.100000000000001" customHeight="1" x14ac:dyDescent="0.3">
      <c r="B87" s="2081" t="s">
        <v>905</v>
      </c>
      <c r="C87" s="2081" t="s">
        <v>552</v>
      </c>
      <c r="D87" s="2081"/>
      <c r="E87" s="2081"/>
      <c r="F87" s="2082" t="s">
        <v>581</v>
      </c>
      <c r="G87" s="2082"/>
      <c r="H87" s="2082"/>
      <c r="I87" s="2083"/>
      <c r="J87" s="2084">
        <f>SUMIF($C$53:$C$59,"="&amp;F87,$J$53:$J$59)</f>
        <v>0</v>
      </c>
      <c r="K87" s="2085" t="str">
        <f>IF(J87=0," ",J87/J63)</f>
        <v xml:space="preserve"> </v>
      </c>
      <c r="L87" s="2080"/>
      <c r="M87" s="2084">
        <f>J87</f>
        <v>0</v>
      </c>
      <c r="N87" s="2084">
        <f>SUMIF($C$53:$C$59,"="&amp;F87,$N$53:$N$59)</f>
        <v>0</v>
      </c>
      <c r="O87" s="2084">
        <f>SUMIF($C$53:$C$59,"="&amp;F87,$O$53:$O$59)</f>
        <v>0</v>
      </c>
      <c r="P87" s="2080"/>
      <c r="Q87" s="2080"/>
      <c r="R87" s="2080"/>
    </row>
    <row r="88" spans="2:18" s="2086" customFormat="1" ht="20.100000000000001" customHeight="1" x14ac:dyDescent="0.3">
      <c r="B88" s="2081" t="s">
        <v>584</v>
      </c>
      <c r="C88" s="2088" t="s">
        <v>186</v>
      </c>
      <c r="D88" s="2088"/>
      <c r="E88" s="2088"/>
      <c r="F88" s="2082" t="s">
        <v>291</v>
      </c>
      <c r="G88" s="2082"/>
      <c r="H88" s="2082"/>
      <c r="I88" s="2083"/>
      <c r="J88" s="2084">
        <f>SUMIF($C$53:$C$59,"="&amp;F88,$J$53:$J$59)</f>
        <v>0</v>
      </c>
      <c r="K88" s="2085" t="str">
        <f>IF(J88=0," ",J88/J63)</f>
        <v xml:space="preserve"> </v>
      </c>
      <c r="L88" s="2080"/>
      <c r="M88" s="2084">
        <f>J88</f>
        <v>0</v>
      </c>
      <c r="N88" s="2084">
        <f>SUMIF($C$53:$C$59,"="&amp;F88,$N$53:$N$59)</f>
        <v>0</v>
      </c>
      <c r="O88" s="2084">
        <f>SUMIF($C$53:$C$59,"="&amp;F88,$O$53:$O$59)</f>
        <v>0</v>
      </c>
      <c r="P88" s="2080"/>
      <c r="Q88" s="2080"/>
      <c r="R88" s="2080"/>
    </row>
    <row r="89" spans="2:18" s="2086" customFormat="1" ht="20.100000000000001" customHeight="1" x14ac:dyDescent="0.3">
      <c r="B89" s="2081" t="s">
        <v>664</v>
      </c>
      <c r="C89" s="2088" t="s">
        <v>463</v>
      </c>
      <c r="D89" s="2088"/>
      <c r="E89" s="2088"/>
      <c r="F89" s="2082" t="s">
        <v>612</v>
      </c>
      <c r="G89" s="2082"/>
      <c r="H89" s="2082"/>
      <c r="I89" s="2083"/>
      <c r="J89" s="2084"/>
      <c r="K89" s="2085"/>
      <c r="L89" s="2080"/>
      <c r="M89" s="2084">
        <f>J89</f>
        <v>0</v>
      </c>
      <c r="N89" s="2084">
        <f>N17/-1</f>
        <v>0</v>
      </c>
      <c r="O89" s="2084">
        <f>O17/-1</f>
        <v>0</v>
      </c>
      <c r="P89" s="2080"/>
      <c r="Q89" s="2080"/>
      <c r="R89" s="2080"/>
    </row>
    <row r="90" spans="2:18" s="2086" customFormat="1" ht="20.100000000000001" customHeight="1" x14ac:dyDescent="0.3">
      <c r="B90" s="2081" t="s">
        <v>291</v>
      </c>
      <c r="C90" s="2088" t="s">
        <v>554</v>
      </c>
      <c r="D90" s="2088"/>
      <c r="E90" s="2088"/>
      <c r="F90" s="2089" t="s">
        <v>589</v>
      </c>
      <c r="G90" s="2089"/>
      <c r="H90" s="2090"/>
      <c r="I90" s="2091"/>
      <c r="J90" s="2092">
        <f>SUM(J83:J89)</f>
        <v>0</v>
      </c>
      <c r="K90" s="2091"/>
      <c r="L90" s="2080"/>
      <c r="M90" s="2092">
        <f>SUM(M84:M89)</f>
        <v>0</v>
      </c>
      <c r="N90" s="2092">
        <f>M90+SUM(N84:N89)</f>
        <v>0</v>
      </c>
      <c r="O90" s="2092">
        <f>N90+SUM(O84:O89)</f>
        <v>0</v>
      </c>
      <c r="P90" s="2080"/>
      <c r="Q90" s="2080"/>
      <c r="R90" s="2080"/>
    </row>
    <row r="91" spans="2:18" s="2086" customFormat="1" ht="20.100000000000001" customHeight="1" x14ac:dyDescent="0.3">
      <c r="B91" s="2080"/>
      <c r="C91" s="2088" t="s">
        <v>553</v>
      </c>
      <c r="D91" s="2088"/>
      <c r="E91" s="2088"/>
      <c r="F91" s="2082" t="s">
        <v>582</v>
      </c>
      <c r="G91" s="2082"/>
      <c r="H91" s="2082"/>
      <c r="I91" s="2083"/>
      <c r="J91" s="2084">
        <f>SUMIF($C$53:$C$59,"="&amp;F91,$J$53:$J$59)</f>
        <v>0</v>
      </c>
      <c r="K91" s="2085" t="str">
        <f>IF(J91=0," ",J91/J63)</f>
        <v xml:space="preserve"> </v>
      </c>
      <c r="L91" s="2080"/>
      <c r="M91" s="2084">
        <f t="shared" ref="M91:M96" si="9">J91</f>
        <v>0</v>
      </c>
      <c r="N91" s="2084">
        <f>SUMIF($C$53:$C$59,"="&amp;F91,$N$53:$N$59)</f>
        <v>0</v>
      </c>
      <c r="O91" s="2084">
        <f>SUMIF($C$53:$C$59,"="&amp;F91,$O$53:$O$59)</f>
        <v>0</v>
      </c>
      <c r="P91" s="2080"/>
      <c r="Q91" s="2080"/>
      <c r="R91" s="2080"/>
    </row>
    <row r="92" spans="2:18" s="2086" customFormat="1" ht="20.100000000000001" customHeight="1" x14ac:dyDescent="0.3">
      <c r="B92" s="2081" t="s">
        <v>581</v>
      </c>
      <c r="C92" s="2080"/>
      <c r="D92" s="2080"/>
      <c r="E92" s="2080"/>
      <c r="F92" s="2082" t="s">
        <v>580</v>
      </c>
      <c r="G92" s="2082"/>
      <c r="H92" s="2082"/>
      <c r="I92" s="2083"/>
      <c r="J92" s="2084">
        <f>SUMIF($C$53:$C$59,"="&amp;F92,$J$53:$J$59)</f>
        <v>0</v>
      </c>
      <c r="K92" s="2085" t="str">
        <f>IF(J92=0," ",J92/J63)</f>
        <v xml:space="preserve"> </v>
      </c>
      <c r="L92" s="2080"/>
      <c r="M92" s="2084">
        <f t="shared" si="9"/>
        <v>0</v>
      </c>
      <c r="N92" s="2084">
        <f>SUMIF($C$53:$C$59,"="&amp;F92,$N$53:$N$59)</f>
        <v>0</v>
      </c>
      <c r="O92" s="2084">
        <f>SUMIF($C$53:$C$59,"="&amp;F92,$O$53:$O$59)</f>
        <v>0</v>
      </c>
      <c r="P92" s="2080"/>
      <c r="Q92" s="2080"/>
      <c r="R92" s="2080"/>
    </row>
    <row r="93" spans="2:18" s="2086" customFormat="1" ht="20.100000000000001" customHeight="1" x14ac:dyDescent="0.3">
      <c r="B93" s="2081" t="s">
        <v>582</v>
      </c>
      <c r="C93" s="2088" t="s">
        <v>555</v>
      </c>
      <c r="D93" s="2088"/>
      <c r="E93" s="2088"/>
      <c r="F93" s="2081" t="s">
        <v>905</v>
      </c>
      <c r="G93" s="2082"/>
      <c r="H93" s="2082"/>
      <c r="I93" s="2083"/>
      <c r="J93" s="2084">
        <f>SUMIF($C$53:$C$59,"="&amp;F93,$J$53:$J$59)</f>
        <v>0</v>
      </c>
      <c r="K93" s="2085"/>
      <c r="L93" s="2080"/>
      <c r="M93" s="2084">
        <f t="shared" si="9"/>
        <v>0</v>
      </c>
      <c r="N93" s="2084">
        <f>SUMIF($C$53:$C$59,"="&amp;F93,$N$53:$N$59)</f>
        <v>0</v>
      </c>
      <c r="O93" s="2084">
        <f>SUMIF($C$53:$C$59,"="&amp;F93,$O$53:$O$59)</f>
        <v>0</v>
      </c>
      <c r="P93" s="2080"/>
      <c r="Q93" s="2080"/>
      <c r="R93" s="2080"/>
    </row>
    <row r="94" spans="2:18" s="2086" customFormat="1" ht="20.100000000000001" customHeight="1" x14ac:dyDescent="0.3">
      <c r="B94" s="2081" t="s">
        <v>905</v>
      </c>
      <c r="C94" s="2088" t="s">
        <v>556</v>
      </c>
      <c r="D94" s="2088"/>
      <c r="E94" s="2088"/>
      <c r="F94" s="2082" t="s">
        <v>584</v>
      </c>
      <c r="G94" s="2082"/>
      <c r="H94" s="2082"/>
      <c r="I94" s="2083"/>
      <c r="J94" s="2084">
        <f>SUMIF($C$53:$C$59,"="&amp;F94,$J$53:$J$59)</f>
        <v>0</v>
      </c>
      <c r="K94" s="2085" t="str">
        <f>IF(J94=0," ",J94/J63)</f>
        <v xml:space="preserve"> </v>
      </c>
      <c r="L94" s="2080"/>
      <c r="M94" s="2084">
        <f t="shared" si="9"/>
        <v>0</v>
      </c>
      <c r="N94" s="2084">
        <f>SUMIF($C$53:$C$59,"="&amp;F94,$N$53:$N$59)</f>
        <v>0</v>
      </c>
      <c r="O94" s="2084">
        <f>SUMIF($C$53:$C$59,"="&amp;F94,$O$53:$O$59)</f>
        <v>0</v>
      </c>
      <c r="P94" s="2080"/>
      <c r="Q94" s="2080"/>
      <c r="R94" s="2080"/>
    </row>
    <row r="95" spans="2:18" s="2086" customFormat="1" ht="20.100000000000001" customHeight="1" x14ac:dyDescent="0.3">
      <c r="B95" s="2081" t="s">
        <v>584</v>
      </c>
      <c r="C95" s="2088" t="s">
        <v>557</v>
      </c>
      <c r="D95" s="2088"/>
      <c r="E95" s="2088"/>
      <c r="F95" s="2082" t="s">
        <v>583</v>
      </c>
      <c r="G95" s="2082"/>
      <c r="H95" s="2082"/>
      <c r="I95" s="2083"/>
      <c r="J95" s="2084">
        <f>SUMIF($C$53:$C$59,"="&amp;F95,$J$53:$J$59)</f>
        <v>0</v>
      </c>
      <c r="K95" s="2085" t="str">
        <f>IF(J95=0," ",J95/J63)</f>
        <v xml:space="preserve"> </v>
      </c>
      <c r="L95" s="2080"/>
      <c r="M95" s="2084">
        <f t="shared" si="9"/>
        <v>0</v>
      </c>
      <c r="N95" s="2084">
        <f>SUMIF($C$53:$C$59,"="&amp;F95,$N$53:$N$59)</f>
        <v>0</v>
      </c>
      <c r="O95" s="2084">
        <f>SUMIF($C$53:$C$59,"="&amp;F95,$O$53:$O$59)</f>
        <v>0</v>
      </c>
      <c r="P95" s="2080"/>
      <c r="R95" s="2080"/>
    </row>
    <row r="96" spans="2:18" s="2086" customFormat="1" ht="20.100000000000001" customHeight="1" x14ac:dyDescent="0.3">
      <c r="B96" s="2081" t="s">
        <v>291</v>
      </c>
      <c r="C96" s="2088" t="s">
        <v>558</v>
      </c>
      <c r="D96" s="2088"/>
      <c r="E96" s="2088"/>
      <c r="F96" s="2082" t="s">
        <v>613</v>
      </c>
      <c r="G96" s="2082"/>
      <c r="H96" s="2082"/>
      <c r="I96" s="2083"/>
      <c r="J96" s="2084">
        <f>SUM(J91:J95)</f>
        <v>0</v>
      </c>
      <c r="K96" s="2085"/>
      <c r="L96" s="2080"/>
      <c r="M96" s="2084">
        <f t="shared" si="9"/>
        <v>0</v>
      </c>
      <c r="N96" s="2084">
        <f>SUM(N91:N95)</f>
        <v>0</v>
      </c>
      <c r="O96" s="2084">
        <f>SUM(O91:O95)</f>
        <v>0</v>
      </c>
      <c r="P96" s="2087"/>
      <c r="Q96" s="2080"/>
      <c r="R96" s="2087">
        <f>M96+N96+O96</f>
        <v>0</v>
      </c>
    </row>
    <row r="97" spans="2:26" s="2086" customFormat="1" ht="20.100000000000001" customHeight="1" x14ac:dyDescent="0.3">
      <c r="B97" s="2080"/>
      <c r="C97" s="2088" t="s">
        <v>559</v>
      </c>
      <c r="D97" s="2088"/>
      <c r="E97" s="2088"/>
      <c r="F97" s="2082" t="s">
        <v>611</v>
      </c>
      <c r="G97" s="2082"/>
      <c r="H97" s="2082"/>
      <c r="I97" s="2083"/>
      <c r="J97" s="2084"/>
      <c r="K97" s="2085"/>
      <c r="L97" s="2080"/>
      <c r="M97" s="2084">
        <f>M16/-1</f>
        <v>0</v>
      </c>
      <c r="N97" s="2084">
        <f>N16/-1</f>
        <v>0</v>
      </c>
      <c r="O97" s="2084">
        <f>O16/-1</f>
        <v>0</v>
      </c>
      <c r="P97" s="2080"/>
      <c r="Q97" s="2080"/>
      <c r="R97" s="2080"/>
    </row>
    <row r="98" spans="2:26" s="2086" customFormat="1" ht="20.100000000000001" customHeight="1" x14ac:dyDescent="0.3">
      <c r="B98" s="2081" t="s">
        <v>1050</v>
      </c>
      <c r="C98" s="2088" t="s">
        <v>560</v>
      </c>
      <c r="D98" s="2088"/>
      <c r="E98" s="2088"/>
      <c r="F98" s="2081" t="s">
        <v>591</v>
      </c>
      <c r="G98" s="2081"/>
      <c r="H98" s="2087"/>
      <c r="I98" s="2093"/>
      <c r="J98" s="2094">
        <f>SUM(J96:J97)</f>
        <v>0</v>
      </c>
      <c r="K98" s="2093"/>
      <c r="L98" s="2080"/>
      <c r="M98" s="2094">
        <f>SUM(M96:M97)</f>
        <v>0</v>
      </c>
      <c r="N98" s="2094">
        <f>M98+SUM(N96:N97)</f>
        <v>0</v>
      </c>
      <c r="O98" s="2094">
        <f>N98+SUM(O96:O97)</f>
        <v>0</v>
      </c>
      <c r="P98" s="2080"/>
      <c r="Q98" s="2080"/>
      <c r="R98" s="2080"/>
    </row>
    <row r="99" spans="2:26" s="681" customFormat="1" ht="20.100000000000001" customHeight="1" x14ac:dyDescent="0.3">
      <c r="B99" s="2081" t="s">
        <v>1052</v>
      </c>
      <c r="C99" s="720"/>
      <c r="D99" s="720"/>
      <c r="E99" s="720"/>
      <c r="F99" s="2089" t="s">
        <v>592</v>
      </c>
      <c r="G99" s="2089"/>
      <c r="H99" s="2090"/>
      <c r="I99" s="2091"/>
      <c r="J99" s="2092">
        <f>J90+J98</f>
        <v>0</v>
      </c>
      <c r="K99" s="2091"/>
      <c r="L99" s="2095"/>
      <c r="M99" s="2092">
        <f>M90+M98</f>
        <v>0</v>
      </c>
      <c r="N99" s="2092">
        <f>N90+N98</f>
        <v>0</v>
      </c>
      <c r="O99" s="2092">
        <f>O90+O98</f>
        <v>0</v>
      </c>
      <c r="P99" s="720"/>
      <c r="Q99" s="2080"/>
      <c r="R99" s="2080"/>
      <c r="S99" s="2086"/>
    </row>
    <row r="100" spans="2:26" s="681" customFormat="1" ht="20.100000000000001" customHeight="1" x14ac:dyDescent="0.3">
      <c r="B100" s="2081" t="s">
        <v>1051</v>
      </c>
      <c r="C100" s="720"/>
      <c r="D100" s="720"/>
      <c r="E100" s="720"/>
      <c r="F100" s="2081" t="s">
        <v>531</v>
      </c>
      <c r="G100" s="2081"/>
      <c r="H100" s="2087"/>
      <c r="I100" s="2093"/>
      <c r="J100" s="2094">
        <f>J11</f>
        <v>0</v>
      </c>
      <c r="K100" s="2094" t="str">
        <f t="shared" ref="K100" si="10">K11</f>
        <v xml:space="preserve"> </v>
      </c>
      <c r="L100" s="2080"/>
      <c r="M100" s="2094">
        <f>M11</f>
        <v>0</v>
      </c>
      <c r="N100" s="2094">
        <f>N11</f>
        <v>0</v>
      </c>
      <c r="O100" s="2094">
        <f>O11</f>
        <v>0</v>
      </c>
      <c r="P100" s="720"/>
      <c r="Q100" s="2080"/>
      <c r="R100" s="2080"/>
      <c r="S100" s="2086"/>
    </row>
    <row r="101" spans="2:26" s="2097" customFormat="1" ht="20.100000000000001" customHeight="1" x14ac:dyDescent="0.3">
      <c r="B101" s="2096"/>
      <c r="C101" s="720"/>
      <c r="D101" s="720"/>
      <c r="E101" s="720"/>
      <c r="F101" s="2081" t="s">
        <v>744</v>
      </c>
      <c r="G101" s="2081"/>
      <c r="H101" s="2087"/>
      <c r="I101" s="2093"/>
      <c r="J101" s="2094"/>
      <c r="K101" s="2094"/>
      <c r="L101" s="2080"/>
      <c r="M101" s="2094">
        <f>-amort_1</f>
        <v>0</v>
      </c>
      <c r="N101" s="2094">
        <f>-amort_2</f>
        <v>0</v>
      </c>
      <c r="O101" s="2094">
        <f>-amort_3</f>
        <v>0</v>
      </c>
      <c r="P101" s="720"/>
      <c r="Q101" s="720"/>
      <c r="R101" s="2080"/>
      <c r="S101" s="681"/>
    </row>
    <row r="102" spans="2:26" s="2097" customFormat="1" ht="20.100000000000001" customHeight="1" x14ac:dyDescent="0.3">
      <c r="B102" s="2096"/>
      <c r="C102" s="720"/>
      <c r="D102" s="720"/>
      <c r="E102" s="720"/>
      <c r="F102" s="2089" t="s">
        <v>610</v>
      </c>
      <c r="G102" s="2089"/>
      <c r="H102" s="2090"/>
      <c r="I102" s="2091"/>
      <c r="J102" s="2092">
        <f>J99-J100</f>
        <v>0</v>
      </c>
      <c r="K102" s="2092"/>
      <c r="L102" s="720"/>
      <c r="M102" s="2092">
        <f>M99-M100-M101</f>
        <v>0</v>
      </c>
      <c r="N102" s="2092">
        <f>N99-M100-M101-N100-N101</f>
        <v>0</v>
      </c>
      <c r="O102" s="2092">
        <f>O99-M100-M101-N100-N101-O100-O101</f>
        <v>0</v>
      </c>
      <c r="P102" s="720"/>
      <c r="Q102" s="2098"/>
      <c r="R102" s="720"/>
    </row>
    <row r="103" spans="2:26" s="2097" customFormat="1" ht="20.100000000000001" customHeight="1" x14ac:dyDescent="0.25">
      <c r="B103" s="1005"/>
      <c r="C103" s="1005"/>
      <c r="D103" s="1005"/>
      <c r="E103" s="1005"/>
      <c r="F103" s="2082" t="s">
        <v>528</v>
      </c>
      <c r="G103" s="2082"/>
      <c r="H103" s="2082"/>
      <c r="I103" s="2083"/>
      <c r="J103" s="2084">
        <f>SUMIF($C$53:$C$59,"="&amp;F103,$J$53:$J$59)</f>
        <v>0</v>
      </c>
      <c r="K103" s="2085" t="str">
        <f>IF(J103=0," ",J103/J63)</f>
        <v xml:space="preserve"> </v>
      </c>
      <c r="L103" s="1005"/>
      <c r="M103" s="2084">
        <f>SUMIF($C$53:$C$59,"="&amp;F103,$M$53:$M$59)</f>
        <v>0</v>
      </c>
      <c r="N103" s="2084">
        <f>SUMIF($C$53:$C$59,"="&amp;F103,$N$53:$N$59)</f>
        <v>0</v>
      </c>
      <c r="O103" s="2084">
        <f>SUMIF($C$53:$C$59,"="&amp;F103,$O$53:$O$59)</f>
        <v>0</v>
      </c>
      <c r="P103" s="1005"/>
      <c r="Q103" s="2098"/>
      <c r="R103" s="2098"/>
    </row>
    <row r="104" spans="2:26" s="2100" customFormat="1" ht="20.100000000000001" customHeight="1" x14ac:dyDescent="0.25">
      <c r="B104" s="2099"/>
      <c r="C104" s="2099"/>
      <c r="D104" s="2099"/>
      <c r="E104" s="2099"/>
      <c r="F104" s="2089" t="s">
        <v>590</v>
      </c>
      <c r="G104" s="2089"/>
      <c r="H104" s="2090"/>
      <c r="I104" s="2091"/>
      <c r="J104" s="2092">
        <f>J98+J103</f>
        <v>0</v>
      </c>
      <c r="K104" s="2091"/>
      <c r="L104" s="1005"/>
      <c r="M104" s="2092">
        <f>M98+M103</f>
        <v>0</v>
      </c>
      <c r="N104" s="2092">
        <f>N98+N103</f>
        <v>0</v>
      </c>
      <c r="O104" s="2092">
        <f>O98+O103</f>
        <v>0</v>
      </c>
      <c r="P104" s="1005"/>
      <c r="Q104" s="2098"/>
      <c r="R104" s="2098"/>
      <c r="S104" s="2097"/>
    </row>
    <row r="105" spans="2:26" s="2100" customFormat="1" ht="20.100000000000001" customHeight="1" x14ac:dyDescent="0.25">
      <c r="B105" s="2099"/>
      <c r="C105" s="2099"/>
      <c r="D105" s="2099"/>
      <c r="E105" s="2099"/>
      <c r="F105" s="2081" t="s">
        <v>609</v>
      </c>
      <c r="G105" s="2087"/>
      <c r="H105" s="2087"/>
      <c r="I105" s="2093"/>
      <c r="J105" s="2094">
        <f>J99+J103</f>
        <v>0</v>
      </c>
      <c r="K105" s="2093"/>
      <c r="L105" s="1005"/>
      <c r="M105" s="2094">
        <f>M99+M103</f>
        <v>0</v>
      </c>
      <c r="N105" s="2094">
        <f>N99+N103</f>
        <v>0</v>
      </c>
      <c r="O105" s="2094">
        <f>O99+O103</f>
        <v>0</v>
      </c>
      <c r="P105" s="2099"/>
      <c r="Q105" s="2101"/>
      <c r="R105" s="2098"/>
    </row>
    <row r="106" spans="2:26" s="1004" customFormat="1" ht="20.100000000000001" customHeight="1" x14ac:dyDescent="0.25">
      <c r="B106" s="1003"/>
      <c r="C106" s="1003"/>
      <c r="D106" s="1003"/>
      <c r="E106" s="1003"/>
      <c r="F106" s="2102" t="s">
        <v>659</v>
      </c>
      <c r="G106" s="1006"/>
      <c r="H106" s="1006"/>
      <c r="I106" s="596"/>
      <c r="J106" s="2103"/>
      <c r="K106" s="596"/>
      <c r="L106" s="2104"/>
      <c r="M106" s="2103">
        <f>FR_1-M81</f>
        <v>0</v>
      </c>
      <c r="N106" s="2103">
        <f>FR_2-N81</f>
        <v>0</v>
      </c>
      <c r="O106" s="2103">
        <f>FR_3-O81</f>
        <v>0</v>
      </c>
      <c r="P106" s="2104"/>
      <c r="Q106" s="2101"/>
      <c r="R106" s="2101"/>
      <c r="S106" s="2100"/>
    </row>
    <row r="107" spans="2:26" s="1004" customFormat="1" ht="20.100000000000001" customHeight="1" x14ac:dyDescent="0.25">
      <c r="F107" s="2102" t="s">
        <v>734</v>
      </c>
      <c r="G107" s="1006"/>
      <c r="H107" s="1006"/>
      <c r="I107" s="2105"/>
      <c r="J107" s="2103"/>
      <c r="K107" s="2105"/>
      <c r="L107" s="2104"/>
      <c r="M107" s="2106" t="str">
        <f>IF((M106-TN_1)=0,"ok",M106-TN_1)</f>
        <v>ok</v>
      </c>
      <c r="N107" s="2106" t="str">
        <f>IF((N106-TN_2)=0,"ok",N106-TN_2)</f>
        <v>ok</v>
      </c>
      <c r="O107" s="2106" t="str">
        <f>IF((O106-TN_3)=0,"ok",O106-TN_3)</f>
        <v>ok</v>
      </c>
      <c r="P107" s="1003"/>
      <c r="R107" s="2101"/>
    </row>
    <row r="108" spans="2:26" s="1004" customFormat="1" ht="20.100000000000001" customHeight="1" x14ac:dyDescent="0.3">
      <c r="F108" s="720"/>
      <c r="G108" s="720"/>
      <c r="H108" s="720"/>
      <c r="I108" s="592"/>
      <c r="J108" s="1007"/>
      <c r="K108" s="592"/>
      <c r="L108" s="1003"/>
      <c r="M108" s="1008"/>
      <c r="N108" s="1005"/>
      <c r="O108" s="1006">
        <f>O106-TN_3</f>
        <v>0</v>
      </c>
      <c r="P108" s="1870"/>
      <c r="Q108" s="1870"/>
      <c r="R108" s="1870"/>
      <c r="S108" s="1870"/>
      <c r="T108" s="1870"/>
      <c r="U108" s="1870"/>
      <c r="V108" s="1870"/>
      <c r="W108" s="1870"/>
      <c r="X108" s="1870"/>
      <c r="Y108" s="1870"/>
      <c r="Z108" s="1870"/>
    </row>
    <row r="109" spans="2:26" x14ac:dyDescent="0.25">
      <c r="N109" s="366"/>
    </row>
    <row r="110" spans="2:26" x14ac:dyDescent="0.25">
      <c r="N110" s="366"/>
    </row>
    <row r="111" spans="2:26" x14ac:dyDescent="0.25">
      <c r="N111" s="366"/>
    </row>
    <row r="112" spans="2:26" x14ac:dyDescent="0.25">
      <c r="N112" s="366"/>
    </row>
    <row r="113" spans="14:14" x14ac:dyDescent="0.25">
      <c r="N113" s="366"/>
    </row>
    <row r="114" spans="14:14" x14ac:dyDescent="0.25">
      <c r="N114" s="366"/>
    </row>
    <row r="115" spans="14:14" x14ac:dyDescent="0.25">
      <c r="N115" s="366"/>
    </row>
    <row r="116" spans="14:14" x14ac:dyDescent="0.25">
      <c r="N116" s="366"/>
    </row>
    <row r="117" spans="14:14" x14ac:dyDescent="0.25">
      <c r="N117" s="366"/>
    </row>
    <row r="118" spans="14:14" x14ac:dyDescent="0.25">
      <c r="N118" s="366"/>
    </row>
    <row r="119" spans="14:14" x14ac:dyDescent="0.25">
      <c r="N119" s="366"/>
    </row>
    <row r="120" spans="14:14" x14ac:dyDescent="0.25">
      <c r="N120" s="366"/>
    </row>
    <row r="121" spans="14:14" x14ac:dyDescent="0.25">
      <c r="N121" s="366"/>
    </row>
    <row r="122" spans="14:14" x14ac:dyDescent="0.25">
      <c r="N122" s="366"/>
    </row>
    <row r="123" spans="14:14" x14ac:dyDescent="0.25">
      <c r="N123" s="366"/>
    </row>
    <row r="124" spans="14:14" x14ac:dyDescent="0.25">
      <c r="N124" s="366"/>
    </row>
    <row r="125" spans="14:14" x14ac:dyDescent="0.25">
      <c r="N125" s="366"/>
    </row>
    <row r="126" spans="14:14" x14ac:dyDescent="0.25">
      <c r="N126" s="366"/>
    </row>
    <row r="127" spans="14:14" x14ac:dyDescent="0.25">
      <c r="N127" s="366"/>
    </row>
    <row r="128" spans="14:14" x14ac:dyDescent="0.25">
      <c r="N128" s="366"/>
    </row>
    <row r="129" spans="14:14" x14ac:dyDescent="0.25">
      <c r="N129" s="366"/>
    </row>
    <row r="130" spans="14:14" x14ac:dyDescent="0.25">
      <c r="N130" s="366"/>
    </row>
    <row r="131" spans="14:14" x14ac:dyDescent="0.25">
      <c r="N131" s="366"/>
    </row>
    <row r="132" spans="14:14" x14ac:dyDescent="0.25">
      <c r="N132" s="366"/>
    </row>
    <row r="133" spans="14:14" x14ac:dyDescent="0.25">
      <c r="N133" s="366"/>
    </row>
    <row r="134" spans="14:14" x14ac:dyDescent="0.25">
      <c r="N134" s="366"/>
    </row>
    <row r="135" spans="14:14" x14ac:dyDescent="0.25">
      <c r="N135" s="366"/>
    </row>
    <row r="136" spans="14:14" x14ac:dyDescent="0.25">
      <c r="N136" s="366"/>
    </row>
    <row r="137" spans="14:14" x14ac:dyDescent="0.25">
      <c r="N137" s="366"/>
    </row>
    <row r="138" spans="14:14" x14ac:dyDescent="0.25">
      <c r="N138" s="366"/>
    </row>
    <row r="139" spans="14:14" x14ac:dyDescent="0.25">
      <c r="N139" s="366"/>
    </row>
    <row r="140" spans="14:14" x14ac:dyDescent="0.25">
      <c r="N140" s="366"/>
    </row>
    <row r="141" spans="14:14" x14ac:dyDescent="0.25">
      <c r="N141" s="366"/>
    </row>
    <row r="142" spans="14:14" x14ac:dyDescent="0.25">
      <c r="N142" s="366"/>
    </row>
    <row r="143" spans="14:14" x14ac:dyDescent="0.25">
      <c r="N143" s="366"/>
    </row>
    <row r="144" spans="14:14" x14ac:dyDescent="0.25">
      <c r="N144" s="366"/>
    </row>
    <row r="145" spans="14:14" x14ac:dyDescent="0.25">
      <c r="N145" s="366"/>
    </row>
    <row r="146" spans="14:14" x14ac:dyDescent="0.25">
      <c r="N146" s="366"/>
    </row>
    <row r="147" spans="14:14" x14ac:dyDescent="0.25">
      <c r="N147" s="366"/>
    </row>
    <row r="148" spans="14:14" x14ac:dyDescent="0.25">
      <c r="N148" s="366"/>
    </row>
    <row r="149" spans="14:14" x14ac:dyDescent="0.25">
      <c r="N149" s="366"/>
    </row>
    <row r="150" spans="14:14" x14ac:dyDescent="0.25">
      <c r="N150" s="366"/>
    </row>
    <row r="151" spans="14:14" x14ac:dyDescent="0.25">
      <c r="N151" s="366"/>
    </row>
    <row r="152" spans="14:14" x14ac:dyDescent="0.25">
      <c r="N152" s="366"/>
    </row>
    <row r="153" spans="14:14" x14ac:dyDescent="0.25">
      <c r="N153" s="366"/>
    </row>
    <row r="154" spans="14:14" x14ac:dyDescent="0.25">
      <c r="N154" s="366"/>
    </row>
    <row r="155" spans="14:14" x14ac:dyDescent="0.25">
      <c r="N155" s="366"/>
    </row>
    <row r="156" spans="14:14" x14ac:dyDescent="0.25">
      <c r="N156" s="366"/>
    </row>
    <row r="157" spans="14:14" x14ac:dyDescent="0.25">
      <c r="N157" s="366"/>
    </row>
    <row r="158" spans="14:14" x14ac:dyDescent="0.25">
      <c r="N158" s="366"/>
    </row>
    <row r="159" spans="14:14" x14ac:dyDescent="0.25">
      <c r="N159" s="366"/>
    </row>
    <row r="160" spans="14:14" x14ac:dyDescent="0.25">
      <c r="N160" s="366"/>
    </row>
    <row r="161" spans="14:14" x14ac:dyDescent="0.25">
      <c r="N161" s="366"/>
    </row>
    <row r="162" spans="14:14" x14ac:dyDescent="0.25">
      <c r="N162" s="366"/>
    </row>
    <row r="163" spans="14:14" x14ac:dyDescent="0.25">
      <c r="N163" s="366"/>
    </row>
    <row r="164" spans="14:14" x14ac:dyDescent="0.25">
      <c r="N164" s="366"/>
    </row>
    <row r="165" spans="14:14" x14ac:dyDescent="0.25">
      <c r="N165" s="366"/>
    </row>
    <row r="166" spans="14:14" x14ac:dyDescent="0.25">
      <c r="N166" s="366"/>
    </row>
    <row r="167" spans="14:14" x14ac:dyDescent="0.25">
      <c r="N167" s="366"/>
    </row>
    <row r="168" spans="14:14" x14ac:dyDescent="0.25">
      <c r="N168" s="366"/>
    </row>
    <row r="169" spans="14:14" x14ac:dyDescent="0.25">
      <c r="N169" s="366"/>
    </row>
    <row r="170" spans="14:14" x14ac:dyDescent="0.25">
      <c r="N170" s="366"/>
    </row>
    <row r="171" spans="14:14" x14ac:dyDescent="0.25">
      <c r="N171" s="366"/>
    </row>
    <row r="172" spans="14:14" x14ac:dyDescent="0.25">
      <c r="N172" s="366"/>
    </row>
  </sheetData>
  <sheetProtection algorithmName="SHA-512" hashValue="aOyKEP9XcO6US8fMAUKBEg/nf9rMkhberpn0bhB+mcN3DBomkVw7W35ZnVUiVJDOtTMTR5xwKzJwoTOzIKUSWg==" saltValue="X/KIBNaaixaRXW6YTDu7SQ==" spinCount="100000" sheet="1" formatCells="0" formatColumns="0" formatRows="0" insertColumns="0" insertRows="0" insertHyperlinks="0" deleteColumns="0" deleteRows="0" sort="0" autoFilter="0" pivotTables="0"/>
  <dataConsolidate/>
  <mergeCells count="106">
    <mergeCell ref="Q12:R13"/>
    <mergeCell ref="Q21:R21"/>
    <mergeCell ref="Q36:R36"/>
    <mergeCell ref="Q51:R51"/>
    <mergeCell ref="F19:H19"/>
    <mergeCell ref="F46:H46"/>
    <mergeCell ref="F44:H44"/>
    <mergeCell ref="F63:H63"/>
    <mergeCell ref="M34:O34"/>
    <mergeCell ref="Q27:R28"/>
    <mergeCell ref="F65:H65"/>
    <mergeCell ref="Q5:R6"/>
    <mergeCell ref="N3:O3"/>
    <mergeCell ref="J3:M3"/>
    <mergeCell ref="B2:C2"/>
    <mergeCell ref="D2:O2"/>
    <mergeCell ref="K49:N49"/>
    <mergeCell ref="B49:F49"/>
    <mergeCell ref="G49:J49"/>
    <mergeCell ref="C42:E42"/>
    <mergeCell ref="C38:F38"/>
    <mergeCell ref="B41:F41"/>
    <mergeCell ref="M5:O5"/>
    <mergeCell ref="B12:E13"/>
    <mergeCell ref="F12:H12"/>
    <mergeCell ref="J12:J13"/>
    <mergeCell ref="K12:K13"/>
    <mergeCell ref="J6:K6"/>
    <mergeCell ref="G13:H13"/>
    <mergeCell ref="B8:H8"/>
    <mergeCell ref="J5:K5"/>
    <mergeCell ref="J14:K17"/>
    <mergeCell ref="J25:K26"/>
    <mergeCell ref="J33:K33"/>
    <mergeCell ref="N74:O74"/>
    <mergeCell ref="N75:O75"/>
    <mergeCell ref="N76:O76"/>
    <mergeCell ref="I74:J74"/>
    <mergeCell ref="I75:J75"/>
    <mergeCell ref="I76:J76"/>
    <mergeCell ref="I73:J73"/>
    <mergeCell ref="B5:F6"/>
    <mergeCell ref="B10:E11"/>
    <mergeCell ref="B36:F37"/>
    <mergeCell ref="G36:H36"/>
    <mergeCell ref="F10:G10"/>
    <mergeCell ref="F11:G11"/>
    <mergeCell ref="B34:F34"/>
    <mergeCell ref="H34:K34"/>
    <mergeCell ref="B27:G28"/>
    <mergeCell ref="H27:H28"/>
    <mergeCell ref="J27:J28"/>
    <mergeCell ref="K27:K28"/>
    <mergeCell ref="J36:K36"/>
    <mergeCell ref="J21:K21"/>
    <mergeCell ref="N42:O42"/>
    <mergeCell ref="J47:K47"/>
    <mergeCell ref="B16:H16"/>
    <mergeCell ref="F69:H69"/>
    <mergeCell ref="P78:Q78"/>
    <mergeCell ref="B74:D74"/>
    <mergeCell ref="B75:D75"/>
    <mergeCell ref="B76:D76"/>
    <mergeCell ref="N78:O78"/>
    <mergeCell ref="J67:K67"/>
    <mergeCell ref="C54:E54"/>
    <mergeCell ref="F51:G51"/>
    <mergeCell ref="C51:E52"/>
    <mergeCell ref="C55:E55"/>
    <mergeCell ref="C56:E56"/>
    <mergeCell ref="J51:K51"/>
    <mergeCell ref="B73:D73"/>
    <mergeCell ref="K72:O72"/>
    <mergeCell ref="B66:C68"/>
    <mergeCell ref="B72:F72"/>
    <mergeCell ref="G72:J72"/>
    <mergeCell ref="E67:H67"/>
    <mergeCell ref="C57:E57"/>
    <mergeCell ref="N73:O73"/>
    <mergeCell ref="N59:O59"/>
    <mergeCell ref="C59:E59"/>
    <mergeCell ref="F61:H61"/>
    <mergeCell ref="F82:H82"/>
    <mergeCell ref="F81:H81"/>
    <mergeCell ref="G76:H76"/>
    <mergeCell ref="E73:F73"/>
    <mergeCell ref="G74:H74"/>
    <mergeCell ref="G75:H75"/>
    <mergeCell ref="E74:F74"/>
    <mergeCell ref="G73:H73"/>
    <mergeCell ref="E75:F75"/>
    <mergeCell ref="E76:F76"/>
    <mergeCell ref="B14:E14"/>
    <mergeCell ref="B17:H17"/>
    <mergeCell ref="B23:H23"/>
    <mergeCell ref="F14:H14"/>
    <mergeCell ref="B40:F40"/>
    <mergeCell ref="C39:F39"/>
    <mergeCell ref="B51:B52"/>
    <mergeCell ref="C53:E53"/>
    <mergeCell ref="C58:E58"/>
    <mergeCell ref="B25:C25"/>
    <mergeCell ref="D25:H25"/>
    <mergeCell ref="B26:H26"/>
    <mergeCell ref="F32:H32"/>
    <mergeCell ref="B15:H15"/>
  </mergeCells>
  <phoneticPr fontId="0" type="noConversion"/>
  <conditionalFormatting sqref="J47:K47">
    <cfRule type="expression" dxfId="622" priority="479" stopIfTrue="1">
      <formula>$J46&lt;0</formula>
    </cfRule>
    <cfRule type="expression" dxfId="621" priority="480" stopIfTrue="1">
      <formula>$J$46&gt;0</formula>
    </cfRule>
  </conditionalFormatting>
  <conditionalFormatting sqref="I74:I76">
    <cfRule type="cellIs" dxfId="620" priority="322" stopIfTrue="1" operator="equal">
      <formula>"non"</formula>
    </cfRule>
  </conditionalFormatting>
  <conditionalFormatting sqref="H53:I54 H57:I59">
    <cfRule type="cellIs" dxfId="619" priority="474" stopIfTrue="1" operator="equal">
      <formula>"en cours"</formula>
    </cfRule>
  </conditionalFormatting>
  <conditionalFormatting sqref="I42">
    <cfRule type="cellIs" dxfId="618" priority="340" stopIfTrue="1" operator="greaterThan">
      <formula>0.35</formula>
    </cfRule>
  </conditionalFormatting>
  <conditionalFormatting sqref="K42">
    <cfRule type="cellIs" dxfId="617" priority="477" stopIfTrue="1" operator="greaterThan">
      <formula>0.4</formula>
    </cfRule>
  </conditionalFormatting>
  <conditionalFormatting sqref="J103 M103:O103">
    <cfRule type="cellIs" dxfId="616" priority="275" stopIfTrue="1" operator="equal">
      <formula>0</formula>
    </cfRule>
  </conditionalFormatting>
  <conditionalFormatting sqref="M16:O17">
    <cfRule type="cellIs" dxfId="615" priority="265" stopIfTrue="1" operator="greaterThan">
      <formula>0</formula>
    </cfRule>
  </conditionalFormatting>
  <conditionalFormatting sqref="J33:K33">
    <cfRule type="expression" dxfId="614" priority="230" stopIfTrue="1">
      <formula>J32&lt;0</formula>
    </cfRule>
    <cfRule type="expression" dxfId="613" priority="231" stopIfTrue="1">
      <formula>J32&gt;0</formula>
    </cfRule>
  </conditionalFormatting>
  <conditionalFormatting sqref="F42">
    <cfRule type="cellIs" dxfId="612" priority="169" operator="equal">
      <formula>0</formula>
    </cfRule>
    <cfRule type="cellIs" dxfId="611" priority="171" operator="greaterThan">
      <formula>0</formula>
    </cfRule>
  </conditionalFormatting>
  <conditionalFormatting sqref="C42:D42">
    <cfRule type="expression" dxfId="610" priority="170">
      <formula>$F$42&gt;0</formula>
    </cfRule>
  </conditionalFormatting>
  <conditionalFormatting sqref="M42">
    <cfRule type="expression" dxfId="609" priority="734" stopIfTrue="1">
      <formula>$K$42&gt;0.4</formula>
    </cfRule>
  </conditionalFormatting>
  <conditionalFormatting sqref="J42">
    <cfRule type="expression" dxfId="608" priority="735" stopIfTrue="1">
      <formula>$K$42&gt;0.4</formula>
    </cfRule>
  </conditionalFormatting>
  <conditionalFormatting sqref="J67:K67">
    <cfRule type="expression" dxfId="607" priority="43">
      <formula>$J$19=0</formula>
    </cfRule>
    <cfRule type="expression" dxfId="606" priority="165" stopIfTrue="1">
      <formula>$J$65&lt;=0</formula>
    </cfRule>
    <cfRule type="expression" dxfId="605" priority="166" stopIfTrue="1">
      <formula>$J$65&gt;0</formula>
    </cfRule>
  </conditionalFormatting>
  <conditionalFormatting sqref="M67">
    <cfRule type="expression" dxfId="604" priority="163" stopIfTrue="1">
      <formula>M65&lt;0</formula>
    </cfRule>
    <cfRule type="expression" dxfId="603" priority="164" stopIfTrue="1">
      <formula>M65&gt;0</formula>
    </cfRule>
  </conditionalFormatting>
  <conditionalFormatting sqref="M69">
    <cfRule type="cellIs" dxfId="602" priority="158" stopIfTrue="1" operator="lessThan">
      <formula>0</formula>
    </cfRule>
  </conditionalFormatting>
  <conditionalFormatting sqref="J32 J46 J65">
    <cfRule type="cellIs" dxfId="601" priority="134" operator="lessThanOrEqual">
      <formula>0</formula>
    </cfRule>
  </conditionalFormatting>
  <conditionalFormatting sqref="N27">
    <cfRule type="cellIs" dxfId="600" priority="122" stopIfTrue="1" operator="greaterThan">
      <formula>$K$27</formula>
    </cfRule>
  </conditionalFormatting>
  <conditionalFormatting sqref="O27">
    <cfRule type="cellIs" dxfId="599" priority="120" stopIfTrue="1" operator="greaterThan">
      <formula>$K$27</formula>
    </cfRule>
  </conditionalFormatting>
  <conditionalFormatting sqref="K32">
    <cfRule type="expression" dxfId="598" priority="116">
      <formula>J32&lt;=0</formula>
    </cfRule>
  </conditionalFormatting>
  <conditionalFormatting sqref="N69">
    <cfRule type="cellIs" dxfId="597" priority="102" stopIfTrue="1" operator="lessThan">
      <formula>0</formula>
    </cfRule>
  </conditionalFormatting>
  <conditionalFormatting sqref="O69">
    <cfRule type="cellIs" dxfId="596" priority="101" stopIfTrue="1" operator="lessThan">
      <formula>0</formula>
    </cfRule>
  </conditionalFormatting>
  <conditionalFormatting sqref="C65:D65">
    <cfRule type="cellIs" dxfId="595" priority="97" operator="greaterThan">
      <formula>0</formula>
    </cfRule>
  </conditionalFormatting>
  <conditionalFormatting sqref="B65:B66">
    <cfRule type="expression" dxfId="594" priority="96">
      <formula>$C$65&gt;0</formula>
    </cfRule>
  </conditionalFormatting>
  <conditionalFormatting sqref="C61:D63 M14:O15 M25:O26 M58">
    <cfRule type="cellIs" dxfId="593" priority="94" operator="equal">
      <formula>0</formula>
    </cfRule>
  </conditionalFormatting>
  <conditionalFormatting sqref="M30">
    <cfRule type="cellIs" dxfId="592" priority="91" stopIfTrue="1" operator="equal">
      <formula>"J"</formula>
    </cfRule>
    <cfRule type="cellIs" dxfId="591" priority="92" stopIfTrue="1" operator="equal">
      <formula>"L"</formula>
    </cfRule>
    <cfRule type="cellIs" dxfId="590" priority="93" stopIfTrue="1" operator="equal">
      <formula>"K"</formula>
    </cfRule>
  </conditionalFormatting>
  <conditionalFormatting sqref="O30">
    <cfRule type="cellIs" dxfId="589" priority="83" stopIfTrue="1" operator="equal">
      <formula>"J"</formula>
    </cfRule>
    <cfRule type="cellIs" dxfId="588" priority="84" stopIfTrue="1" operator="equal">
      <formula>"L"</formula>
    </cfRule>
    <cfRule type="cellIs" dxfId="587" priority="85" stopIfTrue="1" operator="equal">
      <formula>"K"</formula>
    </cfRule>
  </conditionalFormatting>
  <conditionalFormatting sqref="M10:O10 J10:J12">
    <cfRule type="cellIs" dxfId="586" priority="79" operator="equal">
      <formula>0</formula>
    </cfRule>
  </conditionalFormatting>
  <conditionalFormatting sqref="J58 M53:M54 M57">
    <cfRule type="cellIs" dxfId="585" priority="77" operator="equal">
      <formula>0</formula>
    </cfRule>
  </conditionalFormatting>
  <conditionalFormatting sqref="M59">
    <cfRule type="cellIs" dxfId="584" priority="76" operator="equal">
      <formula>0</formula>
    </cfRule>
  </conditionalFormatting>
  <conditionalFormatting sqref="J44 N44:O44 M61:O61">
    <cfRule type="cellIs" dxfId="583" priority="75" operator="equal">
      <formula>0</formula>
    </cfRule>
  </conditionalFormatting>
  <conditionalFormatting sqref="J61">
    <cfRule type="cellIs" dxfId="582" priority="74" operator="equal">
      <formula>0</formula>
    </cfRule>
  </conditionalFormatting>
  <conditionalFormatting sqref="N67">
    <cfRule type="expression" dxfId="581" priority="64" stopIfTrue="1">
      <formula>N65&lt;0</formula>
    </cfRule>
    <cfRule type="expression" dxfId="580" priority="65" stopIfTrue="1">
      <formula>N65&gt;0</formula>
    </cfRule>
  </conditionalFormatting>
  <conditionalFormatting sqref="O67">
    <cfRule type="expression" dxfId="579" priority="62" stopIfTrue="1">
      <formula>O65&lt;0</formula>
    </cfRule>
    <cfRule type="expression" dxfId="578" priority="63" stopIfTrue="1">
      <formula>O65&gt;0</formula>
    </cfRule>
  </conditionalFormatting>
  <conditionalFormatting sqref="M33">
    <cfRule type="expression" dxfId="577" priority="60" stopIfTrue="1">
      <formula>M32&lt;0</formula>
    </cfRule>
    <cfRule type="expression" dxfId="576" priority="61" stopIfTrue="1">
      <formula>M32&gt;0</formula>
    </cfRule>
  </conditionalFormatting>
  <conditionalFormatting sqref="N33">
    <cfRule type="expression" dxfId="575" priority="58" stopIfTrue="1">
      <formula>N32&lt;0</formula>
    </cfRule>
    <cfRule type="expression" dxfId="574" priority="59" stopIfTrue="1">
      <formula>N32&gt;0</formula>
    </cfRule>
  </conditionalFormatting>
  <conditionalFormatting sqref="O47">
    <cfRule type="expression" dxfId="573" priority="50" stopIfTrue="1">
      <formula>O46&lt;0</formula>
    </cfRule>
    <cfRule type="expression" dxfId="572" priority="51" stopIfTrue="1">
      <formula>O46&gt;0</formula>
    </cfRule>
  </conditionalFormatting>
  <conditionalFormatting sqref="O33">
    <cfRule type="expression" dxfId="571" priority="56" stopIfTrue="1">
      <formula>O32&lt;0</formula>
    </cfRule>
    <cfRule type="expression" dxfId="570" priority="57" stopIfTrue="1">
      <formula>O32&gt;0</formula>
    </cfRule>
  </conditionalFormatting>
  <conditionalFormatting sqref="M47">
    <cfRule type="expression" dxfId="569" priority="54" stopIfTrue="1">
      <formula>M46&lt;0</formula>
    </cfRule>
    <cfRule type="expression" dxfId="568" priority="55" stopIfTrue="1">
      <formula>M46&gt;0</formula>
    </cfRule>
  </conditionalFormatting>
  <conditionalFormatting sqref="N47">
    <cfRule type="expression" dxfId="567" priority="52" stopIfTrue="1">
      <formula>N46&lt;0</formula>
    </cfRule>
    <cfRule type="expression" dxfId="566" priority="53" stopIfTrue="1">
      <formula>N46&gt;0</formula>
    </cfRule>
  </conditionalFormatting>
  <conditionalFormatting sqref="N78:O78">
    <cfRule type="expression" dxfId="565" priority="49">
      <formula>$M$78&lt;($M$69/-1)</formula>
    </cfRule>
  </conditionalFormatting>
  <conditionalFormatting sqref="M71:O71">
    <cfRule type="cellIs" dxfId="564" priority="45" stopIfTrue="1" operator="lessThan">
      <formula>0</formula>
    </cfRule>
  </conditionalFormatting>
  <conditionalFormatting sqref="N58:O58">
    <cfRule type="cellIs" dxfId="563" priority="44" operator="equal">
      <formula>0</formula>
    </cfRule>
  </conditionalFormatting>
  <conditionalFormatting sqref="P78:Q78">
    <cfRule type="expression" dxfId="562" priority="42">
      <formula>$M$78&lt;($M$69/-1)</formula>
    </cfRule>
  </conditionalFormatting>
  <conditionalFormatting sqref="M32">
    <cfRule type="cellIs" dxfId="561" priority="41" operator="lessThanOrEqual">
      <formula>0</formula>
    </cfRule>
  </conditionalFormatting>
  <conditionalFormatting sqref="O28">
    <cfRule type="expression" dxfId="560" priority="890">
      <formula>O27&gt;$K$27</formula>
    </cfRule>
  </conditionalFormatting>
  <conditionalFormatting sqref="N28">
    <cfRule type="expression" dxfId="559" priority="40">
      <formula>N27&gt;$K$27</formula>
    </cfRule>
  </conditionalFormatting>
  <conditionalFormatting sqref="M27">
    <cfRule type="cellIs" dxfId="558" priority="39" stopIfTrue="1" operator="greaterThan">
      <formula>$K$27</formula>
    </cfRule>
  </conditionalFormatting>
  <conditionalFormatting sqref="M28">
    <cfRule type="expression" dxfId="557" priority="38">
      <formula>M27&gt;$K$27</formula>
    </cfRule>
  </conditionalFormatting>
  <conditionalFormatting sqref="N30">
    <cfRule type="cellIs" dxfId="556" priority="35" stopIfTrue="1" operator="equal">
      <formula>"J"</formula>
    </cfRule>
    <cfRule type="cellIs" dxfId="555" priority="36" stopIfTrue="1" operator="equal">
      <formula>"L"</formula>
    </cfRule>
    <cfRule type="cellIs" dxfId="554" priority="37" stopIfTrue="1" operator="equal">
      <formula>"K"</formula>
    </cfRule>
  </conditionalFormatting>
  <conditionalFormatting sqref="H55:I55">
    <cfRule type="cellIs" dxfId="553" priority="34" stopIfTrue="1" operator="equal">
      <formula>"en cours"</formula>
    </cfRule>
  </conditionalFormatting>
  <conditionalFormatting sqref="M55">
    <cfRule type="cellIs" dxfId="552" priority="33" operator="equal">
      <formula>0</formula>
    </cfRule>
  </conditionalFormatting>
  <conditionalFormatting sqref="H56:I56">
    <cfRule type="cellIs" dxfId="551" priority="32" stopIfTrue="1" operator="equal">
      <formula>"en cours"</formula>
    </cfRule>
  </conditionalFormatting>
  <conditionalFormatting sqref="M56">
    <cfRule type="cellIs" dxfId="550" priority="31" operator="equal">
      <formula>0</formula>
    </cfRule>
  </conditionalFormatting>
  <conditionalFormatting sqref="N32:O32">
    <cfRule type="cellIs" dxfId="549" priority="30" operator="lessThanOrEqual">
      <formula>0</formula>
    </cfRule>
  </conditionalFormatting>
  <conditionalFormatting sqref="M46">
    <cfRule type="cellIs" dxfId="548" priority="29" operator="lessThanOrEqual">
      <formula>0</formula>
    </cfRule>
  </conditionalFormatting>
  <conditionalFormatting sqref="N46">
    <cfRule type="cellIs" dxfId="547" priority="28" operator="lessThanOrEqual">
      <formula>0</formula>
    </cfRule>
  </conditionalFormatting>
  <conditionalFormatting sqref="O46">
    <cfRule type="cellIs" dxfId="546" priority="27" operator="lessThanOrEqual">
      <formula>0</formula>
    </cfRule>
  </conditionalFormatting>
  <conditionalFormatting sqref="M65">
    <cfRule type="cellIs" dxfId="545" priority="26" operator="lessThanOrEqual">
      <formula>0</formula>
    </cfRule>
  </conditionalFormatting>
  <conditionalFormatting sqref="N65">
    <cfRule type="cellIs" dxfId="544" priority="25" operator="lessThanOrEqual">
      <formula>0</formula>
    </cfRule>
  </conditionalFormatting>
  <conditionalFormatting sqref="O65">
    <cfRule type="cellIs" dxfId="543" priority="24" operator="lessThanOrEqual">
      <formula>0</formula>
    </cfRule>
  </conditionalFormatting>
  <conditionalFormatting sqref="K46">
    <cfRule type="expression" dxfId="542" priority="23">
      <formula>J46&lt;=0</formula>
    </cfRule>
  </conditionalFormatting>
  <conditionalFormatting sqref="K65">
    <cfRule type="expression" dxfId="541" priority="22">
      <formula>J65&lt;=0</formula>
    </cfRule>
  </conditionalFormatting>
  <conditionalFormatting sqref="M38:M41 J38:J41">
    <cfRule type="cellIs" dxfId="540" priority="21" operator="equal">
      <formula>0</formula>
    </cfRule>
  </conditionalFormatting>
  <conditionalFormatting sqref="J42:K42 M42">
    <cfRule type="cellIs" dxfId="539" priority="20" operator="equal">
      <formula>0</formula>
    </cfRule>
  </conditionalFormatting>
  <conditionalFormatting sqref="M11:O11">
    <cfRule type="cellIs" dxfId="538" priority="19" operator="equal">
      <formula>0</formula>
    </cfRule>
  </conditionalFormatting>
  <conditionalFormatting sqref="Q14:Q17">
    <cfRule type="cellIs" dxfId="537" priority="17" operator="equal">
      <formula>0</formula>
    </cfRule>
  </conditionalFormatting>
  <conditionalFormatting sqref="Q10">
    <cfRule type="cellIs" dxfId="536" priority="16" operator="equal">
      <formula>0</formula>
    </cfRule>
  </conditionalFormatting>
  <conditionalFormatting sqref="Q11">
    <cfRule type="cellIs" dxfId="535" priority="15" operator="equal">
      <formula>0</formula>
    </cfRule>
  </conditionalFormatting>
  <conditionalFormatting sqref="Q25:Q26">
    <cfRule type="cellIs" dxfId="534" priority="12" operator="equal">
      <formula>0</formula>
    </cfRule>
  </conditionalFormatting>
  <conditionalFormatting sqref="Q58">
    <cfRule type="cellIs" dxfId="533" priority="10" operator="equal">
      <formula>0</formula>
    </cfRule>
  </conditionalFormatting>
  <conditionalFormatting sqref="Q42">
    <cfRule type="expression" dxfId="532" priority="9" stopIfTrue="1">
      <formula>$K$42&gt;0.4</formula>
    </cfRule>
  </conditionalFormatting>
  <conditionalFormatting sqref="Q42">
    <cfRule type="cellIs" dxfId="531" priority="8" operator="equal">
      <formula>0</formula>
    </cfRule>
  </conditionalFormatting>
  <conditionalFormatting sqref="Q44">
    <cfRule type="cellIs" dxfId="530" priority="7" operator="equal">
      <formula>0</formula>
    </cfRule>
  </conditionalFormatting>
  <conditionalFormatting sqref="Q38:Q41">
    <cfRule type="cellIs" dxfId="529" priority="5" operator="equal">
      <formula>0</formula>
    </cfRule>
  </conditionalFormatting>
  <conditionalFormatting sqref="Q53:Q57">
    <cfRule type="cellIs" dxfId="528" priority="4" operator="equal">
      <formula>0</formula>
    </cfRule>
  </conditionalFormatting>
  <conditionalFormatting sqref="Q59">
    <cfRule type="expression" dxfId="527" priority="3" stopIfTrue="1">
      <formula>$K$42&gt;0.4</formula>
    </cfRule>
  </conditionalFormatting>
  <conditionalFormatting sqref="Q59">
    <cfRule type="cellIs" dxfId="526" priority="2" operator="equal">
      <formula>0</formula>
    </cfRule>
  </conditionalFormatting>
  <conditionalFormatting sqref="Q61">
    <cfRule type="cellIs" dxfId="525" priority="1" operator="equal">
      <formula>0</formula>
    </cfRule>
  </conditionalFormatting>
  <dataValidations xWindow="537" yWindow="689" count="12">
    <dataValidation type="list" allowBlank="1" showInputMessage="1" showErrorMessage="1" sqref="I74:I76" xr:uid="{00000000-0002-0000-0800-000000000000}">
      <formula1>"oui, non"</formula1>
    </dataValidation>
    <dataValidation type="list" allowBlank="1" showInputMessage="1" showErrorMessage="1" sqref="E74:F76" xr:uid="{00000000-0002-0000-0800-000001000000}">
      <formula1>$C$82:$C$91</formula1>
    </dataValidation>
    <dataValidation type="list" allowBlank="1" showInputMessage="1" showErrorMessage="1" sqref="G74:H76" xr:uid="{00000000-0002-0000-0800-000002000000}">
      <formula1>$C$93:$C$98</formula1>
    </dataValidation>
    <dataValidation allowBlank="1" showInputMessage="1" showErrorMessage="1" sqref="F59:G59 O43 O41 M41 F54:G56 Q41" xr:uid="{00000000-0002-0000-0800-000003000000}"/>
    <dataValidation allowBlank="1" showInputMessage="1" showErrorMessage="1" promptTitle="Attention !" prompt="L'apport d'Herrikoa est limité à 40% du_x000a_montant total du capital." sqref="G42" xr:uid="{00000000-0002-0000-0800-000004000000}"/>
    <dataValidation allowBlank="1" showInputMessage="1" showErrorMessage="1" prompt="Ne retenir que les sommes rééllement versées." sqref="G41 G38:G39" xr:uid="{00000000-0002-0000-0800-000005000000}"/>
    <dataValidation allowBlank="1" showInputMessage="1" showErrorMessage="1" prompt="Joindre le rapport du commissaire aux apports" sqref="H38:H41" xr:uid="{00000000-0002-0000-0800-000006000000}"/>
    <dataValidation type="list" allowBlank="1" showInputMessage="1" showErrorMessage="1" sqref="H53:H59" xr:uid="{00000000-0002-0000-0800-000007000000}">
      <formula1>"oui, en cours"</formula1>
    </dataValidation>
    <dataValidation allowBlank="1" showInputMessage="1" showErrorMessage="1" prompt="CA = CA TTC" sqref="M71:O71 K69" xr:uid="{00000000-0002-0000-0800-000008000000}"/>
    <dataValidation type="list" allowBlank="1" showInputMessage="1" showErrorMessage="1" sqref="C53:D57" xr:uid="{00000000-0002-0000-0800-000009000000}">
      <formula1>$B$83:$B$90</formula1>
    </dataValidation>
    <dataValidation type="list" allowBlank="1" showInputMessage="1" showErrorMessage="1" sqref="C59:E59" xr:uid="{00000000-0002-0000-0800-00000A000000}">
      <formula1>$B$92:$B$96</formula1>
    </dataValidation>
    <dataValidation type="list" allowBlank="1" showInputMessage="1" showErrorMessage="1" sqref="N74:O76" xr:uid="{00000000-0002-0000-0800-00000B000000}">
      <formula1>$B$98:$B$100</formula1>
    </dataValidation>
  </dataValidations>
  <hyperlinks>
    <hyperlink ref="H10" location="'Moyens d''exploitation'!K56" display="voir détail" xr:uid="{00000000-0004-0000-0800-000000000000}"/>
    <hyperlink ref="G49" location="Comprendre!B118" display="en savoir + sur les comptes courants" xr:uid="{00000000-0004-0000-0800-000001000000}"/>
    <hyperlink ref="K49" location="Comprendre!B84" display="Pour en savoir plus sur les avances remboursables" xr:uid="{00000000-0004-0000-0800-000002000000}"/>
    <hyperlink ref="K72" location="Comprendre!A194" display="pour en savoir plus" xr:uid="{00000000-0004-0000-0800-000003000000}"/>
    <hyperlink ref="H34" location="Comprendre!B63" display="Pour en savoir plus sur les apports des associés" xr:uid="{00000000-0004-0000-0800-000004000000}"/>
    <hyperlink ref="H11" location="'Moyens d''exploitation'!K7" display="voir détail" xr:uid="{00000000-0004-0000-0800-000005000000}"/>
    <hyperlink ref="G49" location="Comprendre!B118" display="Pour en savoir plus sur les comptes courants" xr:uid="{00000000-0004-0000-0800-000006000000}"/>
    <hyperlink ref="Q49" location="'Simulation emprunt'!A1" display="Simulation emprunt" xr:uid="{00000000-0004-0000-0800-000007000000}"/>
    <hyperlink ref="F12" location="Comprendre!A207" display="sur le fonds de roulement" xr:uid="{00000000-0004-0000-0800-000008000000}"/>
    <hyperlink ref="N3" location="Comprendre!B283" display="+ sur le plan à 3ans" xr:uid="{00000000-0004-0000-0800-000009000000}"/>
    <hyperlink ref="F12:G12" location="Comprendre!B207" display="sur le fonds de roulement" xr:uid="{00000000-0004-0000-0800-00000A000000}"/>
    <hyperlink ref="Q49" location="'Simulation emprunt'!B2" display="Simulation emprunt" xr:uid="{00000000-0004-0000-0800-00000B000000}"/>
    <hyperlink ref="O49" location="Comprendre!B182" display="les emprunts" xr:uid="{00000000-0004-0000-0800-00000C000000}"/>
    <hyperlink ref="J3" location="Comprendre!B260" display="En savoir + sur le plan initial" xr:uid="{00000000-0004-0000-0800-00000D000000}"/>
    <hyperlink ref="M34:N34" location="Comprendre!B76" display="En savoir + sur les apports en nature" xr:uid="{00000000-0004-0000-0800-00000E000000}"/>
    <hyperlink ref="K49:N49" location="Comprendre!B85" display="+ sur les avances remboursables" xr:uid="{00000000-0004-0000-0800-00000F000000}"/>
    <hyperlink ref="Q49:R49" location="'tableaux d''emprunts'!B1" display="Simulation emprunt" xr:uid="{00000000-0004-0000-0800-000010000000}"/>
    <hyperlink ref="J3:M3" location="Comprendre!B261" display="En savoir + sur le plan initial" xr:uid="{00000000-0004-0000-0800-000011000000}"/>
    <hyperlink ref="N3:O3" location="Comprendre!B284" display="+ sur le plan à 3ans" xr:uid="{00000000-0004-0000-0800-000012000000}"/>
    <hyperlink ref="K72:O72" location="Comprendre!B151" display="En savoir + plus sur les concours de trésorerie" xr:uid="{00000000-0004-0000-0800-000013000000}"/>
    <hyperlink ref="G49:J49" location="Comprendre!B119" display="en savoir + sur les comptes courants" xr:uid="{00000000-0004-0000-0800-000014000000}"/>
    <hyperlink ref="H34:K34" location="Comprendre!B64" display="En savoir + sur les apports des associés" xr:uid="{00000000-0004-0000-0800-000015000000}"/>
    <hyperlink ref="M34:O34" location="Comprendre!B77" display="En savoir + sur les apports en nature" xr:uid="{00000000-0004-0000-0800-000016000000}"/>
    <hyperlink ref="F12:H12" location="Comprendre!B208" display=" en savoir + sur le fonds de roulement" xr:uid="{00000000-0004-0000-0800-000017000000}"/>
  </hyperlinks>
  <printOptions horizontalCentered="1"/>
  <pageMargins left="0" right="0" top="0" bottom="0" header="0" footer="0"/>
  <pageSetup paperSize="9" scale="66" orientation="portrait" r:id="rId1"/>
  <headerFooter alignWithMargins="0"/>
  <cellWatches>
    <cellWatch r="B44"/>
  </cellWatche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225</vt:i4>
      </vt:variant>
    </vt:vector>
  </HeadingPairs>
  <TitlesOfParts>
    <vt:vector size="241" baseType="lpstr">
      <vt:lpstr>Accueil</vt:lpstr>
      <vt:lpstr>Préambule</vt:lpstr>
      <vt:lpstr>Créateur(s)</vt:lpstr>
      <vt:lpstr>Projet</vt:lpstr>
      <vt:lpstr>Chiffre d'affaires</vt:lpstr>
      <vt:lpstr>Moyens d'exploitation</vt:lpstr>
      <vt:lpstr>Compte de résulat prévisionnel</vt:lpstr>
      <vt:lpstr>Bfr</vt:lpstr>
      <vt:lpstr>Plan de financement</vt:lpstr>
      <vt:lpstr>Budget de trésorerie</vt:lpstr>
      <vt:lpstr>Synthèse</vt:lpstr>
      <vt:lpstr>Simulations</vt:lpstr>
      <vt:lpstr>tableaux d'emprunts</vt:lpstr>
      <vt:lpstr>Comprendre</vt:lpstr>
      <vt:lpstr>Cotation</vt:lpstr>
      <vt:lpstr>Avis comité technique</vt:lpstr>
      <vt:lpstr>activité</vt:lpstr>
      <vt:lpstr>amort_1</vt:lpstr>
      <vt:lpstr>amort_2</vt:lpstr>
      <vt:lpstr>amort_3</vt:lpstr>
      <vt:lpstr>annuité_emprunt1</vt:lpstr>
      <vt:lpstr>annuité_emprunt2</vt:lpstr>
      <vt:lpstr>annuité_emprunt3</vt:lpstr>
      <vt:lpstr>annuité_emprunt4</vt:lpstr>
      <vt:lpstr>annuité_emprunt5</vt:lpstr>
      <vt:lpstr>apport_capital0</vt:lpstr>
      <vt:lpstr>apport_capital1</vt:lpstr>
      <vt:lpstr>apport_capital2</vt:lpstr>
      <vt:lpstr>apport_capital3</vt:lpstr>
      <vt:lpstr>apport_nature</vt:lpstr>
      <vt:lpstr>Besoin_Initial</vt:lpstr>
      <vt:lpstr>Besoin_N1</vt:lpstr>
      <vt:lpstr>Besoin_N2</vt:lpstr>
      <vt:lpstr>Besoin_N3</vt:lpstr>
      <vt:lpstr>BFR_1</vt:lpstr>
      <vt:lpstr>BFR_2</vt:lpstr>
      <vt:lpstr>BFR_3</vt:lpstr>
      <vt:lpstr>ca_1</vt:lpstr>
      <vt:lpstr>ca_2</vt:lpstr>
      <vt:lpstr>ca_3</vt:lpstr>
      <vt:lpstr>caf_1</vt:lpstr>
      <vt:lpstr>caf_1_révisé</vt:lpstr>
      <vt:lpstr>caf_2</vt:lpstr>
      <vt:lpstr>caf_2_révisé</vt:lpstr>
      <vt:lpstr>caf_3</vt:lpstr>
      <vt:lpstr>caf_3_révisé</vt:lpstr>
      <vt:lpstr>cc.bloqué_0</vt:lpstr>
      <vt:lpstr>cc.bloqué_1</vt:lpstr>
      <vt:lpstr>cc.bloqué_2</vt:lpstr>
      <vt:lpstr>cc.bloqué_3</vt:lpstr>
      <vt:lpstr>ch.variables_1</vt:lpstr>
      <vt:lpstr>ch.variables_2</vt:lpstr>
      <vt:lpstr>ch.variables_3</vt:lpstr>
      <vt:lpstr>client_1</vt:lpstr>
      <vt:lpstr>client_2</vt:lpstr>
      <vt:lpstr>client_3</vt:lpstr>
      <vt:lpstr>commune</vt:lpstr>
      <vt:lpstr>départ</vt:lpstr>
      <vt:lpstr>DFR_1</vt:lpstr>
      <vt:lpstr>DFR_2</vt:lpstr>
      <vt:lpstr>DFR_3</vt:lpstr>
      <vt:lpstr>différé_emprunt1</vt:lpstr>
      <vt:lpstr>différé_emprunt2</vt:lpstr>
      <vt:lpstr>différé_emprunt3</vt:lpstr>
      <vt:lpstr>différé_emprunt4</vt:lpstr>
      <vt:lpstr>différé_emprunt5</vt:lpstr>
      <vt:lpstr>différé_HK</vt:lpstr>
      <vt:lpstr>dividende_1</vt:lpstr>
      <vt:lpstr>dividende_2</vt:lpstr>
      <vt:lpstr>dividende_3</vt:lpstr>
      <vt:lpstr>dossier</vt:lpstr>
      <vt:lpstr>durée_1</vt:lpstr>
      <vt:lpstr>durée_2</vt:lpstr>
      <vt:lpstr>durée_3</vt:lpstr>
      <vt:lpstr>Durée_HK</vt:lpstr>
      <vt:lpstr>ebe_1</vt:lpstr>
      <vt:lpstr>ebe_2</vt:lpstr>
      <vt:lpstr>ebe_3</vt:lpstr>
      <vt:lpstr>effectif_1</vt:lpstr>
      <vt:lpstr>effectif_2</vt:lpstr>
      <vt:lpstr>effectif_3</vt:lpstr>
      <vt:lpstr>emprunt_1</vt:lpstr>
      <vt:lpstr>emprunt_2</vt:lpstr>
      <vt:lpstr>emprunt_3</vt:lpstr>
      <vt:lpstr>emprunt1</vt:lpstr>
      <vt:lpstr>emprunt2</vt:lpstr>
      <vt:lpstr>emprunt3</vt:lpstr>
      <vt:lpstr>emprunt4</vt:lpstr>
      <vt:lpstr>emprunt5</vt:lpstr>
      <vt:lpstr>En_savoir_plus_sur_le_fonds_de_roulement</vt:lpstr>
      <vt:lpstr>ff_1</vt:lpstr>
      <vt:lpstr>ff_2</vt:lpstr>
      <vt:lpstr>ff_3</vt:lpstr>
      <vt:lpstr>fonds.empruntés_0</vt:lpstr>
      <vt:lpstr>fonds.empruntés_1</vt:lpstr>
      <vt:lpstr>fonds.empruntés_2</vt:lpstr>
      <vt:lpstr>fonds.empruntés_3</vt:lpstr>
      <vt:lpstr>fonds_propres_1</vt:lpstr>
      <vt:lpstr>fonds_propres_2</vt:lpstr>
      <vt:lpstr>fonds_propres_3</vt:lpstr>
      <vt:lpstr>FR_0</vt:lpstr>
      <vt:lpstr>FR_1</vt:lpstr>
      <vt:lpstr>FR_1_révisé</vt:lpstr>
      <vt:lpstr>FR_2</vt:lpstr>
      <vt:lpstr>FR_2_révisé</vt:lpstr>
      <vt:lpstr>FR_3</vt:lpstr>
      <vt:lpstr>FR_Initial</vt:lpstr>
      <vt:lpstr>HK</vt:lpstr>
      <vt:lpstr>i_1</vt:lpstr>
      <vt:lpstr>i_2</vt:lpstr>
      <vt:lpstr>i_3</vt:lpstr>
      <vt:lpstr>Bfr!Impression_des_titres</vt:lpstr>
      <vt:lpstr>'Compte de résulat prévisionnel'!Impression_des_titres</vt:lpstr>
      <vt:lpstr>'Moyens d''exploitation'!Impression_des_titres</vt:lpstr>
      <vt:lpstr>'Plan de financement'!Impression_des_titres</vt:lpstr>
      <vt:lpstr>inv_cb0</vt:lpstr>
      <vt:lpstr>inv_cb1</vt:lpstr>
      <vt:lpstr>inv_cb2</vt:lpstr>
      <vt:lpstr>inv_cb3</vt:lpstr>
      <vt:lpstr>invest_0</vt:lpstr>
      <vt:lpstr>invest_1</vt:lpstr>
      <vt:lpstr>invest_2</vt:lpstr>
      <vt:lpstr>invest_3</vt:lpstr>
      <vt:lpstr>IS_1</vt:lpstr>
      <vt:lpstr>IS_2</vt:lpstr>
      <vt:lpstr>IS_3</vt:lpstr>
      <vt:lpstr>JBFR_1</vt:lpstr>
      <vt:lpstr>JBFR_2</vt:lpstr>
      <vt:lpstr>JBFR_3</vt:lpstr>
      <vt:lpstr>k_herrikoa</vt:lpstr>
      <vt:lpstr>loyer_1</vt:lpstr>
      <vt:lpstr>loyer_2</vt:lpstr>
      <vt:lpstr>loyer_3</vt:lpstr>
      <vt:lpstr>loyer_créditbail_1</vt:lpstr>
      <vt:lpstr>loyer_créditbail_2</vt:lpstr>
      <vt:lpstr>loyer_créditbail_3</vt:lpstr>
      <vt:lpstr>marge_brute_1</vt:lpstr>
      <vt:lpstr>marge_brute_2</vt:lpstr>
      <vt:lpstr>marge_brute_3</vt:lpstr>
      <vt:lpstr>marge_CV_1</vt:lpstr>
      <vt:lpstr>marge_CV_2</vt:lpstr>
      <vt:lpstr>marge_CV_3</vt:lpstr>
      <vt:lpstr>p</vt:lpstr>
      <vt:lpstr>p_1</vt:lpstr>
      <vt:lpstr>p_2</vt:lpstr>
      <vt:lpstr>p_3</vt:lpstr>
      <vt:lpstr>participants</vt:lpstr>
      <vt:lpstr>périodicité_emprunt1</vt:lpstr>
      <vt:lpstr>périodicité_emprunt2</vt:lpstr>
      <vt:lpstr>périodicité_emprunt3</vt:lpstr>
      <vt:lpstr>périodicité_emprunt4</vt:lpstr>
      <vt:lpstr>périodicité_emprunt5</vt:lpstr>
      <vt:lpstr>perso_1</vt:lpstr>
      <vt:lpstr>perso_2</vt:lpstr>
      <vt:lpstr>perso_3</vt:lpstr>
      <vt:lpstr>personnel_1</vt:lpstr>
      <vt:lpstr>personnel_2</vt:lpstr>
      <vt:lpstr>personnel_3</vt:lpstr>
      <vt:lpstr>pi_1</vt:lpstr>
      <vt:lpstr>pi_2</vt:lpstr>
      <vt:lpstr>pi_3</vt:lpstr>
      <vt:lpstr>point_mort_1</vt:lpstr>
      <vt:lpstr>point_mort_2</vt:lpstr>
      <vt:lpstr>point_mort_3</vt:lpstr>
      <vt:lpstr>prov_1</vt:lpstr>
      <vt:lpstr>prov_2</vt:lpstr>
      <vt:lpstr>prov_3</vt:lpstr>
      <vt:lpstr>ps_1</vt:lpstr>
      <vt:lpstr>ps_2</vt:lpstr>
      <vt:lpstr>ps_3</vt:lpstr>
      <vt:lpstr>quotité_ta</vt:lpstr>
      <vt:lpstr>quotité_tv</vt:lpstr>
      <vt:lpstr>rc_1</vt:lpstr>
      <vt:lpstr>rc_2</vt:lpstr>
      <vt:lpstr>rc_3</vt:lpstr>
      <vt:lpstr>re_1</vt:lpstr>
      <vt:lpstr>re_2</vt:lpstr>
      <vt:lpstr>re_3</vt:lpstr>
      <vt:lpstr>remb1_emprunt</vt:lpstr>
      <vt:lpstr>remb2_emprunt</vt:lpstr>
      <vt:lpstr>remb3_emprunt</vt:lpstr>
      <vt:lpstr>report_subv.invest_1</vt:lpstr>
      <vt:lpstr>report_subv.invest_2</vt:lpstr>
      <vt:lpstr>report_subv.invest_3</vt:lpstr>
      <vt:lpstr>rn_1</vt:lpstr>
      <vt:lpstr>rn_2</vt:lpstr>
      <vt:lpstr>rn_3</vt:lpstr>
      <vt:lpstr>solde_financement_N1</vt:lpstr>
      <vt:lpstr>solde_financement_N2</vt:lpstr>
      <vt:lpstr>solde_financement_N3</vt:lpstr>
      <vt:lpstr>subv0</vt:lpstr>
      <vt:lpstr>subv1</vt:lpstr>
      <vt:lpstr>subv2</vt:lpstr>
      <vt:lpstr>subv3</vt:lpstr>
      <vt:lpstr>ta</vt:lpstr>
      <vt:lpstr>taux_emprunt1</vt:lpstr>
      <vt:lpstr>taux_emprunt2</vt:lpstr>
      <vt:lpstr>taux_emprunt3</vt:lpstr>
      <vt:lpstr>taux_emprunt4</vt:lpstr>
      <vt:lpstr>taux_emprunt5</vt:lpstr>
      <vt:lpstr>Taux_HK</vt:lpstr>
      <vt:lpstr>TN_0</vt:lpstr>
      <vt:lpstr>TN_1</vt:lpstr>
      <vt:lpstr>TN_2</vt:lpstr>
      <vt:lpstr>TN_3</vt:lpstr>
      <vt:lpstr>total_caf</vt:lpstr>
      <vt:lpstr>total_emprunts</vt:lpstr>
      <vt:lpstr>TP_1</vt:lpstr>
      <vt:lpstr>TP_2</vt:lpstr>
      <vt:lpstr>TP_3</vt:lpstr>
      <vt:lpstr>TP0</vt:lpstr>
      <vt:lpstr>TRI</vt:lpstr>
      <vt:lpstr>tv</vt:lpstr>
      <vt:lpstr>tx_achats_1</vt:lpstr>
      <vt:lpstr>tx_achats_2</vt:lpstr>
      <vt:lpstr>tx_achats_3</vt:lpstr>
      <vt:lpstr>tx_marge_brute_1</vt:lpstr>
      <vt:lpstr>tx_marge_brute_2</vt:lpstr>
      <vt:lpstr>tx_marge_brute_3</vt:lpstr>
      <vt:lpstr>va_1</vt:lpstr>
      <vt:lpstr>va_2</vt:lpstr>
      <vt:lpstr>va_3</vt:lpstr>
      <vt:lpstr>vs_mat1</vt:lpstr>
      <vt:lpstr>vs_mat2</vt:lpstr>
      <vt:lpstr>vs_mat3</vt:lpstr>
      <vt:lpstr>vs_mse1</vt:lpstr>
      <vt:lpstr>vs_mse2</vt:lpstr>
      <vt:lpstr>vs_mse3</vt:lpstr>
      <vt:lpstr>Accueil!Zone_d_impression</vt:lpstr>
      <vt:lpstr>'Avis comité technique'!Zone_d_impression</vt:lpstr>
      <vt:lpstr>Bfr!Zone_d_impression</vt:lpstr>
      <vt:lpstr>'Chiffre d''affaires'!Zone_d_impression</vt:lpstr>
      <vt:lpstr>'Compte de résulat prévisionnel'!Zone_d_impression</vt:lpstr>
      <vt:lpstr>Cotation!Zone_d_impression</vt:lpstr>
      <vt:lpstr>'Créateur(s)'!Zone_d_impression</vt:lpstr>
      <vt:lpstr>'Moyens d''exploitation'!Zone_d_impression</vt:lpstr>
      <vt:lpstr>'Plan de financement'!Zone_d_impression</vt:lpstr>
      <vt:lpstr>Préambule!Zone_d_impression</vt:lpstr>
      <vt:lpstr>Projet!Zone_d_impression</vt:lpstr>
      <vt:lpstr>Simulations!Zone_d_impression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BERGARA</dc:creator>
  <cp:lastModifiedBy>J. BERGARA</cp:lastModifiedBy>
  <cp:lastPrinted>2019-04-17T10:29:55Z</cp:lastPrinted>
  <dcterms:created xsi:type="dcterms:W3CDTF">2010-06-26T15:11:46Z</dcterms:created>
  <dcterms:modified xsi:type="dcterms:W3CDTF">2019-04-17T13:11:38Z</dcterms:modified>
</cp:coreProperties>
</file>